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d Students" sheetId="1" r:id="rId4"/>
    <sheet state="visible" name="Data" sheetId="2" r:id="rId5"/>
    <sheet state="visible" name="Sheet4" sheetId="3" r:id="rId6"/>
    <sheet state="hidden" name="TY_ALL_2023_Batch" sheetId="4" r:id="rId7"/>
    <sheet state="visible" name="Form Responses 1" sheetId="5" r:id="rId8"/>
    <sheet state="visible" name="Sheet1" sheetId="6" r:id="rId9"/>
  </sheets>
  <definedNames>
    <definedName name="MasterData">'Form Responses 1'!$A$1:$BY$697</definedName>
    <definedName hidden="1" localSheetId="4" name="_xlnm._FilterDatabase">'Form Responses 1'!$A$1:$CF$734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Responder updated this value.</t>
      </text>
    </comment>
    <comment authorId="0" ref="AL2">
      <text>
        <t xml:space="preserve">Responder updated this value.</t>
      </text>
    </comment>
    <comment authorId="0" ref="AM2">
      <text>
        <t xml:space="preserve">Responder updated this value.</t>
      </text>
    </comment>
    <comment authorId="0" ref="BJ2">
      <text>
        <t xml:space="preserve">Responder updated this value.</t>
      </text>
    </comment>
    <comment authorId="0" ref="BQ2">
      <text>
        <t xml:space="preserve">Responder updated this value.</t>
      </text>
    </comment>
    <comment authorId="0" ref="BT2">
      <text>
        <t xml:space="preserve">Responder updated this value.</t>
      </text>
    </comment>
    <comment authorId="0" ref="BW2">
      <text>
        <t xml:space="preserve">Responder updated this value.</t>
      </text>
    </comment>
    <comment authorId="0" ref="P3">
      <text>
        <t xml:space="preserve">Responder updated this value.</t>
      </text>
    </comment>
    <comment authorId="0" ref="BQ3">
      <text>
        <t xml:space="preserve">Responder updated this value.</t>
      </text>
    </comment>
    <comment authorId="0" ref="P4">
      <text>
        <t xml:space="preserve">Responder updated this value.</t>
      </text>
    </comment>
    <comment authorId="0" ref="AQ4">
      <text>
        <t xml:space="preserve">Responder updated this value.</t>
      </text>
    </comment>
    <comment authorId="0" ref="AS4">
      <text>
        <t xml:space="preserve">Responder updated this value.</t>
      </text>
    </comment>
    <comment authorId="0" ref="BJ4">
      <text>
        <t xml:space="preserve">Responder updated this value.</t>
      </text>
    </comment>
    <comment authorId="0" ref="BN4">
      <text>
        <t xml:space="preserve">Responder updated this value.</t>
      </text>
    </comment>
    <comment authorId="0" ref="BQ4">
      <text>
        <t xml:space="preserve">Responder updated this value.</t>
      </text>
    </comment>
    <comment authorId="0" ref="BW4">
      <text>
        <t xml:space="preserve">Responder updated this value.</t>
      </text>
    </comment>
    <comment authorId="0" ref="AQ5">
      <text>
        <t xml:space="preserve">Responder updated this value.</t>
      </text>
    </comment>
    <comment authorId="0" ref="AU5">
      <text>
        <t xml:space="preserve">Responder updated this value.</t>
      </text>
    </comment>
    <comment authorId="0" ref="BA5">
      <text>
        <t xml:space="preserve">Responder updated this value.</t>
      </text>
    </comment>
    <comment authorId="0" ref="BD5">
      <text>
        <t xml:space="preserve">Responder updated this value.</t>
      </text>
    </comment>
    <comment authorId="0" ref="BJ5">
      <text>
        <t xml:space="preserve">Responder updated this value.</t>
      </text>
    </comment>
    <comment authorId="0" ref="BN5">
      <text>
        <t xml:space="preserve">Responder updated this value.</t>
      </text>
    </comment>
    <comment authorId="0" ref="BQ5">
      <text>
        <t xml:space="preserve">Responder updated this value.</t>
      </text>
    </comment>
    <comment authorId="0" ref="BT5">
      <text>
        <t xml:space="preserve">Responder updated this value.</t>
      </text>
    </comment>
    <comment authorId="0" ref="BW5">
      <text>
        <t xml:space="preserve">Responder updated this value.</t>
      </text>
    </comment>
    <comment authorId="0" ref="AS6">
      <text>
        <t xml:space="preserve">Responder updated this value.</t>
      </text>
    </comment>
    <comment authorId="0" ref="BQ6">
      <text>
        <t xml:space="preserve">Responder updated this value.</t>
      </text>
    </comment>
    <comment authorId="0" ref="BU6">
      <text>
        <t xml:space="preserve">Responder updated this value.</t>
      </text>
    </comment>
    <comment authorId="0" ref="BV6">
      <text>
        <t xml:space="preserve">Responder updated this value.</t>
      </text>
    </comment>
    <comment authorId="0" ref="BW6">
      <text>
        <t xml:space="preserve">Responder updated this value.</t>
      </text>
    </comment>
    <comment authorId="0" ref="AR7">
      <text>
        <t xml:space="preserve">Responder updated this value.</t>
      </text>
    </comment>
    <comment authorId="0" ref="AS7">
      <text>
        <t xml:space="preserve">Responder updated this value.</t>
      </text>
    </comment>
    <comment authorId="0" ref="BJ7">
      <text>
        <t xml:space="preserve">Responder updated this value.</t>
      </text>
    </comment>
    <comment authorId="0" ref="BL7">
      <text>
        <t xml:space="preserve">Responder updated this value.</t>
      </text>
    </comment>
    <comment authorId="0" ref="BM7">
      <text>
        <t xml:space="preserve">Responder updated this value.</t>
      </text>
    </comment>
    <comment authorId="0" ref="BQ7">
      <text>
        <t xml:space="preserve">Responder updated this value.</t>
      </text>
    </comment>
    <comment authorId="0" ref="BU7">
      <text>
        <t xml:space="preserve">Responder updated this value.</t>
      </text>
    </comment>
    <comment authorId="0" ref="BV7">
      <text>
        <t xml:space="preserve">Responder updated this value.</t>
      </text>
    </comment>
    <comment authorId="0" ref="BW7">
      <text>
        <t xml:space="preserve">Responder updated this value.</t>
      </text>
    </comment>
    <comment authorId="0" ref="BJ8">
      <text>
        <t xml:space="preserve">Responder updated this value.</t>
      </text>
    </comment>
    <comment authorId="0" ref="BQ8">
      <text>
        <t xml:space="preserve">Responder updated this value.</t>
      </text>
    </comment>
    <comment authorId="0" ref="P9">
      <text>
        <t xml:space="preserve">Responder updated this value.</t>
      </text>
    </comment>
    <comment authorId="0" ref="AQ9">
      <text>
        <t xml:space="preserve">Responder updated this value.</t>
      </text>
    </comment>
    <comment authorId="0" ref="AS9">
      <text>
        <t xml:space="preserve">Responder updated this value.</t>
      </text>
    </comment>
    <comment authorId="0" ref="BD9">
      <text>
        <t xml:space="preserve">Responder updated this value.</t>
      </text>
    </comment>
    <comment authorId="0" ref="BJ9">
      <text>
        <t xml:space="preserve">Responder updated this value.</t>
      </text>
    </comment>
    <comment authorId="0" ref="BN9">
      <text>
        <t xml:space="preserve">Responder updated this value.</t>
      </text>
    </comment>
    <comment authorId="0" ref="BQ9">
      <text>
        <t xml:space="preserve">Responder updated this value.</t>
      </text>
    </comment>
    <comment authorId="0" ref="AL10">
      <text>
        <t xml:space="preserve">Responder updated this value.</t>
      </text>
    </comment>
    <comment authorId="0" ref="AM10">
      <text>
        <t xml:space="preserve">Responder updated this value.</t>
      </text>
    </comment>
    <comment authorId="0" ref="AO10">
      <text>
        <t xml:space="preserve">Responder updated this value.</t>
      </text>
    </comment>
    <comment authorId="0" ref="AP10">
      <text>
        <t xml:space="preserve">Responder updated this value.</t>
      </text>
    </comment>
    <comment authorId="0" ref="AQ10">
      <text>
        <t xml:space="preserve">Responder updated this value.</t>
      </text>
    </comment>
    <comment authorId="0" ref="AR10">
      <text>
        <t xml:space="preserve">Responder updated this value.</t>
      </text>
    </comment>
    <comment authorId="0" ref="AS10">
      <text>
        <t xml:space="preserve">Responder updated this value.</t>
      </text>
    </comment>
    <comment authorId="0" ref="AU10">
      <text>
        <t xml:space="preserve">Responder updated this value.</t>
      </text>
    </comment>
    <comment authorId="0" ref="AV10">
      <text>
        <t xml:space="preserve">Responder updated this value.</t>
      </text>
    </comment>
    <comment authorId="0" ref="AW10">
      <text>
        <t xml:space="preserve">Responder updated this value.</t>
      </text>
    </comment>
    <comment authorId="0" ref="AY10">
      <text>
        <t xml:space="preserve">Responder updated this value.</t>
      </text>
    </comment>
    <comment authorId="0" ref="BI10">
      <text>
        <t xml:space="preserve">Responder updated this value.</t>
      </text>
    </comment>
    <comment authorId="0" ref="BJ10">
      <text>
        <t xml:space="preserve">Responder updated this value.</t>
      </text>
    </comment>
    <comment authorId="0" ref="BL10">
      <text>
        <t xml:space="preserve">Responder updated this value.</t>
      </text>
    </comment>
    <comment authorId="0" ref="BM10">
      <text>
        <t xml:space="preserve">Responder updated this value.</t>
      </text>
    </comment>
    <comment authorId="0" ref="BP10">
      <text>
        <t xml:space="preserve">Responder updated this value.</t>
      </text>
    </comment>
    <comment authorId="0" ref="BQ10">
      <text>
        <t xml:space="preserve">Responder updated this value.</t>
      </text>
    </comment>
    <comment authorId="0" ref="BR10">
      <text>
        <t xml:space="preserve">Responder updated this value.</t>
      </text>
    </comment>
    <comment authorId="0" ref="BS10">
      <text>
        <t xml:space="preserve">Responder updated this value.</t>
      </text>
    </comment>
    <comment authorId="0" ref="BT10">
      <text>
        <t xml:space="preserve">Responder updated this value.</t>
      </text>
    </comment>
    <comment authorId="0" ref="BU10">
      <text>
        <t xml:space="preserve">Responder updated this value.</t>
      </text>
    </comment>
    <comment authorId="0" ref="BV10">
      <text>
        <t xml:space="preserve">Responder updated this value.</t>
      </text>
    </comment>
    <comment authorId="0" ref="BW10">
      <text>
        <t xml:space="preserve">Responder updated this value.</t>
      </text>
    </comment>
    <comment authorId="0" ref="AQ11">
      <text>
        <t xml:space="preserve">Responder updated this value.</t>
      </text>
    </comment>
    <comment authorId="0" ref="AS11">
      <text>
        <t xml:space="preserve">Responder updated this value.</t>
      </text>
    </comment>
    <comment authorId="0" ref="BP11">
      <text>
        <t xml:space="preserve">Responder updated this value.</t>
      </text>
    </comment>
    <comment authorId="0" ref="BQ11">
      <text>
        <t xml:space="preserve">Responder updated this value.</t>
      </text>
    </comment>
    <comment authorId="0" ref="AS12">
      <text>
        <t xml:space="preserve">Responder updated this value.</t>
      </text>
    </comment>
    <comment authorId="0" ref="AW12">
      <text>
        <t xml:space="preserve">Responder updated this value.</t>
      </text>
    </comment>
    <comment authorId="0" ref="AY12">
      <text>
        <t xml:space="preserve">Responder updated this value.</t>
      </text>
    </comment>
    <comment authorId="0" ref="BA12">
      <text>
        <t xml:space="preserve">Responder updated this value.</t>
      </text>
    </comment>
    <comment authorId="0" ref="BQ12">
      <text>
        <t xml:space="preserve">Responder updated this value.</t>
      </text>
    </comment>
    <comment authorId="0" ref="BW12">
      <text>
        <t xml:space="preserve">Responder updated this value.</t>
      </text>
    </comment>
    <comment authorId="0" ref="H13">
      <text>
        <t xml:space="preserve">Responder updated this value.</t>
      </text>
    </comment>
    <comment authorId="0" ref="AL13">
      <text>
        <t xml:space="preserve">Responder updated this value.</t>
      </text>
    </comment>
    <comment authorId="0" ref="AM13">
      <text>
        <t xml:space="preserve">Responder updated this value.</t>
      </text>
    </comment>
    <comment authorId="0" ref="BL13">
      <text>
        <t xml:space="preserve">Responder updated this value.</t>
      </text>
    </comment>
    <comment authorId="0" ref="BM13">
      <text>
        <t xml:space="preserve">Responder updated this value.</t>
      </text>
    </comment>
    <comment authorId="0" ref="BQ13">
      <text>
        <t xml:space="preserve">Responder updated this value.</t>
      </text>
    </comment>
    <comment authorId="0" ref="BW13">
      <text>
        <t xml:space="preserve">Responder updated this value.</t>
      </text>
    </comment>
    <comment authorId="0" ref="AW14">
      <text>
        <t xml:space="preserve">Responder updated this value.</t>
      </text>
    </comment>
    <comment authorId="0" ref="BJ14">
      <text>
        <t xml:space="preserve">Responder updated this value.</t>
      </text>
    </comment>
    <comment authorId="0" ref="BQ14">
      <text>
        <t xml:space="preserve">Responder updated this value.</t>
      </text>
    </comment>
    <comment authorId="0" ref="AL15">
      <text>
        <t xml:space="preserve">Responder updated this value.</t>
      </text>
    </comment>
    <comment authorId="0" ref="AM15">
      <text>
        <t xml:space="preserve">Responder updated this value.</t>
      </text>
    </comment>
    <comment authorId="0" ref="AQ15">
      <text>
        <t xml:space="preserve">Responder updated this value.</t>
      </text>
    </comment>
    <comment authorId="0" ref="AS15">
      <text>
        <t xml:space="preserve">Responder updated this value.</t>
      </text>
    </comment>
    <comment authorId="0" ref="BJ15">
      <text>
        <t xml:space="preserve">Responder updated this value.</t>
      </text>
    </comment>
    <comment authorId="0" ref="BQ15">
      <text>
        <t xml:space="preserve">Responder updated this value.</t>
      </text>
    </comment>
    <comment authorId="0" ref="BS15">
      <text>
        <t xml:space="preserve">Responder updated this value.</t>
      </text>
    </comment>
    <comment authorId="0" ref="BT15">
      <text>
        <t xml:space="preserve">Responder updated this value.</t>
      </text>
    </comment>
    <comment authorId="0" ref="BU15">
      <text>
        <t xml:space="preserve">Responder updated this value.</t>
      </text>
    </comment>
    <comment authorId="0" ref="BV15">
      <text>
        <t xml:space="preserve">Responder updated this value.</t>
      </text>
    </comment>
    <comment authorId="0" ref="BW15">
      <text>
        <t xml:space="preserve">Responder updated this value.</t>
      </text>
    </comment>
    <comment authorId="0" ref="AQ16">
      <text>
        <t xml:space="preserve">Responder updated this value.</t>
      </text>
    </comment>
    <comment authorId="0" ref="AV16">
      <text>
        <t xml:space="preserve">Responder updated this value.</t>
      </text>
    </comment>
    <comment authorId="0" ref="BE16">
      <text>
        <t xml:space="preserve">Responder updated this value.</t>
      </text>
    </comment>
    <comment authorId="0" ref="BI16">
      <text>
        <t xml:space="preserve">Responder updated this value.</t>
      </text>
    </comment>
    <comment authorId="0" ref="BJ16">
      <text>
        <t xml:space="preserve">Responder updated this value.</t>
      </text>
    </comment>
    <comment authorId="0" ref="BP16">
      <text>
        <t xml:space="preserve">Responder updated this value.</t>
      </text>
    </comment>
    <comment authorId="0" ref="BQ16">
      <text>
        <t xml:space="preserve">Responder updated this value.</t>
      </text>
    </comment>
    <comment authorId="0" ref="BJ17">
      <text>
        <t xml:space="preserve">Responder updated this value.</t>
      </text>
    </comment>
    <comment authorId="0" ref="BQ17">
      <text>
        <t xml:space="preserve">Responder updated this value.</t>
      </text>
    </comment>
    <comment authorId="0" ref="AO18">
      <text>
        <t xml:space="preserve">Responder updated this value.</t>
      </text>
    </comment>
    <comment authorId="0" ref="AW18">
      <text>
        <t xml:space="preserve">Responder updated this value.</t>
      </text>
    </comment>
    <comment authorId="0" ref="BJ18">
      <text>
        <t xml:space="preserve">Responder updated this value.</t>
      </text>
    </comment>
    <comment authorId="0" ref="BQ18">
      <text>
        <t xml:space="preserve">Responder updated this value.</t>
      </text>
    </comment>
    <comment authorId="0" ref="BS18">
      <text>
        <t xml:space="preserve">Responder updated this value.</t>
      </text>
    </comment>
    <comment authorId="0" ref="BW18">
      <text>
        <t xml:space="preserve">Responder updated this value.</t>
      </text>
    </comment>
    <comment authorId="0" ref="AQ19">
      <text>
        <t xml:space="preserve">Responder updated this value.</t>
      </text>
    </comment>
    <comment authorId="0" ref="AS19">
      <text>
        <t xml:space="preserve">Responder updated this value.</t>
      </text>
    </comment>
    <comment authorId="0" ref="BJ19">
      <text>
        <t xml:space="preserve">Responder updated this value.</t>
      </text>
    </comment>
    <comment authorId="0" ref="BN19">
      <text>
        <t xml:space="preserve">Responder updated this value.</t>
      </text>
    </comment>
    <comment authorId="0" ref="BQ19">
      <text>
        <t xml:space="preserve">Responder updated this value.</t>
      </text>
    </comment>
    <comment authorId="0" ref="BW19">
      <text>
        <t xml:space="preserve">Responder updated this value.</t>
      </text>
    </comment>
    <comment authorId="0" ref="AQ20">
      <text>
        <t xml:space="preserve">Responder updated this value.</t>
      </text>
    </comment>
    <comment authorId="0" ref="AS20">
      <text>
        <t xml:space="preserve">Responder updated this value.</t>
      </text>
    </comment>
    <comment authorId="0" ref="BJ20">
      <text>
        <t xml:space="preserve">Responder updated this value.</t>
      </text>
    </comment>
    <comment authorId="0" ref="BN20">
      <text>
        <t xml:space="preserve">Responder updated this value.</t>
      </text>
    </comment>
    <comment authorId="0" ref="BQ20">
      <text>
        <t xml:space="preserve">Responder updated this value.</t>
      </text>
    </comment>
    <comment authorId="0" ref="BW20">
      <text>
        <t xml:space="preserve">Responder updated this value.</t>
      </text>
    </comment>
    <comment authorId="0" ref="AP21">
      <text>
        <t xml:space="preserve">Responder updated this value.</t>
      </text>
    </comment>
    <comment authorId="0" ref="AW21">
      <text>
        <t xml:space="preserve">Responder updated this value.</t>
      </text>
    </comment>
    <comment authorId="0" ref="AY21">
      <text>
        <t xml:space="preserve">Responder updated this value.</t>
      </text>
    </comment>
    <comment authorId="0" ref="BJ21">
      <text>
        <t xml:space="preserve">Responder updated this value.</t>
      </text>
    </comment>
    <comment authorId="0" ref="BQ21">
      <text>
        <t xml:space="preserve">Responder updated this value.</t>
      </text>
    </comment>
    <comment authorId="0" ref="BU21">
      <text>
        <t xml:space="preserve">Responder updated this value.</t>
      </text>
    </comment>
    <comment authorId="0" ref="BV21">
      <text>
        <t xml:space="preserve">Responder updated this value.</t>
      </text>
    </comment>
    <comment authorId="0" ref="BW21">
      <text>
        <t xml:space="preserve">Responder updated this value.</t>
      </text>
    </comment>
    <comment authorId="0" ref="S22">
      <text>
        <t xml:space="preserve">Responder updated this value.</t>
      </text>
    </comment>
    <comment authorId="0" ref="V22">
      <text>
        <t xml:space="preserve">Responder updated this value.</t>
      </text>
    </comment>
    <comment authorId="0" ref="W22">
      <text>
        <t xml:space="preserve">Responder updated this value.</t>
      </text>
    </comment>
    <comment authorId="0" ref="AO22">
      <text>
        <t xml:space="preserve">Responder updated this value.</t>
      </text>
    </comment>
    <comment authorId="0" ref="AQ22">
      <text>
        <t xml:space="preserve">Responder updated this value.</t>
      </text>
    </comment>
    <comment authorId="0" ref="AR22">
      <text>
        <t xml:space="preserve">Responder updated this value.</t>
      </text>
    </comment>
    <comment authorId="0" ref="AS22">
      <text>
        <t xml:space="preserve">Responder updated this value.</t>
      </text>
    </comment>
    <comment authorId="0" ref="BD22">
      <text>
        <t xml:space="preserve">Responder updated this value.</t>
      </text>
    </comment>
    <comment authorId="0" ref="BI22">
      <text>
        <t xml:space="preserve">Responder updated this value.</t>
      </text>
    </comment>
    <comment authorId="0" ref="BJ22">
      <text>
        <t xml:space="preserve">Responder updated this value.</t>
      </text>
    </comment>
    <comment authorId="0" ref="BQ22">
      <text>
        <t xml:space="preserve">Responder updated this value.</t>
      </text>
    </comment>
    <comment authorId="0" ref="BR22">
      <text>
        <t xml:space="preserve">Responder updated this value.</t>
      </text>
    </comment>
    <comment authorId="0" ref="BS22">
      <text>
        <t xml:space="preserve">Responder updated this value.</t>
      </text>
    </comment>
    <comment authorId="0" ref="BT22">
      <text>
        <t xml:space="preserve">Responder updated this value.</t>
      </text>
    </comment>
    <comment authorId="0" ref="BU22">
      <text>
        <t xml:space="preserve">Responder updated this value.</t>
      </text>
    </comment>
    <comment authorId="0" ref="BV22">
      <text>
        <t xml:space="preserve">Responder updated this value.</t>
      </text>
    </comment>
    <comment authorId="0" ref="BW22">
      <text>
        <t xml:space="preserve">Responder updated this value.</t>
      </text>
    </comment>
    <comment authorId="0" ref="AL23">
      <text>
        <t xml:space="preserve">Responder updated this value.</t>
      </text>
    </comment>
    <comment authorId="0" ref="AM23">
      <text>
        <t xml:space="preserve">Responder updated this value.</t>
      </text>
    </comment>
    <comment authorId="0" ref="AQ23">
      <text>
        <t xml:space="preserve">Responder updated this value.</t>
      </text>
    </comment>
    <comment authorId="0" ref="BJ23">
      <text>
        <t xml:space="preserve">Responder updated this value.</t>
      </text>
    </comment>
    <comment authorId="0" ref="BQ23">
      <text>
        <t xml:space="preserve">Responder updated this value.</t>
      </text>
    </comment>
    <comment authorId="0" ref="P24">
      <text>
        <t xml:space="preserve">Responder updated this value.</t>
      </text>
    </comment>
    <comment authorId="0" ref="AR24">
      <text>
        <t xml:space="preserve">Responder updated this value.</t>
      </text>
    </comment>
    <comment authorId="0" ref="BC24">
      <text>
        <t xml:space="preserve">Responder updated this value.</t>
      </text>
    </comment>
    <comment authorId="0" ref="BI24">
      <text>
        <t xml:space="preserve">Responder updated this value.</t>
      </text>
    </comment>
    <comment authorId="0" ref="BJ24">
      <text>
        <t xml:space="preserve">Responder updated this value.</t>
      </text>
    </comment>
    <comment authorId="0" ref="BN24">
      <text>
        <t xml:space="preserve">Responder updated this value.</t>
      </text>
    </comment>
    <comment authorId="0" ref="BQ24">
      <text>
        <t xml:space="preserve">Responder updated this value.</t>
      </text>
    </comment>
    <comment authorId="0" ref="BS24">
      <text>
        <t xml:space="preserve">Responder updated this value.</t>
      </text>
    </comment>
    <comment authorId="0" ref="BT24">
      <text>
        <t xml:space="preserve">Responder updated this value.</t>
      </text>
    </comment>
    <comment authorId="0" ref="BW24">
      <text>
        <t xml:space="preserve">Responder updated this value.</t>
      </text>
    </comment>
    <comment authorId="0" ref="AS25">
      <text>
        <t xml:space="preserve">Responder updated this value.</t>
      </text>
    </comment>
    <comment authorId="0" ref="AW25">
      <text>
        <t xml:space="preserve">Responder updated this value.</t>
      </text>
    </comment>
    <comment authorId="0" ref="BQ25">
      <text>
        <t xml:space="preserve">Responder updated this value.</t>
      </text>
    </comment>
    <comment authorId="0" ref="BW25">
      <text>
        <t xml:space="preserve">Responder updated this value.</t>
      </text>
    </comment>
    <comment authorId="0" ref="AW26">
      <text>
        <t xml:space="preserve">Responder updated this value.</t>
      </text>
    </comment>
    <comment authorId="0" ref="AX26">
      <text>
        <t xml:space="preserve">Responder updated this value.</t>
      </text>
    </comment>
    <comment authorId="0" ref="AY26">
      <text>
        <t xml:space="preserve">Responder updated this value.</t>
      </text>
    </comment>
    <comment authorId="0" ref="BJ26">
      <text>
        <t xml:space="preserve">Responder updated this value.</t>
      </text>
    </comment>
    <comment authorId="0" ref="BN26">
      <text>
        <t xml:space="preserve">Responder updated this value.</t>
      </text>
    </comment>
    <comment authorId="0" ref="BQ26">
      <text>
        <t xml:space="preserve">Responder updated this value.</t>
      </text>
    </comment>
    <comment authorId="0" ref="BS26">
      <text>
        <t xml:space="preserve">Responder updated this value.</t>
      </text>
    </comment>
    <comment authorId="0" ref="BT26">
      <text>
        <t xml:space="preserve">Responder updated this value.</t>
      </text>
    </comment>
    <comment authorId="0" ref="BW26">
      <text>
        <t xml:space="preserve">Responder updated this value.</t>
      </text>
    </comment>
    <comment authorId="0" ref="AQ27">
      <text>
        <t xml:space="preserve">Responder updated this value.</t>
      </text>
    </comment>
    <comment authorId="0" ref="AS27">
      <text>
        <t xml:space="preserve">Responder updated this value.</t>
      </text>
    </comment>
    <comment authorId="0" ref="AY27">
      <text>
        <t xml:space="preserve">Responder updated this value.</t>
      </text>
    </comment>
    <comment authorId="0" ref="BD27">
      <text>
        <t xml:space="preserve">Responder updated this value.</t>
      </text>
    </comment>
    <comment authorId="0" ref="BJ27">
      <text>
        <t xml:space="preserve">Responder updated this value.</t>
      </text>
    </comment>
    <comment authorId="0" ref="BQ27">
      <text>
        <t xml:space="preserve">Responder updated this value.</t>
      </text>
    </comment>
    <comment authorId="0" ref="BS27">
      <text>
        <t xml:space="preserve">Responder updated this value.</t>
      </text>
    </comment>
    <comment authorId="0" ref="BT27">
      <text>
        <t xml:space="preserve">Responder updated this value.</t>
      </text>
    </comment>
    <comment authorId="0" ref="BU27">
      <text>
        <t xml:space="preserve">Responder updated this value.</t>
      </text>
    </comment>
    <comment authorId="0" ref="BV27">
      <text>
        <t xml:space="preserve">Responder updated this value.</t>
      </text>
    </comment>
    <comment authorId="0" ref="BW27">
      <text>
        <t xml:space="preserve">Responder updated this value.</t>
      </text>
    </comment>
    <comment authorId="0" ref="AQ28">
      <text>
        <t xml:space="preserve">Responder updated this value.</t>
      </text>
    </comment>
    <comment authorId="0" ref="BJ28">
      <text>
        <t xml:space="preserve">Responder updated this value.</t>
      </text>
    </comment>
    <comment authorId="0" ref="BQ28">
      <text>
        <t xml:space="preserve">Responder updated this value.</t>
      </text>
    </comment>
    <comment authorId="0" ref="BS28">
      <text>
        <t xml:space="preserve">Responder updated this value.</t>
      </text>
    </comment>
    <comment authorId="0" ref="BT28">
      <text>
        <t xml:space="preserve">Responder updated this value.</t>
      </text>
    </comment>
    <comment authorId="0" ref="BU28">
      <text>
        <t xml:space="preserve">Responder updated this value.</t>
      </text>
    </comment>
    <comment authorId="0" ref="BV28">
      <text>
        <t xml:space="preserve">Responder updated this value.</t>
      </text>
    </comment>
    <comment authorId="0" ref="BW28">
      <text>
        <t xml:space="preserve">Responder updated this value.</t>
      </text>
    </comment>
    <comment authorId="0" ref="AQ29">
      <text>
        <t xml:space="preserve">Responder updated this value.</t>
      </text>
    </comment>
    <comment authorId="0" ref="AS29">
      <text>
        <t xml:space="preserve">Responder updated this value.</t>
      </text>
    </comment>
    <comment authorId="0" ref="AW29">
      <text>
        <t xml:space="preserve">Responder updated this value.</t>
      </text>
    </comment>
    <comment authorId="0" ref="AY29">
      <text>
        <t xml:space="preserve">Responder updated this value.</t>
      </text>
    </comment>
    <comment authorId="0" ref="BC29">
      <text>
        <t xml:space="preserve">Responder updated this value.</t>
      </text>
    </comment>
    <comment authorId="0" ref="BE29">
      <text>
        <t xml:space="preserve">Responder updated this value.</t>
      </text>
    </comment>
    <comment authorId="0" ref="BJ29">
      <text>
        <t xml:space="preserve">Responder updated this value.</t>
      </text>
    </comment>
    <comment authorId="0" ref="BL29">
      <text>
        <t xml:space="preserve">Responder updated this value.</t>
      </text>
    </comment>
    <comment authorId="0" ref="BN29">
      <text>
        <t xml:space="preserve">Responder updated this value.</t>
      </text>
    </comment>
    <comment authorId="0" ref="BQ29">
      <text>
        <t xml:space="preserve">Responder updated this value.</t>
      </text>
    </comment>
    <comment authorId="0" ref="BT29">
      <text>
        <t xml:space="preserve">Responder updated this value.</t>
      </text>
    </comment>
    <comment authorId="0" ref="BW29">
      <text>
        <t xml:space="preserve">Responder updated this value.</t>
      </text>
    </comment>
    <comment authorId="0" ref="AL30">
      <text>
        <t xml:space="preserve">Responder updated this value.</t>
      </text>
    </comment>
    <comment authorId="0" ref="AM30">
      <text>
        <t xml:space="preserve">Responder updated this value.</t>
      </text>
    </comment>
    <comment authorId="0" ref="AQ30">
      <text>
        <t xml:space="preserve">Responder updated this value.</t>
      </text>
    </comment>
    <comment authorId="0" ref="AR30">
      <text>
        <t xml:space="preserve">Responder updated this value.</t>
      </text>
    </comment>
    <comment authorId="0" ref="AS30">
      <text>
        <t xml:space="preserve">Responder updated this value.</t>
      </text>
    </comment>
    <comment authorId="0" ref="AW30">
      <text>
        <t xml:space="preserve">Responder updated this value.</t>
      </text>
    </comment>
    <comment authorId="0" ref="BJ30">
      <text>
        <t xml:space="preserve">Responder updated this value.</t>
      </text>
    </comment>
    <comment authorId="0" ref="BL30">
      <text>
        <t xml:space="preserve">Responder updated this value.</t>
      </text>
    </comment>
    <comment authorId="0" ref="BM30">
      <text>
        <t xml:space="preserve">Responder updated this value.</t>
      </text>
    </comment>
    <comment authorId="0" ref="BQ30">
      <text>
        <t xml:space="preserve">Responder updated this value.</t>
      </text>
    </comment>
    <comment authorId="0" ref="BT30">
      <text>
        <t xml:space="preserve">Responder updated this value.</t>
      </text>
    </comment>
    <comment authorId="0" ref="BU30">
      <text>
        <t xml:space="preserve">Responder updated this value.</t>
      </text>
    </comment>
    <comment authorId="0" ref="BV30">
      <text>
        <t xml:space="preserve">Responder updated this value.</t>
      </text>
    </comment>
    <comment authorId="0" ref="BW30">
      <text>
        <t xml:space="preserve">Responder updated this value.</t>
      </text>
    </comment>
    <comment authorId="0" ref="AQ31">
      <text>
        <t xml:space="preserve">Responder updated this value.</t>
      </text>
    </comment>
    <comment authorId="0" ref="AR31">
      <text>
        <t xml:space="preserve">Responder updated this value.</t>
      </text>
    </comment>
    <comment authorId="0" ref="AS31">
      <text>
        <t xml:space="preserve">Responder updated this value.</t>
      </text>
    </comment>
    <comment authorId="0" ref="AW31">
      <text>
        <t xml:space="preserve">Responder updated this value.</t>
      </text>
    </comment>
    <comment authorId="0" ref="BJ31">
      <text>
        <t xml:space="preserve">Responder updated this value.</t>
      </text>
    </comment>
    <comment authorId="0" ref="BQ31">
      <text>
        <t xml:space="preserve">Responder updated this value.</t>
      </text>
    </comment>
    <comment authorId="0" ref="BT31">
      <text>
        <t xml:space="preserve">Responder updated this value.</t>
      </text>
    </comment>
    <comment authorId="0" ref="BU31">
      <text>
        <t xml:space="preserve">Responder updated this value.</t>
      </text>
    </comment>
    <comment authorId="0" ref="BV31">
      <text>
        <t xml:space="preserve">Responder updated this value.</t>
      </text>
    </comment>
    <comment authorId="0" ref="BW31">
      <text>
        <t xml:space="preserve">Responder updated this value.</t>
      </text>
    </comment>
    <comment authorId="0" ref="AN32">
      <text>
        <t xml:space="preserve">Responder updated this value.</t>
      </text>
    </comment>
    <comment authorId="0" ref="BQ32">
      <text>
        <t xml:space="preserve">Responder updated this value.</t>
      </text>
    </comment>
    <comment authorId="0" ref="BS32">
      <text>
        <t xml:space="preserve">Responder updated this value.</t>
      </text>
    </comment>
    <comment authorId="0" ref="BT32">
      <text>
        <t xml:space="preserve">Responder updated this value.</t>
      </text>
    </comment>
    <comment authorId="0" ref="BU32">
      <text>
        <t xml:space="preserve">Responder updated this value.</t>
      </text>
    </comment>
    <comment authorId="0" ref="BW32">
      <text>
        <t xml:space="preserve">Responder updated this value.</t>
      </text>
    </comment>
    <comment authorId="0" ref="AN33">
      <text>
        <t xml:space="preserve">Responder updated this value.</t>
      </text>
    </comment>
    <comment authorId="0" ref="AO33">
      <text>
        <t xml:space="preserve">Responder updated this value.</t>
      </text>
    </comment>
    <comment authorId="0" ref="AP33">
      <text>
        <t xml:space="preserve">Responder updated this value.</t>
      </text>
    </comment>
    <comment authorId="0" ref="AQ33">
      <text>
        <t xml:space="preserve">Responder updated this value.</t>
      </text>
    </comment>
    <comment authorId="0" ref="BN33">
      <text>
        <t xml:space="preserve">Responder updated this value.</t>
      </text>
    </comment>
    <comment authorId="0" ref="BQ33">
      <text>
        <t xml:space="preserve">Responder updated this value.</t>
      </text>
    </comment>
    <comment authorId="0" ref="BT33">
      <text>
        <t xml:space="preserve">Responder updated this value.</t>
      </text>
    </comment>
    <comment authorId="0" ref="BW33">
      <text>
        <t xml:space="preserve">Responder updated this value.</t>
      </text>
    </comment>
    <comment authorId="0" ref="AH34">
      <text>
        <t xml:space="preserve">Responder updated this value.</t>
      </text>
    </comment>
    <comment authorId="0" ref="AW34">
      <text>
        <t xml:space="preserve">Responder updated this value.</t>
      </text>
    </comment>
    <comment authorId="0" ref="BH34">
      <text>
        <t xml:space="preserve">Responder updated this value.</t>
      </text>
    </comment>
    <comment authorId="0" ref="BQ34">
      <text>
        <t xml:space="preserve">Responder updated this value.</t>
      </text>
    </comment>
    <comment authorId="0" ref="E35">
      <text>
        <t xml:space="preserve">Responder updated this value.</t>
      </text>
    </comment>
    <comment authorId="0" ref="BJ35">
      <text>
        <t xml:space="preserve">Responder updated this value.</t>
      </text>
    </comment>
    <comment authorId="0" ref="BN35">
      <text>
        <t xml:space="preserve">Responder updated this value.</t>
      </text>
    </comment>
    <comment authorId="0" ref="BP35">
      <text>
        <t xml:space="preserve">Responder updated this value.</t>
      </text>
    </comment>
    <comment authorId="0" ref="BQ35">
      <text>
        <t xml:space="preserve">Responder updated this value.</t>
      </text>
    </comment>
    <comment authorId="0" ref="BW35">
      <text>
        <t xml:space="preserve">Responder updated this value.</t>
      </text>
    </comment>
    <comment authorId="0" ref="AW36">
      <text>
        <t xml:space="preserve">Responder updated this value.</t>
      </text>
    </comment>
    <comment authorId="0" ref="BB36">
      <text>
        <t xml:space="preserve">Responder updated this value.</t>
      </text>
    </comment>
    <comment authorId="0" ref="BJ36">
      <text>
        <t xml:space="preserve">Responder updated this value.</t>
      </text>
    </comment>
    <comment authorId="0" ref="BM36">
      <text>
        <t xml:space="preserve">Responder updated this value.</t>
      </text>
    </comment>
    <comment authorId="0" ref="BN36">
      <text>
        <t xml:space="preserve">Responder updated this value.</t>
      </text>
    </comment>
    <comment authorId="0" ref="BQ36">
      <text>
        <t xml:space="preserve">Responder updated this value.</t>
      </text>
    </comment>
    <comment authorId="0" ref="BW36">
      <text>
        <t xml:space="preserve">Responder updated this value.</t>
      </text>
    </comment>
    <comment authorId="0" ref="AL37">
      <text>
        <t xml:space="preserve">Responder updated this value.</t>
      </text>
    </comment>
    <comment authorId="0" ref="AM37">
      <text>
        <t xml:space="preserve">Responder updated this value.</t>
      </text>
    </comment>
    <comment authorId="0" ref="AR37">
      <text>
        <t xml:space="preserve">Responder updated this value.</t>
      </text>
    </comment>
    <comment authorId="0" ref="AW37">
      <text>
        <t xml:space="preserve">Responder updated this value.</t>
      </text>
    </comment>
    <comment authorId="0" ref="BE37">
      <text>
        <t xml:space="preserve">Responder updated this value.</t>
      </text>
    </comment>
    <comment authorId="0" ref="BJ37">
      <text>
        <t xml:space="preserve">Responder updated this value.</t>
      </text>
    </comment>
    <comment authorId="0" ref="BL37">
      <text>
        <t xml:space="preserve">Responder updated this value.</t>
      </text>
    </comment>
    <comment authorId="0" ref="BM37">
      <text>
        <t xml:space="preserve">Responder updated this value.</t>
      </text>
    </comment>
    <comment authorId="0" ref="BQ37">
      <text>
        <t xml:space="preserve">Responder updated this value.</t>
      </text>
    </comment>
    <comment authorId="0" ref="BU37">
      <text>
        <t xml:space="preserve">Responder updated this value.</t>
      </text>
    </comment>
    <comment authorId="0" ref="BV37">
      <text>
        <t xml:space="preserve">Responder updated this value.</t>
      </text>
    </comment>
    <comment authorId="0" ref="BW37">
      <text>
        <t xml:space="preserve">Responder updated this value.</t>
      </text>
    </comment>
    <comment authorId="0" ref="BQ38">
      <text>
        <t xml:space="preserve">Responder updated this value.</t>
      </text>
    </comment>
    <comment authorId="0" ref="BW38">
      <text>
        <t xml:space="preserve">Responder updated this value.</t>
      </text>
    </comment>
    <comment authorId="0" ref="AQ39">
      <text>
        <t xml:space="preserve">Responder updated this value.</t>
      </text>
    </comment>
    <comment authorId="0" ref="AR39">
      <text>
        <t xml:space="preserve">Responder updated this value.</t>
      </text>
    </comment>
    <comment authorId="0" ref="AS39">
      <text>
        <t xml:space="preserve">Responder updated this value.</t>
      </text>
    </comment>
    <comment authorId="0" ref="BN39">
      <text>
        <t xml:space="preserve">Responder updated this value.</t>
      </text>
    </comment>
    <comment authorId="0" ref="BR39">
      <text>
        <t xml:space="preserve">Responder updated this value.</t>
      </text>
    </comment>
    <comment authorId="0" ref="BS39">
      <text>
        <t xml:space="preserve">Responder updated this value.</t>
      </text>
    </comment>
    <comment authorId="0" ref="BT39">
      <text>
        <t xml:space="preserve">Responder updated this value.</t>
      </text>
    </comment>
    <comment authorId="0" ref="BW39">
      <text>
        <t xml:space="preserve">Responder updated this value.</t>
      </text>
    </comment>
    <comment authorId="0" ref="BQ40">
      <text>
        <t xml:space="preserve">Responder updated this value.</t>
      </text>
    </comment>
    <comment authorId="0" ref="AL41">
      <text>
        <t xml:space="preserve">Responder updated this value.</t>
      </text>
    </comment>
    <comment authorId="0" ref="AM41">
      <text>
        <t xml:space="preserve">Responder updated this value.</t>
      </text>
    </comment>
    <comment authorId="0" ref="AO41">
      <text>
        <t xml:space="preserve">Responder updated this value.</t>
      </text>
    </comment>
    <comment authorId="0" ref="AP41">
      <text>
        <t xml:space="preserve">Responder updated this value.</t>
      </text>
    </comment>
    <comment authorId="0" ref="AQ41">
      <text>
        <t xml:space="preserve">Responder updated this value.</t>
      </text>
    </comment>
    <comment authorId="0" ref="AR41">
      <text>
        <t xml:space="preserve">Responder updated this value.</t>
      </text>
    </comment>
    <comment authorId="0" ref="AS41">
      <text>
        <t xml:space="preserve">Responder updated this value.</t>
      </text>
    </comment>
    <comment authorId="0" ref="AW41">
      <text>
        <t xml:space="preserve">Responder updated this value.</t>
      </text>
    </comment>
    <comment authorId="0" ref="AY41">
      <text>
        <t xml:space="preserve">Responder updated this value.</t>
      </text>
    </comment>
    <comment authorId="0" ref="BJ41">
      <text>
        <t xml:space="preserve">Responder updated this value.</t>
      </text>
    </comment>
    <comment authorId="0" ref="BL41">
      <text>
        <t xml:space="preserve">Responder updated this value.</t>
      </text>
    </comment>
    <comment authorId="0" ref="BM41">
      <text>
        <t xml:space="preserve">Responder updated this value.</t>
      </text>
    </comment>
    <comment authorId="0" ref="BN41">
      <text>
        <t xml:space="preserve">Responder updated this value.</t>
      </text>
    </comment>
    <comment authorId="0" ref="BQ41">
      <text>
        <t xml:space="preserve">Responder updated this value.</t>
      </text>
    </comment>
    <comment authorId="0" ref="BT41">
      <text>
        <t xml:space="preserve">Responder updated this value.</t>
      </text>
    </comment>
    <comment authorId="0" ref="BU41">
      <text>
        <t xml:space="preserve">Responder updated this value.</t>
      </text>
    </comment>
    <comment authorId="0" ref="BV41">
      <text>
        <t xml:space="preserve">Responder updated this value.</t>
      </text>
    </comment>
    <comment authorId="0" ref="BW41">
      <text>
        <t xml:space="preserve">Responder updated this value.</t>
      </text>
    </comment>
    <comment authorId="0" ref="W42">
      <text>
        <t xml:space="preserve">Responder updated this value.</t>
      </text>
    </comment>
    <comment authorId="0" ref="AM42">
      <text>
        <t xml:space="preserve">Responder updated this value.</t>
      </text>
    </comment>
    <comment authorId="0" ref="AP42">
      <text>
        <t xml:space="preserve">Responder updated this value.</t>
      </text>
    </comment>
    <comment authorId="0" ref="AQ42">
      <text>
        <t xml:space="preserve">Responder updated this value.</t>
      </text>
    </comment>
    <comment authorId="0" ref="AR42">
      <text>
        <t xml:space="preserve">Responder updated this value.</t>
      </text>
    </comment>
    <comment authorId="0" ref="AS42">
      <text>
        <t xml:space="preserve">Responder updated this value.</t>
      </text>
    </comment>
    <comment authorId="0" ref="AY42">
      <text>
        <t xml:space="preserve">Responder updated this value.</t>
      </text>
    </comment>
    <comment authorId="0" ref="BE42">
      <text>
        <t xml:space="preserve">Responder updated this value.</t>
      </text>
    </comment>
    <comment authorId="0" ref="BI42">
      <text>
        <t xml:space="preserve">Responder updated this value.</t>
      </text>
    </comment>
    <comment authorId="0" ref="BJ42">
      <text>
        <t xml:space="preserve">Responder updated this value.</t>
      </text>
    </comment>
    <comment authorId="0" ref="BM42">
      <text>
        <t xml:space="preserve">Responder updated this value.</t>
      </text>
    </comment>
    <comment authorId="0" ref="BQ42">
      <text>
        <t xml:space="preserve">Responder updated this value.</t>
      </text>
    </comment>
    <comment authorId="0" ref="BT42">
      <text>
        <t xml:space="preserve">Responder updated this value.</t>
      </text>
    </comment>
    <comment authorId="0" ref="BV42">
      <text>
        <t xml:space="preserve">Responder updated this value.</t>
      </text>
    </comment>
    <comment authorId="0" ref="BW42">
      <text>
        <t xml:space="preserve">Responder updated this value.</t>
      </text>
    </comment>
    <comment authorId="0" ref="AM43">
      <text>
        <t xml:space="preserve">Responder updated this value.</t>
      </text>
    </comment>
    <comment authorId="0" ref="AQ43">
      <text>
        <t xml:space="preserve">Responder updated this value.</t>
      </text>
    </comment>
    <comment authorId="0" ref="AR43">
      <text>
        <t xml:space="preserve">Responder updated this value.</t>
      </text>
    </comment>
    <comment authorId="0" ref="AS43">
      <text>
        <t xml:space="preserve">Responder updated this value.</t>
      </text>
    </comment>
    <comment authorId="0" ref="AW43">
      <text>
        <t xml:space="preserve">Responder updated this value.</t>
      </text>
    </comment>
    <comment authorId="0" ref="BJ43">
      <text>
        <t xml:space="preserve">Responder updated this value.</t>
      </text>
    </comment>
    <comment authorId="0" ref="BM43">
      <text>
        <t xml:space="preserve">Responder updated this value.</t>
      </text>
    </comment>
    <comment authorId="0" ref="BQ43">
      <text>
        <t xml:space="preserve">Responder updated this value.</t>
      </text>
    </comment>
    <comment authorId="0" ref="BT43">
      <text>
        <t xml:space="preserve">Responder updated this value.</t>
      </text>
    </comment>
    <comment authorId="0" ref="BV43">
      <text>
        <t xml:space="preserve">Responder updated this value.</t>
      </text>
    </comment>
    <comment authorId="0" ref="BW43">
      <text>
        <t xml:space="preserve">Responder updated this value.</t>
      </text>
    </comment>
    <comment authorId="0" ref="AM44">
      <text>
        <t xml:space="preserve">Responder updated this value.</t>
      </text>
    </comment>
    <comment authorId="0" ref="AO44">
      <text>
        <t xml:space="preserve">Responder updated this value.</t>
      </text>
    </comment>
    <comment authorId="0" ref="AP44">
      <text>
        <t xml:space="preserve">Responder updated this value.</t>
      </text>
    </comment>
    <comment authorId="0" ref="AQ44">
      <text>
        <t xml:space="preserve">Responder updated this value.</t>
      </text>
    </comment>
    <comment authorId="0" ref="AR44">
      <text>
        <t xml:space="preserve">Responder updated this value.</t>
      </text>
    </comment>
    <comment authorId="0" ref="AS44">
      <text>
        <t xml:space="preserve">Responder updated this value.</t>
      </text>
    </comment>
    <comment authorId="0" ref="AU44">
      <text>
        <t xml:space="preserve">Responder updated this value.</t>
      </text>
    </comment>
    <comment authorId="0" ref="AV44">
      <text>
        <t xml:space="preserve">Responder updated this value.</t>
      </text>
    </comment>
    <comment authorId="0" ref="BE44">
      <text>
        <t xml:space="preserve">Responder updated this value.</t>
      </text>
    </comment>
    <comment authorId="0" ref="BH44">
      <text>
        <t xml:space="preserve">Responder updated this value.</t>
      </text>
    </comment>
    <comment authorId="0" ref="BI44">
      <text>
        <t xml:space="preserve">Responder updated this value.</t>
      </text>
    </comment>
    <comment authorId="0" ref="BJ44">
      <text>
        <t xml:space="preserve">Responder updated this value.</t>
      </text>
    </comment>
    <comment authorId="0" ref="BL44">
      <text>
        <t xml:space="preserve">Responder updated this value.</t>
      </text>
    </comment>
    <comment authorId="0" ref="BM44">
      <text>
        <t xml:space="preserve">Responder updated this value.</t>
      </text>
    </comment>
    <comment authorId="0" ref="BN44">
      <text>
        <t xml:space="preserve">Responder updated this value.</t>
      </text>
    </comment>
    <comment authorId="0" ref="BQ44">
      <text>
        <t xml:space="preserve">Responder updated this value.</t>
      </text>
    </comment>
    <comment authorId="0" ref="BR44">
      <text>
        <t xml:space="preserve">Responder updated this value.</t>
      </text>
    </comment>
    <comment authorId="0" ref="BS44">
      <text>
        <t xml:space="preserve">Responder updated this value.</t>
      </text>
    </comment>
    <comment authorId="0" ref="BT44">
      <text>
        <t xml:space="preserve">Responder updated this value.</t>
      </text>
    </comment>
    <comment authorId="0" ref="BU44">
      <text>
        <t xml:space="preserve">Responder updated this value.</t>
      </text>
    </comment>
    <comment authorId="0" ref="BV44">
      <text>
        <t xml:space="preserve">Responder updated this value.</t>
      </text>
    </comment>
    <comment authorId="0" ref="BW44">
      <text>
        <t xml:space="preserve">Responder updated this value.</t>
      </text>
    </comment>
    <comment authorId="0" ref="AQ45">
      <text>
        <t xml:space="preserve">Responder updated this value.</t>
      </text>
    </comment>
    <comment authorId="0" ref="AV45">
      <text>
        <t xml:space="preserve">Responder updated this value.</t>
      </text>
    </comment>
    <comment authorId="0" ref="AY45">
      <text>
        <t xml:space="preserve">Responder updated this value.</t>
      </text>
    </comment>
    <comment authorId="0" ref="BE45">
      <text>
        <t xml:space="preserve">Responder updated this value.</t>
      </text>
    </comment>
    <comment authorId="0" ref="BI45">
      <text>
        <t xml:space="preserve">Responder updated this value.</t>
      </text>
    </comment>
    <comment authorId="0" ref="BJ45">
      <text>
        <t xml:space="preserve">Responder updated this value.</t>
      </text>
    </comment>
    <comment authorId="0" ref="BN45">
      <text>
        <t xml:space="preserve">Responder updated this value.</t>
      </text>
    </comment>
    <comment authorId="0" ref="BQ45">
      <text>
        <t xml:space="preserve">Responder updated this value.</t>
      </text>
    </comment>
    <comment authorId="0" ref="BT45">
      <text>
        <t xml:space="preserve">Responder updated this value.</t>
      </text>
    </comment>
    <comment authorId="0" ref="BW45">
      <text>
        <t xml:space="preserve">Responder updated this value.</t>
      </text>
    </comment>
    <comment authorId="0" ref="AL46">
      <text>
        <t xml:space="preserve">Responder updated this value.</t>
      </text>
    </comment>
    <comment authorId="0" ref="AM46">
      <text>
        <t xml:space="preserve">Responder updated this value.</t>
      </text>
    </comment>
    <comment authorId="0" ref="AQ46">
      <text>
        <t xml:space="preserve">Responder updated this value.</t>
      </text>
    </comment>
    <comment authorId="0" ref="AR46">
      <text>
        <t xml:space="preserve">Responder updated this value.</t>
      </text>
    </comment>
    <comment authorId="0" ref="BJ46">
      <text>
        <t xml:space="preserve">Responder updated this value.</t>
      </text>
    </comment>
    <comment authorId="0" ref="BN46">
      <text>
        <t xml:space="preserve">Responder updated this value.</t>
      </text>
    </comment>
    <comment authorId="0" ref="BQ46">
      <text>
        <t xml:space="preserve">Responder updated this value.</t>
      </text>
    </comment>
    <comment authorId="0" ref="AQ47">
      <text>
        <t xml:space="preserve">Responder updated this value.</t>
      </text>
    </comment>
    <comment authorId="0" ref="AR47">
      <text>
        <t xml:space="preserve">Responder updated this value.</t>
      </text>
    </comment>
    <comment authorId="0" ref="AW47">
      <text>
        <t xml:space="preserve">Responder updated this value.</t>
      </text>
    </comment>
    <comment authorId="0" ref="BC47">
      <text>
        <t xml:space="preserve">Responder updated this value.</t>
      </text>
    </comment>
    <comment authorId="0" ref="BI47">
      <text>
        <t xml:space="preserve">Responder updated this value.</t>
      </text>
    </comment>
    <comment authorId="0" ref="BJ47">
      <text>
        <t xml:space="preserve">Responder updated this value.</t>
      </text>
    </comment>
    <comment authorId="0" ref="BQ47">
      <text>
        <t xml:space="preserve">Responder updated this value.</t>
      </text>
    </comment>
    <comment authorId="0" ref="BS47">
      <text>
        <t xml:space="preserve">Responder updated this value.</t>
      </text>
    </comment>
    <comment authorId="0" ref="BT47">
      <text>
        <t xml:space="preserve">Responder updated this value.</t>
      </text>
    </comment>
    <comment authorId="0" ref="BV47">
      <text>
        <t xml:space="preserve">Responder updated this value.</t>
      </text>
    </comment>
    <comment authorId="0" ref="BW47">
      <text>
        <t xml:space="preserve">Responder updated this value.</t>
      </text>
    </comment>
    <comment authorId="0" ref="AQ48">
      <text>
        <t xml:space="preserve">Responder updated this value.</t>
      </text>
    </comment>
    <comment authorId="0" ref="AS48">
      <text>
        <t xml:space="preserve">Responder updated this value.</t>
      </text>
    </comment>
    <comment authorId="0" ref="BE48">
      <text>
        <t xml:space="preserve">Responder updated this value.</t>
      </text>
    </comment>
    <comment authorId="0" ref="BJ48">
      <text>
        <t xml:space="preserve">Responder updated this value.</t>
      </text>
    </comment>
    <comment authorId="0" ref="BQ48">
      <text>
        <t xml:space="preserve">Responder updated this value.</t>
      </text>
    </comment>
    <comment authorId="0" ref="BQ49">
      <text>
        <t xml:space="preserve">Responder updated this value.</t>
      </text>
    </comment>
    <comment authorId="0" ref="BT49">
      <text>
        <t xml:space="preserve">Responder updated this value.</t>
      </text>
    </comment>
    <comment authorId="0" ref="BV49">
      <text>
        <t xml:space="preserve">Responder updated this value.</t>
      </text>
    </comment>
    <comment authorId="0" ref="BW49">
      <text>
        <t xml:space="preserve">Responder updated this value.</t>
      </text>
    </comment>
    <comment authorId="0" ref="S50">
      <text>
        <t xml:space="preserve">Responder updated this value.</t>
      </text>
    </comment>
    <comment authorId="0" ref="V50">
      <text>
        <t xml:space="preserve">Responder updated this value.</t>
      </text>
    </comment>
    <comment authorId="0" ref="W50">
      <text>
        <t xml:space="preserve">Responder updated this value.</t>
      </text>
    </comment>
    <comment authorId="0" ref="AQ50">
      <text>
        <t xml:space="preserve">Responder updated this value.</t>
      </text>
    </comment>
    <comment authorId="0" ref="AS50">
      <text>
        <t xml:space="preserve">Responder updated this value.</t>
      </text>
    </comment>
    <comment authorId="0" ref="AW50">
      <text>
        <t xml:space="preserve">Responder updated this value.</t>
      </text>
    </comment>
    <comment authorId="0" ref="AY50">
      <text>
        <t xml:space="preserve">Responder updated this value.</t>
      </text>
    </comment>
    <comment authorId="0" ref="BE50">
      <text>
        <t xml:space="preserve">Responder updated this value.</t>
      </text>
    </comment>
    <comment authorId="0" ref="BG50">
      <text>
        <t xml:space="preserve">Responder updated this value.</t>
      </text>
    </comment>
    <comment authorId="0" ref="BH50">
      <text>
        <t xml:space="preserve">Responder updated this value.</t>
      </text>
    </comment>
    <comment authorId="0" ref="BI50">
      <text>
        <t xml:space="preserve">Responder updated this value.</t>
      </text>
    </comment>
    <comment authorId="0" ref="BJ50">
      <text>
        <t xml:space="preserve">Responder updated this value.</t>
      </text>
    </comment>
    <comment authorId="0" ref="BN50">
      <text>
        <t xml:space="preserve">Responder updated this value.</t>
      </text>
    </comment>
    <comment authorId="0" ref="BQ50">
      <text>
        <t xml:space="preserve">Responder updated this value.</t>
      </text>
    </comment>
    <comment authorId="0" ref="BR50">
      <text>
        <t xml:space="preserve">Responder updated this value.</t>
      </text>
    </comment>
    <comment authorId="0" ref="BS50">
      <text>
        <t xml:space="preserve">Responder updated this value.</t>
      </text>
    </comment>
    <comment authorId="0" ref="BT50">
      <text>
        <t xml:space="preserve">Responder updated this value.</t>
      </text>
    </comment>
    <comment authorId="0" ref="BV50">
      <text>
        <t xml:space="preserve">Responder updated this value.</t>
      </text>
    </comment>
    <comment authorId="0" ref="BW50">
      <text>
        <t xml:space="preserve">Responder updated this value.</t>
      </text>
    </comment>
    <comment authorId="0" ref="AB51">
      <text>
        <t xml:space="preserve">Responder updated this value.</t>
      </text>
    </comment>
    <comment authorId="0" ref="AH51">
      <text>
        <t xml:space="preserve">Responder updated this value.</t>
      </text>
    </comment>
    <comment authorId="0" ref="AJ51">
      <text>
        <t xml:space="preserve">Responder updated this value.</t>
      </text>
    </comment>
    <comment authorId="0" ref="AK51">
      <text>
        <t xml:space="preserve">Responder updated this value.</t>
      </text>
    </comment>
    <comment authorId="0" ref="AL51">
      <text>
        <t xml:space="preserve">Responder updated this value.</t>
      </text>
    </comment>
    <comment authorId="0" ref="AM51">
      <text>
        <t xml:space="preserve">Responder updated this value.</t>
      </text>
    </comment>
    <comment authorId="0" ref="AQ51">
      <text>
        <t xml:space="preserve">Responder updated this value.</t>
      </text>
    </comment>
    <comment authorId="0" ref="AS51">
      <text>
        <t xml:space="preserve">Responder updated this value.</t>
      </text>
    </comment>
    <comment authorId="0" ref="BJ51">
      <text>
        <t xml:space="preserve">Responder updated this value.</t>
      </text>
    </comment>
    <comment authorId="0" ref="BQ51">
      <text>
        <t xml:space="preserve">Responder updated this value.</t>
      </text>
    </comment>
    <comment authorId="0" ref="BW51">
      <text>
        <t xml:space="preserve">Responder updated this value.</t>
      </text>
    </comment>
    <comment authorId="0" ref="BJ52">
      <text>
        <t xml:space="preserve">Responder updated this value.</t>
      </text>
    </comment>
    <comment authorId="0" ref="BQ52">
      <text>
        <t xml:space="preserve">Responder updated this value.</t>
      </text>
    </comment>
    <comment authorId="0" ref="BW52">
      <text>
        <t xml:space="preserve">Responder updated this value.</t>
      </text>
    </comment>
    <comment authorId="0" ref="BJ53">
      <text>
        <t xml:space="preserve">Responder updated this value.</t>
      </text>
    </comment>
    <comment authorId="0" ref="BP53">
      <text>
        <t xml:space="preserve">Responder updated this value.</t>
      </text>
    </comment>
    <comment authorId="0" ref="BQ53">
      <text>
        <t xml:space="preserve">Responder updated this value.</t>
      </text>
    </comment>
    <comment authorId="0" ref="BW53">
      <text>
        <t xml:space="preserve">Responder updated this value.</t>
      </text>
    </comment>
    <comment authorId="0" ref="W58">
      <text>
        <t xml:space="preserve">Responder updated this value.</t>
      </text>
    </comment>
    <comment authorId="0" ref="AB58">
      <text>
        <t xml:space="preserve">Responder updated this value.</t>
      </text>
    </comment>
    <comment authorId="0" ref="AC58">
      <text>
        <t xml:space="preserve">Responder updated this value.</t>
      </text>
    </comment>
    <comment authorId="0" ref="AN58">
      <text>
        <t xml:space="preserve">Responder updated this value.</t>
      </text>
    </comment>
    <comment authorId="0" ref="AP58">
      <text>
        <t xml:space="preserve">Responder updated this value.</t>
      </text>
    </comment>
    <comment authorId="0" ref="BT58">
      <text>
        <t xml:space="preserve">Responder updated this value.</t>
      </text>
    </comment>
    <comment authorId="0" ref="P59">
      <text>
        <t xml:space="preserve">Responder updated this value.</t>
      </text>
    </comment>
    <comment authorId="0" ref="AO59">
      <text>
        <t xml:space="preserve">Responder updated this value.</t>
      </text>
    </comment>
    <comment authorId="0" ref="AP59">
      <text>
        <t xml:space="preserve">Responder updated this value.</t>
      </text>
    </comment>
    <comment authorId="0" ref="AQ59">
      <text>
        <t xml:space="preserve">Responder updated this value.</t>
      </text>
    </comment>
    <comment authorId="0" ref="AW59">
      <text>
        <t xml:space="preserve">Responder updated this value.</t>
      </text>
    </comment>
    <comment authorId="0" ref="BB59">
      <text>
        <t xml:space="preserve">Responder updated this value.</t>
      </text>
    </comment>
    <comment authorId="0" ref="BL59">
      <text>
        <t xml:space="preserve">Responder updated this value.</t>
      </text>
    </comment>
    <comment authorId="0" ref="BM59">
      <text>
        <t xml:space="preserve">Responder updated this value.</t>
      </text>
    </comment>
    <comment authorId="0" ref="BN59">
      <text>
        <t xml:space="preserve">Responder updated this value.</t>
      </text>
    </comment>
    <comment authorId="0" ref="BQ59">
      <text>
        <t xml:space="preserve">Responder updated this value.</t>
      </text>
    </comment>
    <comment authorId="0" ref="BW59">
      <text>
        <t xml:space="preserve">Responder updated this value.</t>
      </text>
    </comment>
    <comment authorId="0" ref="P60">
      <text>
        <t xml:space="preserve">Responder updated this value.</t>
      </text>
    </comment>
    <comment authorId="0" ref="AO60">
      <text>
        <t xml:space="preserve">Responder updated this value.</t>
      </text>
    </comment>
    <comment authorId="0" ref="AP60">
      <text>
        <t xml:space="preserve">Responder updated this value.</t>
      </text>
    </comment>
    <comment authorId="0" ref="AQ60">
      <text>
        <t xml:space="preserve">Responder updated this value.</t>
      </text>
    </comment>
    <comment authorId="0" ref="AR60">
      <text>
        <t xml:space="preserve">Responder updated this value.</t>
      </text>
    </comment>
    <comment authorId="0" ref="AS60">
      <text>
        <t xml:space="preserve">Responder updated this value.</t>
      </text>
    </comment>
    <comment authorId="0" ref="AT60">
      <text>
        <t xml:space="preserve">Responder updated this value.</t>
      </text>
    </comment>
    <comment authorId="0" ref="BI60">
      <text>
        <t xml:space="preserve">Responder updated this value.</t>
      </text>
    </comment>
    <comment authorId="0" ref="BJ60">
      <text>
        <t xml:space="preserve">Responder updated this value.</t>
      </text>
    </comment>
    <comment authorId="0" ref="BL60">
      <text>
        <t xml:space="preserve">Responder updated this value.</t>
      </text>
    </comment>
    <comment authorId="0" ref="BM60">
      <text>
        <t xml:space="preserve">Responder updated this value.</t>
      </text>
    </comment>
    <comment authorId="0" ref="BQ60">
      <text>
        <t xml:space="preserve">Responder updated this value.</t>
      </text>
    </comment>
    <comment authorId="0" ref="P61">
      <text>
        <t xml:space="preserve">Responder updated this value.</t>
      </text>
    </comment>
    <comment authorId="0" ref="S61">
      <text>
        <t xml:space="preserve">Responder updated this value.</t>
      </text>
    </comment>
    <comment authorId="0" ref="AQ61">
      <text>
        <t xml:space="preserve">Responder updated this value.</t>
      </text>
    </comment>
    <comment authorId="0" ref="AS61">
      <text>
        <t xml:space="preserve">Responder updated this value.</t>
      </text>
    </comment>
    <comment authorId="0" ref="AW61">
      <text>
        <t xml:space="preserve">Responder updated this value.</t>
      </text>
    </comment>
    <comment authorId="0" ref="BC61">
      <text>
        <t xml:space="preserve">Responder updated this value.</t>
      </text>
    </comment>
    <comment authorId="0" ref="BI61">
      <text>
        <t xml:space="preserve">Responder updated this value.</t>
      </text>
    </comment>
    <comment authorId="0" ref="BJ61">
      <text>
        <t xml:space="preserve">Responder updated this value.</t>
      </text>
    </comment>
    <comment authorId="0" ref="BN61">
      <text>
        <t xml:space="preserve">Responder updated this value.</t>
      </text>
    </comment>
    <comment authorId="0" ref="BQ61">
      <text>
        <t xml:space="preserve">Responder updated this value.</t>
      </text>
    </comment>
    <comment authorId="0" ref="AL62">
      <text>
        <t xml:space="preserve">Responder updated this value.</t>
      </text>
    </comment>
    <comment authorId="0" ref="AM62">
      <text>
        <t xml:space="preserve">Responder updated this value.</t>
      </text>
    </comment>
    <comment authorId="0" ref="AQ62">
      <text>
        <t xml:space="preserve">Responder updated this value.</t>
      </text>
    </comment>
    <comment authorId="0" ref="AR62">
      <text>
        <t xml:space="preserve">Responder updated this value.</t>
      </text>
    </comment>
    <comment authorId="0" ref="BE62">
      <text>
        <t xml:space="preserve">Responder updated this value.</t>
      </text>
    </comment>
    <comment authorId="0" ref="BL62">
      <text>
        <t xml:space="preserve">Responder updated this value.</t>
      </text>
    </comment>
    <comment authorId="0" ref="BM62">
      <text>
        <t xml:space="preserve">Responder updated this value.</t>
      </text>
    </comment>
    <comment authorId="0" ref="BP62">
      <text>
        <t xml:space="preserve">Responder updated this value.</t>
      </text>
    </comment>
    <comment authorId="0" ref="BQ62">
      <text>
        <t xml:space="preserve">Responder updated this value.</t>
      </text>
    </comment>
    <comment authorId="0" ref="BW62">
      <text>
        <t xml:space="preserve">Responder updated this value.</t>
      </text>
    </comment>
    <comment authorId="0" ref="BC63">
      <text>
        <t xml:space="preserve">Responder updated this value.</t>
      </text>
    </comment>
    <comment authorId="0" ref="BM63">
      <text>
        <t xml:space="preserve">Responder updated this value.</t>
      </text>
    </comment>
    <comment authorId="0" ref="BQ63">
      <text>
        <t xml:space="preserve">Responder updated this value.</t>
      </text>
    </comment>
    <comment authorId="0" ref="BW63">
      <text>
        <t xml:space="preserve">Responder updated this value.</t>
      </text>
    </comment>
    <comment authorId="0" ref="AQ64">
      <text>
        <t xml:space="preserve">Responder updated this value.</t>
      </text>
    </comment>
    <comment authorId="0" ref="AR64">
      <text>
        <t xml:space="preserve">Responder updated this value.</t>
      </text>
    </comment>
    <comment authorId="0" ref="AS64">
      <text>
        <t xml:space="preserve">Responder updated this value.</t>
      </text>
    </comment>
    <comment authorId="0" ref="BH64">
      <text>
        <t xml:space="preserve">Responder updated this value.</t>
      </text>
    </comment>
    <comment authorId="0" ref="BJ64">
      <text>
        <t xml:space="preserve">Responder updated this value.</t>
      </text>
    </comment>
    <comment authorId="0" ref="BQ64">
      <text>
        <t xml:space="preserve">Responder updated this value.</t>
      </text>
    </comment>
    <comment authorId="0" ref="BT64">
      <text>
        <t xml:space="preserve">Responder updated this value.</t>
      </text>
    </comment>
    <comment authorId="0" ref="BU64">
      <text>
        <t xml:space="preserve">Responder updated this value.</t>
      </text>
    </comment>
    <comment authorId="0" ref="BV64">
      <text>
        <t xml:space="preserve">Responder updated this value.</t>
      </text>
    </comment>
    <comment authorId="0" ref="BW64">
      <text>
        <t xml:space="preserve">Responder updated this value.</t>
      </text>
    </comment>
    <comment authorId="0" ref="AW65">
      <text>
        <t xml:space="preserve">Responder updated this value.</t>
      </text>
    </comment>
    <comment authorId="0" ref="BQ65">
      <text>
        <t xml:space="preserve">Responder updated this value.</t>
      </text>
    </comment>
    <comment authorId="0" ref="BT65">
      <text>
        <t xml:space="preserve">Responder updated this value.</t>
      </text>
    </comment>
    <comment authorId="0" ref="BW65">
      <text>
        <t xml:space="preserve">Responder updated this value.</t>
      </text>
    </comment>
    <comment authorId="0" ref="BL66">
      <text>
        <t xml:space="preserve">Responder updated this value.</t>
      </text>
    </comment>
    <comment authorId="0" ref="BM66">
      <text>
        <t xml:space="preserve">Responder updated this value.</t>
      </text>
    </comment>
    <comment authorId="0" ref="BN66">
      <text>
        <t xml:space="preserve">Responder updated this value.</t>
      </text>
    </comment>
    <comment authorId="0" ref="BQ66">
      <text>
        <t xml:space="preserve">Responder updated this value.</t>
      </text>
    </comment>
    <comment authorId="0" ref="BW66">
      <text>
        <t xml:space="preserve">Responder updated this value.</t>
      </text>
    </comment>
    <comment authorId="0" ref="AQ67">
      <text>
        <t xml:space="preserve">Responder updated this value.</t>
      </text>
    </comment>
    <comment authorId="0" ref="AS67">
      <text>
        <t xml:space="preserve">Responder updated this value.</t>
      </text>
    </comment>
    <comment authorId="0" ref="BJ67">
      <text>
        <t xml:space="preserve">Responder updated this value.</t>
      </text>
    </comment>
    <comment authorId="0" ref="BL67">
      <text>
        <t xml:space="preserve">Responder updated this value.</t>
      </text>
    </comment>
    <comment authorId="0" ref="BM67">
      <text>
        <t xml:space="preserve">Responder updated this value.</t>
      </text>
    </comment>
    <comment authorId="0" ref="BP67">
      <text>
        <t xml:space="preserve">Responder updated this value.</t>
      </text>
    </comment>
    <comment authorId="0" ref="BQ67">
      <text>
        <t xml:space="preserve">Responder updated this value.</t>
      </text>
    </comment>
    <comment authorId="0" ref="BR67">
      <text>
        <t xml:space="preserve">Responder updated this value.</t>
      </text>
    </comment>
    <comment authorId="0" ref="BT67">
      <text>
        <t xml:space="preserve">Responder updated this value.</t>
      </text>
    </comment>
    <comment authorId="0" ref="BU67">
      <text>
        <t xml:space="preserve">Responder updated this value.</t>
      </text>
    </comment>
    <comment authorId="0" ref="BV67">
      <text>
        <t xml:space="preserve">Responder updated this value.</t>
      </text>
    </comment>
    <comment authorId="0" ref="BW67">
      <text>
        <t xml:space="preserve">Responder updated this value.</t>
      </text>
    </comment>
    <comment authorId="0" ref="AQ68">
      <text>
        <t xml:space="preserve">Responder updated this value.</t>
      </text>
    </comment>
    <comment authorId="0" ref="AR68">
      <text>
        <t xml:space="preserve">Responder updated this value.</t>
      </text>
    </comment>
    <comment authorId="0" ref="AS68">
      <text>
        <t xml:space="preserve">Responder updated this value.</t>
      </text>
    </comment>
    <comment authorId="0" ref="AX68">
      <text>
        <t xml:space="preserve">Responder updated this value.</t>
      </text>
    </comment>
    <comment authorId="0" ref="AY68">
      <text>
        <t xml:space="preserve">Responder updated this value.</t>
      </text>
    </comment>
    <comment authorId="0" ref="BA68">
      <text>
        <t xml:space="preserve">Responder updated this value.</t>
      </text>
    </comment>
    <comment authorId="0" ref="BB68">
      <text>
        <t xml:space="preserve">Responder updated this value.</t>
      </text>
    </comment>
    <comment authorId="0" ref="BE68">
      <text>
        <t xml:space="preserve">Responder updated this value.</t>
      </text>
    </comment>
    <comment authorId="0" ref="BI68">
      <text>
        <t xml:space="preserve">Responder updated this value.</t>
      </text>
    </comment>
    <comment authorId="0" ref="BQ68">
      <text>
        <t xml:space="preserve">Responder updated this value.</t>
      </text>
    </comment>
    <comment authorId="0" ref="BR68">
      <text>
        <t xml:space="preserve">Responder updated this value.</t>
      </text>
    </comment>
    <comment authorId="0" ref="BS68">
      <text>
        <t xml:space="preserve">Responder updated this value.</t>
      </text>
    </comment>
    <comment authorId="0" ref="BT68">
      <text>
        <t xml:space="preserve">Responder updated this value.</t>
      </text>
    </comment>
    <comment authorId="0" ref="BU68">
      <text>
        <t xml:space="preserve">Responder updated this value.</t>
      </text>
    </comment>
    <comment authorId="0" ref="BV68">
      <text>
        <t xml:space="preserve">Responder updated this value.</t>
      </text>
    </comment>
    <comment authorId="0" ref="BW68">
      <text>
        <t xml:space="preserve">Responder updated this value.</t>
      </text>
    </comment>
    <comment authorId="0" ref="BJ69">
      <text>
        <t xml:space="preserve">Responder updated this value.</t>
      </text>
    </comment>
    <comment authorId="0" ref="BQ69">
      <text>
        <t xml:space="preserve">Responder updated this value.</t>
      </text>
    </comment>
    <comment authorId="0" ref="AW70">
      <text>
        <t xml:space="preserve">Responder updated this value.</t>
      </text>
    </comment>
    <comment authorId="0" ref="BJ70">
      <text>
        <t xml:space="preserve">Responder updated this value.</t>
      </text>
    </comment>
    <comment authorId="0" ref="BN70">
      <text>
        <t xml:space="preserve">Responder updated this value.</t>
      </text>
    </comment>
    <comment authorId="0" ref="BQ70">
      <text>
        <t xml:space="preserve">Responder updated this value.</t>
      </text>
    </comment>
    <comment authorId="0" ref="BW70">
      <text>
        <t xml:space="preserve">Responder updated this value.</t>
      </text>
    </comment>
    <comment authorId="0" ref="AW71">
      <text>
        <t xml:space="preserve">Responder updated this value.</t>
      </text>
    </comment>
    <comment authorId="0" ref="BQ71">
      <text>
        <t xml:space="preserve">Responder updated this value.</t>
      </text>
    </comment>
    <comment authorId="0" ref="AQ72">
      <text>
        <t xml:space="preserve">Responder updated this value.</t>
      </text>
    </comment>
    <comment authorId="0" ref="BQ72">
      <text>
        <t xml:space="preserve">Responder updated this value.</t>
      </text>
    </comment>
    <comment authorId="0" ref="BR72">
      <text>
        <t xml:space="preserve">Responder updated this value.</t>
      </text>
    </comment>
    <comment authorId="0" ref="BS72">
      <text>
        <t xml:space="preserve">Responder updated this value.</t>
      </text>
    </comment>
    <comment authorId="0" ref="BT72">
      <text>
        <t xml:space="preserve">Responder updated this value.</t>
      </text>
    </comment>
    <comment authorId="0" ref="BU72">
      <text>
        <t xml:space="preserve">Responder updated this value.</t>
      </text>
    </comment>
    <comment authorId="0" ref="BV72">
      <text>
        <t xml:space="preserve">Responder updated this value.</t>
      </text>
    </comment>
    <comment authorId="0" ref="BW72">
      <text>
        <t xml:space="preserve">Responder updated this value.</t>
      </text>
    </comment>
    <comment authorId="0" ref="BJ73">
      <text>
        <t xml:space="preserve">Responder updated this value.</t>
      </text>
    </comment>
    <comment authorId="0" ref="BQ73">
      <text>
        <t xml:space="preserve">Responder updated this value.</t>
      </text>
    </comment>
    <comment authorId="0" ref="BW73">
      <text>
        <t xml:space="preserve">Responder updated this value.</t>
      </text>
    </comment>
    <comment authorId="0" ref="AB74">
      <text>
        <t xml:space="preserve">Responder updated this value.</t>
      </text>
    </comment>
    <comment authorId="0" ref="AC74">
      <text>
        <t xml:space="preserve">Responder updated this value.</t>
      </text>
    </comment>
    <comment authorId="0" ref="AQ74">
      <text>
        <t xml:space="preserve">Responder updated this value.</t>
      </text>
    </comment>
    <comment authorId="0" ref="AS74">
      <text>
        <t xml:space="preserve">Responder updated this value.</t>
      </text>
    </comment>
    <comment authorId="0" ref="AV74">
      <text>
        <t xml:space="preserve">Responder updated this value.</t>
      </text>
    </comment>
    <comment authorId="0" ref="AW74">
      <text>
        <t xml:space="preserve">Responder updated this value.</t>
      </text>
    </comment>
    <comment authorId="0" ref="AY74">
      <text>
        <t xml:space="preserve">Responder updated this value.</t>
      </text>
    </comment>
    <comment authorId="0" ref="BC74">
      <text>
        <t xml:space="preserve">Responder updated this value.</t>
      </text>
    </comment>
    <comment authorId="0" ref="BD74">
      <text>
        <t xml:space="preserve">Responder updated this value.</t>
      </text>
    </comment>
    <comment authorId="0" ref="BQ74">
      <text>
        <t xml:space="preserve">Responder updated this value.</t>
      </text>
    </comment>
    <comment authorId="0" ref="BT74">
      <text>
        <t xml:space="preserve">Responder updated this value.</t>
      </text>
    </comment>
    <comment authorId="0" ref="BW74">
      <text>
        <t xml:space="preserve">Responder updated this value.</t>
      </text>
    </comment>
    <comment authorId="0" ref="AS75">
      <text>
        <t xml:space="preserve">Responder updated this value.</t>
      </text>
    </comment>
    <comment authorId="0" ref="BJ75">
      <text>
        <t xml:space="preserve">Responder updated this value.</t>
      </text>
    </comment>
    <comment authorId="0" ref="BN75">
      <text>
        <t xml:space="preserve">Responder updated this value.</t>
      </text>
    </comment>
    <comment authorId="0" ref="BQ75">
      <text>
        <t xml:space="preserve">Responder updated this value.</t>
      </text>
    </comment>
    <comment authorId="0" ref="BT75">
      <text>
        <t xml:space="preserve">Responder updated this value.</t>
      </text>
    </comment>
    <comment authorId="0" ref="BW75">
      <text>
        <t xml:space="preserve">Responder updated this value.</t>
      </text>
    </comment>
    <comment authorId="0" ref="BJ76">
      <text>
        <t xml:space="preserve">Responder updated this value.</t>
      </text>
    </comment>
    <comment authorId="0" ref="BQ76">
      <text>
        <t xml:space="preserve">Responder updated this value.</t>
      </text>
    </comment>
    <comment authorId="0" ref="BW76">
      <text>
        <t xml:space="preserve">Responder updated this value.</t>
      </text>
    </comment>
    <comment authorId="0" ref="AQ77">
      <text>
        <t xml:space="preserve">Responder updated this value.</t>
      </text>
    </comment>
    <comment authorId="0" ref="AV77">
      <text>
        <t xml:space="preserve">Responder updated this value.</t>
      </text>
    </comment>
    <comment authorId="0" ref="AW77">
      <text>
        <t xml:space="preserve">Responder updated this value.</t>
      </text>
    </comment>
    <comment authorId="0" ref="AY77">
      <text>
        <t xml:space="preserve">Responder updated this value.</t>
      </text>
    </comment>
    <comment authorId="0" ref="BH77">
      <text>
        <t xml:space="preserve">Responder updated this value.</t>
      </text>
    </comment>
    <comment authorId="0" ref="BJ77">
      <text>
        <t xml:space="preserve">Responder updated this value.</t>
      </text>
    </comment>
    <comment authorId="0" ref="BM77">
      <text>
        <t xml:space="preserve">Responder updated this value.</t>
      </text>
    </comment>
    <comment authorId="0" ref="BQ77">
      <text>
        <t xml:space="preserve">Responder updated this value.</t>
      </text>
    </comment>
    <comment authorId="0" ref="AN78">
      <text>
        <t xml:space="preserve">Responder updated this value.</t>
      </text>
    </comment>
    <comment authorId="0" ref="AQ78">
      <text>
        <t xml:space="preserve">Responder updated this value.</t>
      </text>
    </comment>
    <comment authorId="0" ref="AR78">
      <text>
        <t xml:space="preserve">Responder updated this value.</t>
      </text>
    </comment>
    <comment authorId="0" ref="AS78">
      <text>
        <t xml:space="preserve">Responder updated this value.</t>
      </text>
    </comment>
    <comment authorId="0" ref="AU78">
      <text>
        <t xml:space="preserve">Responder updated this value.</t>
      </text>
    </comment>
    <comment authorId="0" ref="AV78">
      <text>
        <t xml:space="preserve">Responder updated this value.</t>
      </text>
    </comment>
    <comment authorId="0" ref="AW78">
      <text>
        <t xml:space="preserve">Responder updated this value.</t>
      </text>
    </comment>
    <comment authorId="0" ref="BC78">
      <text>
        <t xml:space="preserve">Responder updated this value.</t>
      </text>
    </comment>
    <comment authorId="0" ref="BE78">
      <text>
        <t xml:space="preserve">Responder updated this value.</t>
      </text>
    </comment>
    <comment authorId="0" ref="BF78">
      <text>
        <t xml:space="preserve">Responder updated this value.</t>
      </text>
    </comment>
    <comment authorId="0" ref="BJ78">
      <text>
        <t xml:space="preserve">Responder updated this value.</t>
      </text>
    </comment>
    <comment authorId="0" ref="BL78">
      <text>
        <t xml:space="preserve">Responder updated this value.</t>
      </text>
    </comment>
    <comment authorId="0" ref="BM78">
      <text>
        <t xml:space="preserve">Responder updated this value.</t>
      </text>
    </comment>
    <comment authorId="0" ref="BN78">
      <text>
        <t xml:space="preserve">Responder updated this value.</t>
      </text>
    </comment>
    <comment authorId="0" ref="BQ78">
      <text>
        <t xml:space="preserve">Responder updated this value.</t>
      </text>
    </comment>
    <comment authorId="0" ref="AL79">
      <text>
        <t xml:space="preserve">Responder updated this value.</t>
      </text>
    </comment>
    <comment authorId="0" ref="AM79">
      <text>
        <t xml:space="preserve">Responder updated this value.</t>
      </text>
    </comment>
    <comment authorId="0" ref="AQ79">
      <text>
        <t xml:space="preserve">Responder updated this value.</t>
      </text>
    </comment>
    <comment authorId="0" ref="AS79">
      <text>
        <t xml:space="preserve">Responder updated this value.</t>
      </text>
    </comment>
    <comment authorId="0" ref="AV79">
      <text>
        <t xml:space="preserve">Responder updated this value.</t>
      </text>
    </comment>
    <comment authorId="0" ref="AW79">
      <text>
        <t xml:space="preserve">Responder updated this value.</t>
      </text>
    </comment>
    <comment authorId="0" ref="AX79">
      <text>
        <t xml:space="preserve">Responder updated this value.</t>
      </text>
    </comment>
    <comment authorId="0" ref="AY79">
      <text>
        <t xml:space="preserve">Responder updated this value.</t>
      </text>
    </comment>
    <comment authorId="0" ref="AZ79">
      <text>
        <t xml:space="preserve">Responder updated this value.</t>
      </text>
    </comment>
    <comment authorId="0" ref="BB79">
      <text>
        <t xml:space="preserve">Responder updated this value.</t>
      </text>
    </comment>
    <comment authorId="0" ref="BC79">
      <text>
        <t xml:space="preserve">Responder updated this value.</t>
      </text>
    </comment>
    <comment authorId="0" ref="BD79">
      <text>
        <t xml:space="preserve">Responder updated this value.</t>
      </text>
    </comment>
    <comment authorId="0" ref="BE79">
      <text>
        <t xml:space="preserve">Responder updated this value.</t>
      </text>
    </comment>
    <comment authorId="0" ref="BF79">
      <text>
        <t xml:space="preserve">Responder updated this value.</t>
      </text>
    </comment>
    <comment authorId="0" ref="BG79">
      <text>
        <t xml:space="preserve">Responder updated this value.</t>
      </text>
    </comment>
    <comment authorId="0" ref="BH79">
      <text>
        <t xml:space="preserve">Responder updated this value.</t>
      </text>
    </comment>
    <comment authorId="0" ref="BI79">
      <text>
        <t xml:space="preserve">Responder updated this value.</t>
      </text>
    </comment>
    <comment authorId="0" ref="BJ79">
      <text>
        <t xml:space="preserve">Responder updated this value.</t>
      </text>
    </comment>
    <comment authorId="0" ref="BN79">
      <text>
        <t xml:space="preserve">Responder updated this value.</t>
      </text>
    </comment>
    <comment authorId="0" ref="BP79">
      <text>
        <t xml:space="preserve">Responder updated this value.</t>
      </text>
    </comment>
    <comment authorId="0" ref="BQ79">
      <text>
        <t xml:space="preserve">Responder updated this value.</t>
      </text>
    </comment>
    <comment authorId="0" ref="W80">
      <text>
        <t xml:space="preserve">Responder updated this value.</t>
      </text>
    </comment>
    <comment authorId="0" ref="AQ80">
      <text>
        <t xml:space="preserve">Responder updated this value.</t>
      </text>
    </comment>
    <comment authorId="0" ref="AS80">
      <text>
        <t xml:space="preserve">Responder updated this value.</t>
      </text>
    </comment>
    <comment authorId="0" ref="AU80">
      <text>
        <t xml:space="preserve">Responder updated this value.</t>
      </text>
    </comment>
    <comment authorId="0" ref="AV80">
      <text>
        <t xml:space="preserve">Responder updated this value.</t>
      </text>
    </comment>
    <comment authorId="0" ref="BC80">
      <text>
        <t xml:space="preserve">Responder updated this value.</t>
      </text>
    </comment>
    <comment authorId="0" ref="BI80">
      <text>
        <t xml:space="preserve">Responder updated this value.</t>
      </text>
    </comment>
    <comment authorId="0" ref="BN80">
      <text>
        <t xml:space="preserve">Responder updated this value.</t>
      </text>
    </comment>
    <comment authorId="0" ref="BQ80">
      <text>
        <t xml:space="preserve">Responder updated this value.</t>
      </text>
    </comment>
    <comment authorId="0" ref="BT80">
      <text>
        <t xml:space="preserve">Responder updated this value.</t>
      </text>
    </comment>
    <comment authorId="0" ref="BW80">
      <text>
        <t xml:space="preserve">Responder updated this value.</t>
      </text>
    </comment>
    <comment authorId="0" ref="AN81">
      <text>
        <t xml:space="preserve">Responder updated this value.</t>
      </text>
    </comment>
    <comment authorId="0" ref="AV81">
      <text>
        <t xml:space="preserve">Responder updated this value.</t>
      </text>
    </comment>
    <comment authorId="0" ref="AW81">
      <text>
        <t xml:space="preserve">Responder updated this value.</t>
      </text>
    </comment>
    <comment authorId="0" ref="BE81">
      <text>
        <t xml:space="preserve">Responder updated this value.</t>
      </text>
    </comment>
    <comment authorId="0" ref="BJ81">
      <text>
        <t xml:space="preserve">Responder updated this value.</t>
      </text>
    </comment>
    <comment authorId="0" ref="BQ81">
      <text>
        <t xml:space="preserve">Responder updated this value.</t>
      </text>
    </comment>
    <comment authorId="0" ref="BR81">
      <text>
        <t xml:space="preserve">Responder updated this value.</t>
      </text>
    </comment>
    <comment authorId="0" ref="BS81">
      <text>
        <t xml:space="preserve">Responder updated this value.</t>
      </text>
    </comment>
    <comment authorId="0" ref="BT81">
      <text>
        <t xml:space="preserve">Responder updated this value.</t>
      </text>
    </comment>
    <comment authorId="0" ref="BU81">
      <text>
        <t xml:space="preserve">Responder updated this value.</t>
      </text>
    </comment>
    <comment authorId="0" ref="BV81">
      <text>
        <t xml:space="preserve">Responder updated this value.</t>
      </text>
    </comment>
    <comment authorId="0" ref="BW81">
      <text>
        <t xml:space="preserve">Responder updated this value.</t>
      </text>
    </comment>
    <comment authorId="0" ref="P82">
      <text>
        <t xml:space="preserve">Responder updated this value.</t>
      </text>
    </comment>
    <comment authorId="0" ref="S82">
      <text>
        <t xml:space="preserve">Responder updated this value.</t>
      </text>
    </comment>
    <comment authorId="0" ref="V82">
      <text>
        <t xml:space="preserve">Responder updated this value.</t>
      </text>
    </comment>
    <comment authorId="0" ref="AK82">
      <text>
        <t xml:space="preserve">Responder updated this value.</t>
      </text>
    </comment>
    <comment authorId="0" ref="AQ82">
      <text>
        <t xml:space="preserve">Responder updated this value.</t>
      </text>
    </comment>
    <comment authorId="0" ref="AR82">
      <text>
        <t xml:space="preserve">Responder updated this value.</t>
      </text>
    </comment>
    <comment authorId="0" ref="AS82">
      <text>
        <t xml:space="preserve">Responder updated this value.</t>
      </text>
    </comment>
    <comment authorId="0" ref="AV82">
      <text>
        <t xml:space="preserve">Responder updated this value.</t>
      </text>
    </comment>
    <comment authorId="0" ref="AY82">
      <text>
        <t xml:space="preserve">Responder updated this value.</t>
      </text>
    </comment>
    <comment authorId="0" ref="BJ82">
      <text>
        <t xml:space="preserve">Responder updated this value.</t>
      </text>
    </comment>
    <comment authorId="0" ref="BN82">
      <text>
        <t xml:space="preserve">Responder updated this value.</t>
      </text>
    </comment>
    <comment authorId="0" ref="BQ82">
      <text>
        <t xml:space="preserve">Responder updated this value.</t>
      </text>
    </comment>
    <comment authorId="0" ref="P83">
      <text>
        <t xml:space="preserve">Responder updated this value.</t>
      </text>
    </comment>
    <comment authorId="0" ref="AQ83">
      <text>
        <t xml:space="preserve">Responder updated this value.</t>
      </text>
    </comment>
    <comment authorId="0" ref="BJ83">
      <text>
        <t xml:space="preserve">Responder updated this value.</t>
      </text>
    </comment>
    <comment authorId="0" ref="BL83">
      <text>
        <t xml:space="preserve">Responder updated this value.</t>
      </text>
    </comment>
    <comment authorId="0" ref="BM83">
      <text>
        <t xml:space="preserve">Responder updated this value.</t>
      </text>
    </comment>
    <comment authorId="0" ref="BN83">
      <text>
        <t xml:space="preserve">Responder updated this value.</t>
      </text>
    </comment>
    <comment authorId="0" ref="BQ83">
      <text>
        <t xml:space="preserve">Responder updated this value.</t>
      </text>
    </comment>
    <comment authorId="0" ref="P84">
      <text>
        <t xml:space="preserve">Responder updated this value.</t>
      </text>
    </comment>
    <comment authorId="0" ref="V84">
      <text>
        <t xml:space="preserve">Responder updated this value.</t>
      </text>
    </comment>
    <comment authorId="0" ref="W84">
      <text>
        <t xml:space="preserve">Responder updated this value.</t>
      </text>
    </comment>
    <comment authorId="0" ref="AL84">
      <text>
        <t xml:space="preserve">Responder updated this value.</t>
      </text>
    </comment>
    <comment authorId="0" ref="AQ84">
      <text>
        <t xml:space="preserve">Responder updated this value.</t>
      </text>
    </comment>
    <comment authorId="0" ref="AS84">
      <text>
        <t xml:space="preserve">Responder updated this value.</t>
      </text>
    </comment>
    <comment authorId="0" ref="AU84">
      <text>
        <t xml:space="preserve">Responder updated this value.</t>
      </text>
    </comment>
    <comment authorId="0" ref="AW84">
      <text>
        <t xml:space="preserve">Responder updated this value.</t>
      </text>
    </comment>
    <comment authorId="0" ref="AX84">
      <text>
        <t xml:space="preserve">Responder updated this value.</t>
      </text>
    </comment>
    <comment authorId="0" ref="AY84">
      <text>
        <t xml:space="preserve">Responder updated this value.</t>
      </text>
    </comment>
    <comment authorId="0" ref="BC84">
      <text>
        <t xml:space="preserve">Responder updated this value.</t>
      </text>
    </comment>
    <comment authorId="0" ref="BE84">
      <text>
        <t xml:space="preserve">Responder updated this value.</t>
      </text>
    </comment>
    <comment authorId="0" ref="BI84">
      <text>
        <t xml:space="preserve">Responder updated this value.</t>
      </text>
    </comment>
    <comment authorId="0" ref="BJ84">
      <text>
        <t xml:space="preserve">Responder updated this value.</t>
      </text>
    </comment>
    <comment authorId="0" ref="BL84">
      <text>
        <t xml:space="preserve">Responder updated this value.</t>
      </text>
    </comment>
    <comment authorId="0" ref="BQ84">
      <text>
        <t xml:space="preserve">Responder updated this value.</t>
      </text>
    </comment>
    <comment authorId="0" ref="BT84">
      <text>
        <t xml:space="preserve">Responder updated this value.</t>
      </text>
    </comment>
    <comment authorId="0" ref="BU84">
      <text>
        <t xml:space="preserve">Responder updated this value.</t>
      </text>
    </comment>
    <comment authorId="0" ref="BV84">
      <text>
        <t xml:space="preserve">Responder updated this value.</t>
      </text>
    </comment>
    <comment authorId="0" ref="BW84">
      <text>
        <t xml:space="preserve">Responder updated this value.</t>
      </text>
    </comment>
    <comment authorId="0" ref="AL85">
      <text>
        <t xml:space="preserve">Responder updated this value.</t>
      </text>
    </comment>
    <comment authorId="0" ref="AM85">
      <text>
        <t xml:space="preserve">Responder updated this value.</t>
      </text>
    </comment>
    <comment authorId="0" ref="AO85">
      <text>
        <t xml:space="preserve">Responder updated this value.</t>
      </text>
    </comment>
    <comment authorId="0" ref="AP85">
      <text>
        <t xml:space="preserve">Responder updated this value.</t>
      </text>
    </comment>
    <comment authorId="0" ref="AT85">
      <text>
        <t xml:space="preserve">Responder updated this value.</t>
      </text>
    </comment>
    <comment authorId="0" ref="AU85">
      <text>
        <t xml:space="preserve">Responder updated this value.</t>
      </text>
    </comment>
    <comment authorId="0" ref="BG85">
      <text>
        <t xml:space="preserve">Responder updated this value.</t>
      </text>
    </comment>
    <comment authorId="0" ref="BH85">
      <text>
        <t xml:space="preserve">Responder updated this value.</t>
      </text>
    </comment>
    <comment authorId="0" ref="BJ85">
      <text>
        <t xml:space="preserve">Responder updated this value.</t>
      </text>
    </comment>
    <comment authorId="0" ref="BN85">
      <text>
        <t xml:space="preserve">Responder updated this value.</t>
      </text>
    </comment>
    <comment authorId="0" ref="BP85">
      <text>
        <t xml:space="preserve">Responder updated this value.</t>
      </text>
    </comment>
    <comment authorId="0" ref="BQ85">
      <text>
        <t xml:space="preserve">Responder updated this value.</t>
      </text>
    </comment>
    <comment authorId="0" ref="BJ86">
      <text>
        <t xml:space="preserve">Responder updated this value.</t>
      </text>
    </comment>
    <comment authorId="0" ref="BN86">
      <text>
        <t xml:space="preserve">Responder updated this value.</t>
      </text>
    </comment>
    <comment authorId="0" ref="BQ86">
      <text>
        <t xml:space="preserve">Responder updated this value.</t>
      </text>
    </comment>
    <comment authorId="0" ref="AQ87">
      <text>
        <t xml:space="preserve">Responder updated this value.</t>
      </text>
    </comment>
    <comment authorId="0" ref="AS87">
      <text>
        <t xml:space="preserve">Responder updated this value.</t>
      </text>
    </comment>
    <comment authorId="0" ref="BE87">
      <text>
        <t xml:space="preserve">Responder updated this value.</t>
      </text>
    </comment>
    <comment authorId="0" ref="BI87">
      <text>
        <t xml:space="preserve">Responder updated this value.</t>
      </text>
    </comment>
    <comment authorId="0" ref="BJ87">
      <text>
        <t xml:space="preserve">Responder updated this value.</t>
      </text>
    </comment>
    <comment authorId="0" ref="BL87">
      <text>
        <t xml:space="preserve">Responder updated this value.</t>
      </text>
    </comment>
    <comment authorId="0" ref="BM87">
      <text>
        <t xml:space="preserve">Responder updated this value.</t>
      </text>
    </comment>
    <comment authorId="0" ref="BN87">
      <text>
        <t xml:space="preserve">Responder updated this value.</t>
      </text>
    </comment>
    <comment authorId="0" ref="BQ87">
      <text>
        <t xml:space="preserve">Responder updated this value.</t>
      </text>
    </comment>
    <comment authorId="0" ref="BR87">
      <text>
        <t xml:space="preserve">Responder updated this value.</t>
      </text>
    </comment>
    <comment authorId="0" ref="BW87">
      <text>
        <t xml:space="preserve">Responder updated this value.</t>
      </text>
    </comment>
    <comment authorId="0" ref="AS88">
      <text>
        <t xml:space="preserve">Responder updated this value.</t>
      </text>
    </comment>
    <comment authorId="0" ref="BM88">
      <text>
        <t xml:space="preserve">Responder updated this value.</t>
      </text>
    </comment>
    <comment authorId="0" ref="BQ88">
      <text>
        <t xml:space="preserve">Responder updated this value.</t>
      </text>
    </comment>
    <comment authorId="0" ref="BR88">
      <text>
        <t xml:space="preserve">Responder updated this value.</t>
      </text>
    </comment>
    <comment authorId="0" ref="BS88">
      <text>
        <t xml:space="preserve">Responder updated this value.</t>
      </text>
    </comment>
    <comment authorId="0" ref="BT88">
      <text>
        <t xml:space="preserve">Responder updated this value.</t>
      </text>
    </comment>
    <comment authorId="0" ref="BU88">
      <text>
        <t xml:space="preserve">Responder updated this value.</t>
      </text>
    </comment>
    <comment authorId="0" ref="BV88">
      <text>
        <t xml:space="preserve">Responder updated this value.</t>
      </text>
    </comment>
    <comment authorId="0" ref="BW88">
      <text>
        <t xml:space="preserve">Responder updated this value.</t>
      </text>
    </comment>
    <comment authorId="0" ref="BC89">
      <text>
        <t xml:space="preserve">Responder updated this value.</t>
      </text>
    </comment>
    <comment authorId="0" ref="BQ89">
      <text>
        <t xml:space="preserve">Responder updated this value.</t>
      </text>
    </comment>
    <comment authorId="0" ref="BW89">
      <text>
        <t xml:space="preserve">Responder updated this value.</t>
      </text>
    </comment>
    <comment authorId="0" ref="AW90">
      <text>
        <t xml:space="preserve">Responder updated this value.</t>
      </text>
    </comment>
    <comment authorId="0" ref="BL90">
      <text>
        <t xml:space="preserve">Responder updated this value.</t>
      </text>
    </comment>
    <comment authorId="0" ref="BM90">
      <text>
        <t xml:space="preserve">Responder updated this value.</t>
      </text>
    </comment>
    <comment authorId="0" ref="BN90">
      <text>
        <t xml:space="preserve">Responder updated this value.</t>
      </text>
    </comment>
    <comment authorId="0" ref="BQ90">
      <text>
        <t xml:space="preserve">Responder updated this value.</t>
      </text>
    </comment>
    <comment authorId="0" ref="BW90">
      <text>
        <t xml:space="preserve">Responder updated this value.</t>
      </text>
    </comment>
    <comment authorId="0" ref="AO91">
      <text>
        <t xml:space="preserve">Responder updated this value.</t>
      </text>
    </comment>
    <comment authorId="0" ref="AP91">
      <text>
        <t xml:space="preserve">Responder updated this value.</t>
      </text>
    </comment>
    <comment authorId="0" ref="AQ91">
      <text>
        <t xml:space="preserve">Responder updated this value.</t>
      </text>
    </comment>
    <comment authorId="0" ref="AS91">
      <text>
        <t xml:space="preserve">Responder updated this value.</t>
      </text>
    </comment>
    <comment authorId="0" ref="AW91">
      <text>
        <t xml:space="preserve">Responder updated this value.</t>
      </text>
    </comment>
    <comment authorId="0" ref="BJ91">
      <text>
        <t xml:space="preserve">Responder updated this value.</t>
      </text>
    </comment>
    <comment authorId="0" ref="BQ91">
      <text>
        <t xml:space="preserve">Responder updated this value.</t>
      </text>
    </comment>
    <comment authorId="0" ref="BR91">
      <text>
        <t xml:space="preserve">Responder updated this value.</t>
      </text>
    </comment>
    <comment authorId="0" ref="BS91">
      <text>
        <t xml:space="preserve">Responder updated this value.</t>
      </text>
    </comment>
    <comment authorId="0" ref="BT91">
      <text>
        <t xml:space="preserve">Responder updated this value.</t>
      </text>
    </comment>
    <comment authorId="0" ref="BW91">
      <text>
        <t xml:space="preserve">Responder updated this value.</t>
      </text>
    </comment>
    <comment authorId="0" ref="AQ92">
      <text>
        <t xml:space="preserve">Responder updated this value.</t>
      </text>
    </comment>
    <comment authorId="0" ref="AS92">
      <text>
        <t xml:space="preserve">Responder updated this value.</t>
      </text>
    </comment>
    <comment authorId="0" ref="AX92">
      <text>
        <t xml:space="preserve">Responder updated this value.</t>
      </text>
    </comment>
    <comment authorId="0" ref="BC92">
      <text>
        <t xml:space="preserve">Responder updated this value.</t>
      </text>
    </comment>
    <comment authorId="0" ref="BQ92">
      <text>
        <t xml:space="preserve">Responder updated this value.</t>
      </text>
    </comment>
    <comment authorId="0" ref="BT92">
      <text>
        <t xml:space="preserve">Responder updated this value.</t>
      </text>
    </comment>
    <comment authorId="0" ref="BW92">
      <text>
        <t xml:space="preserve">Responder updated this value.</t>
      </text>
    </comment>
    <comment authorId="0" ref="AS93">
      <text>
        <t xml:space="preserve">Responder updated this value.</t>
      </text>
    </comment>
    <comment authorId="0" ref="BJ93">
      <text>
        <t xml:space="preserve">Responder updated this value.</t>
      </text>
    </comment>
    <comment authorId="0" ref="BQ93">
      <text>
        <t xml:space="preserve">Responder updated this value.</t>
      </text>
    </comment>
    <comment authorId="0" ref="BT93">
      <text>
        <t xml:space="preserve">Responder updated this value.</t>
      </text>
    </comment>
    <comment authorId="0" ref="BW93">
      <text>
        <t xml:space="preserve">Responder updated this value.</t>
      </text>
    </comment>
    <comment authorId="0" ref="AQ94">
      <text>
        <t xml:space="preserve">Responder updated this value.</t>
      </text>
    </comment>
    <comment authorId="0" ref="AR94">
      <text>
        <t xml:space="preserve">Responder updated this value.</t>
      </text>
    </comment>
    <comment authorId="0" ref="AS94">
      <text>
        <t xml:space="preserve">Responder updated this value.</t>
      </text>
    </comment>
    <comment authorId="0" ref="AT94">
      <text>
        <t xml:space="preserve">Responder updated this value.</t>
      </text>
    </comment>
    <comment authorId="0" ref="BB94">
      <text>
        <t xml:space="preserve">Responder updated this value.</t>
      </text>
    </comment>
    <comment authorId="0" ref="BQ94">
      <text>
        <t xml:space="preserve">Responder updated this value.</t>
      </text>
    </comment>
    <comment authorId="0" ref="BT94">
      <text>
        <t xml:space="preserve">Responder updated this value.</t>
      </text>
    </comment>
    <comment authorId="0" ref="BU94">
      <text>
        <t xml:space="preserve">Responder updated this value.</t>
      </text>
    </comment>
    <comment authorId="0" ref="BW94">
      <text>
        <t xml:space="preserve">Responder updated this value.</t>
      </text>
    </comment>
    <comment authorId="0" ref="AQ95">
      <text>
        <t xml:space="preserve">Responder updated this value.</t>
      </text>
    </comment>
    <comment authorId="0" ref="AR95">
      <text>
        <t xml:space="preserve">Responder updated this value.</t>
      </text>
    </comment>
    <comment authorId="0" ref="AS95">
      <text>
        <t xml:space="preserve">Responder updated this value.</t>
      </text>
    </comment>
    <comment authorId="0" ref="BN95">
      <text>
        <t xml:space="preserve">Responder updated this value.</t>
      </text>
    </comment>
    <comment authorId="0" ref="BQ95">
      <text>
        <t xml:space="preserve">Responder updated this value.</t>
      </text>
    </comment>
    <comment authorId="0" ref="BS95">
      <text>
        <t xml:space="preserve">Responder updated this value.</t>
      </text>
    </comment>
    <comment authorId="0" ref="BT95">
      <text>
        <t xml:space="preserve">Responder updated this value.</t>
      </text>
    </comment>
    <comment authorId="0" ref="BU95">
      <text>
        <t xml:space="preserve">Responder updated this value.</t>
      </text>
    </comment>
    <comment authorId="0" ref="BV95">
      <text>
        <t xml:space="preserve">Responder updated this value.</t>
      </text>
    </comment>
    <comment authorId="0" ref="BW95">
      <text>
        <t xml:space="preserve">Responder updated this value.</t>
      </text>
    </comment>
    <comment authorId="0" ref="AQ96">
      <text>
        <t xml:space="preserve">Responder updated this value.</t>
      </text>
    </comment>
    <comment authorId="0" ref="AR96">
      <text>
        <t xml:space="preserve">Responder updated this value.</t>
      </text>
    </comment>
    <comment authorId="0" ref="AS96">
      <text>
        <t xml:space="preserve">Responder updated this value.</t>
      </text>
    </comment>
    <comment authorId="0" ref="BJ96">
      <text>
        <t xml:space="preserve">Responder updated this value.</t>
      </text>
    </comment>
    <comment authorId="0" ref="BL96">
      <text>
        <t xml:space="preserve">Responder updated this value.</t>
      </text>
    </comment>
    <comment authorId="0" ref="BM96">
      <text>
        <t xml:space="preserve">Responder updated this value.</t>
      </text>
    </comment>
    <comment authorId="0" ref="BN96">
      <text>
        <t xml:space="preserve">Responder updated this value.</t>
      </text>
    </comment>
    <comment authorId="0" ref="BP96">
      <text>
        <t xml:space="preserve">Responder updated this value.</t>
      </text>
    </comment>
    <comment authorId="0" ref="BQ96">
      <text>
        <t xml:space="preserve">Responder updated this value.</t>
      </text>
    </comment>
    <comment authorId="0" ref="BW96">
      <text>
        <t xml:space="preserve">Responder updated this value.</t>
      </text>
    </comment>
    <comment authorId="0" ref="AL102">
      <text>
        <t xml:space="preserve">Responder updated this value.</t>
      </text>
    </comment>
    <comment authorId="0" ref="AM102">
      <text>
        <t xml:space="preserve">Responder updated this value.</t>
      </text>
    </comment>
    <comment authorId="0" ref="AV102">
      <text>
        <t xml:space="preserve">Responder updated this value.</t>
      </text>
    </comment>
    <comment authorId="0" ref="BL102">
      <text>
        <t xml:space="preserve">Responder updated this value.</t>
      </text>
    </comment>
    <comment authorId="0" ref="BM102">
      <text>
        <t xml:space="preserve">Responder updated this value.</t>
      </text>
    </comment>
    <comment authorId="0" ref="BP102">
      <text>
        <t xml:space="preserve">Responder updated this value.</t>
      </text>
    </comment>
    <comment authorId="0" ref="BQ102">
      <text>
        <t xml:space="preserve">Responder updated this value.</t>
      </text>
    </comment>
    <comment authorId="0" ref="BS102">
      <text>
        <t xml:space="preserve">Responder updated this value.</t>
      </text>
    </comment>
    <comment authorId="0" ref="BT102">
      <text>
        <t xml:space="preserve">Responder updated this value.</t>
      </text>
    </comment>
    <comment authorId="0" ref="BW102">
      <text>
        <t xml:space="preserve">Responder updated this value.</t>
      </text>
    </comment>
    <comment authorId="0" ref="AL103">
      <text>
        <t xml:space="preserve">Responder updated this value.</t>
      </text>
    </comment>
    <comment authorId="0" ref="AM103">
      <text>
        <t xml:space="preserve">Responder updated this value.</t>
      </text>
    </comment>
    <comment authorId="0" ref="BJ103">
      <text>
        <t xml:space="preserve">Responder updated this value.</t>
      </text>
    </comment>
    <comment authorId="0" ref="BL103">
      <text>
        <t xml:space="preserve">Responder updated this value.</t>
      </text>
    </comment>
    <comment authorId="0" ref="BM103">
      <text>
        <t xml:space="preserve">Responder updated this value.</t>
      </text>
    </comment>
    <comment authorId="0" ref="BQ103">
      <text>
        <t xml:space="preserve">Responder updated this value.</t>
      </text>
    </comment>
    <comment authorId="0" ref="AP104">
      <text>
        <t xml:space="preserve">Responder updated this value.</t>
      </text>
    </comment>
    <comment authorId="0" ref="AV104">
      <text>
        <t xml:space="preserve">Responder updated this value.</t>
      </text>
    </comment>
    <comment authorId="0" ref="BB104">
      <text>
        <t xml:space="preserve">Responder updated this value.</t>
      </text>
    </comment>
    <comment authorId="0" ref="BD104">
      <text>
        <t xml:space="preserve">Responder updated this value.</t>
      </text>
    </comment>
    <comment authorId="0" ref="BJ104">
      <text>
        <t xml:space="preserve">Responder updated this value.</t>
      </text>
    </comment>
    <comment authorId="0" ref="BQ104">
      <text>
        <t xml:space="preserve">Responder updated this value.</t>
      </text>
    </comment>
    <comment authorId="0" ref="BU104">
      <text>
        <t xml:space="preserve">Responder updated this value.</t>
      </text>
    </comment>
    <comment authorId="0" ref="BV104">
      <text>
        <t xml:space="preserve">Responder updated this value.</t>
      </text>
    </comment>
    <comment authorId="0" ref="BW104">
      <text>
        <t xml:space="preserve">Responder updated this value.</t>
      </text>
    </comment>
    <comment authorId="0" ref="W105">
      <text>
        <t xml:space="preserve">Responder updated this value.</t>
      </text>
    </comment>
    <comment authorId="0" ref="AC105">
      <text>
        <t xml:space="preserve">Responder updated this value.</t>
      </text>
    </comment>
    <comment authorId="0" ref="AR105">
      <text>
        <t xml:space="preserve">Responder updated this value.</t>
      </text>
    </comment>
    <comment authorId="0" ref="AV105">
      <text>
        <t xml:space="preserve">Responder updated this value.</t>
      </text>
    </comment>
    <comment authorId="0" ref="AY105">
      <text>
        <t xml:space="preserve">Responder updated this value.</t>
      </text>
    </comment>
    <comment authorId="0" ref="BJ105">
      <text>
        <t xml:space="preserve">Responder updated this value.</t>
      </text>
    </comment>
    <comment authorId="0" ref="BM105">
      <text>
        <t xml:space="preserve">Responder updated this value.</t>
      </text>
    </comment>
    <comment authorId="0" ref="BQ105">
      <text>
        <t xml:space="preserve">Responder updated this value.</t>
      </text>
    </comment>
    <comment authorId="0" ref="BR105">
      <text>
        <t xml:space="preserve">Responder updated this value.</t>
      </text>
    </comment>
    <comment authorId="0" ref="BT105">
      <text>
        <t xml:space="preserve">Responder updated this value.</t>
      </text>
    </comment>
    <comment authorId="0" ref="BW105">
      <text>
        <t xml:space="preserve">Responder updated this value.</t>
      </text>
    </comment>
    <comment authorId="0" ref="AB106">
      <text>
        <t xml:space="preserve">Responder updated this value.</t>
      </text>
    </comment>
    <comment authorId="0" ref="AC106">
      <text>
        <t xml:space="preserve">Responder updated this value.</t>
      </text>
    </comment>
    <comment authorId="0" ref="AO106">
      <text>
        <t xml:space="preserve">Responder updated this value.</t>
      </text>
    </comment>
    <comment authorId="0" ref="AP106">
      <text>
        <t xml:space="preserve">Responder updated this value.</t>
      </text>
    </comment>
    <comment authorId="0" ref="AQ106">
      <text>
        <t xml:space="preserve">Responder updated this value.</t>
      </text>
    </comment>
    <comment authorId="0" ref="AS106">
      <text>
        <t xml:space="preserve">Responder updated this value.</t>
      </text>
    </comment>
    <comment authorId="0" ref="AW106">
      <text>
        <t xml:space="preserve">Responder updated this value.</t>
      </text>
    </comment>
    <comment authorId="0" ref="BA106">
      <text>
        <t xml:space="preserve">Responder updated this value.</t>
      </text>
    </comment>
    <comment authorId="0" ref="BJ106">
      <text>
        <t xml:space="preserve">Responder updated this value.</t>
      </text>
    </comment>
    <comment authorId="0" ref="BL106">
      <text>
        <t xml:space="preserve">Responder updated this value.</t>
      </text>
    </comment>
    <comment authorId="0" ref="BQ106">
      <text>
        <t xml:space="preserve">Responder updated this value.</t>
      </text>
    </comment>
    <comment authorId="0" ref="BR106">
      <text>
        <t xml:space="preserve">Responder updated this value.</t>
      </text>
    </comment>
    <comment authorId="0" ref="BS106">
      <text>
        <t xml:space="preserve">Responder updated this value.</t>
      </text>
    </comment>
    <comment authorId="0" ref="BT106">
      <text>
        <t xml:space="preserve">Responder updated this value.</t>
      </text>
    </comment>
    <comment authorId="0" ref="BW106">
      <text>
        <t xml:space="preserve">Responder updated this value.</t>
      </text>
    </comment>
    <comment authorId="0" ref="AB107">
      <text>
        <t xml:space="preserve">Responder updated this value.</t>
      </text>
    </comment>
    <comment authorId="0" ref="AC107">
      <text>
        <t xml:space="preserve">Responder updated this value.</t>
      </text>
    </comment>
    <comment authorId="0" ref="AM107">
      <text>
        <t xml:space="preserve">Responder updated this value.</t>
      </text>
    </comment>
    <comment authorId="0" ref="AR107">
      <text>
        <t xml:space="preserve">Responder updated this value.</t>
      </text>
    </comment>
    <comment authorId="0" ref="AS107">
      <text>
        <t xml:space="preserve">Responder updated this value.</t>
      </text>
    </comment>
    <comment authorId="0" ref="AW107">
      <text>
        <t xml:space="preserve">Responder updated this value.</t>
      </text>
    </comment>
    <comment authorId="0" ref="BB107">
      <text>
        <t xml:space="preserve">Responder updated this value.</t>
      </text>
    </comment>
    <comment authorId="0" ref="BJ107">
      <text>
        <t xml:space="preserve">Responder updated this value.</t>
      </text>
    </comment>
    <comment authorId="0" ref="BL107">
      <text>
        <t xml:space="preserve">Responder updated this value.</t>
      </text>
    </comment>
    <comment authorId="0" ref="BN107">
      <text>
        <t xml:space="preserve">Responder updated this value.</t>
      </text>
    </comment>
    <comment authorId="0" ref="BQ107">
      <text>
        <t xml:space="preserve">Responder updated this value.</t>
      </text>
    </comment>
    <comment authorId="0" ref="BW107">
      <text>
        <t xml:space="preserve">Responder updated this value.</t>
      </text>
    </comment>
    <comment authorId="0" ref="AT108">
      <text>
        <t xml:space="preserve">Responder updated this value.</t>
      </text>
    </comment>
    <comment authorId="0" ref="BM108">
      <text>
        <t xml:space="preserve">Responder updated this value.</t>
      </text>
    </comment>
    <comment authorId="0" ref="BQ108">
      <text>
        <t xml:space="preserve">Responder updated this value.</t>
      </text>
    </comment>
    <comment authorId="0" ref="X109">
      <text>
        <t xml:space="preserve">Responder updated this value.</t>
      </text>
    </comment>
    <comment authorId="0" ref="AJ109">
      <text>
        <t xml:space="preserve">Responder updated this value.</t>
      </text>
    </comment>
    <comment authorId="0" ref="AL109">
      <text>
        <t xml:space="preserve">Responder updated this value.</t>
      </text>
    </comment>
    <comment authorId="0" ref="AM109">
      <text>
        <t xml:space="preserve">Responder updated this value.</t>
      </text>
    </comment>
    <comment authorId="0" ref="AO109">
      <text>
        <t xml:space="preserve">Responder updated this value.</t>
      </text>
    </comment>
    <comment authorId="0" ref="AQ109">
      <text>
        <t xml:space="preserve">Responder updated this value.</t>
      </text>
    </comment>
    <comment authorId="0" ref="BL109">
      <text>
        <t xml:space="preserve">Responder updated this value.</t>
      </text>
    </comment>
    <comment authorId="0" ref="BM109">
      <text>
        <t xml:space="preserve">Responder updated this value.</t>
      </text>
    </comment>
    <comment authorId="0" ref="BN109">
      <text>
        <t xml:space="preserve">Responder updated this value.</t>
      </text>
    </comment>
    <comment authorId="0" ref="BP109">
      <text>
        <t xml:space="preserve">Responder updated this value.</t>
      </text>
    </comment>
    <comment authorId="0" ref="BQ109">
      <text>
        <t xml:space="preserve">Responder updated this value.</t>
      </text>
    </comment>
    <comment authorId="0" ref="C110">
      <text>
        <t xml:space="preserve">Responder updated this value.</t>
      </text>
    </comment>
    <comment authorId="0" ref="P110">
      <text>
        <t xml:space="preserve">Responder updated this value.</t>
      </text>
    </comment>
    <comment authorId="0" ref="T110">
      <text>
        <t xml:space="preserve">Responder updated this value.</t>
      </text>
    </comment>
    <comment authorId="0" ref="AS110">
      <text>
        <t xml:space="preserve">Responder updated this value.</t>
      </text>
    </comment>
    <comment authorId="0" ref="AU110">
      <text>
        <t xml:space="preserve">Responder updated this value.</t>
      </text>
    </comment>
    <comment authorId="0" ref="BJ110">
      <text>
        <t xml:space="preserve">Responder updated this value.</t>
      </text>
    </comment>
    <comment authorId="0" ref="BN110">
      <text>
        <t xml:space="preserve">Responder updated this value.</t>
      </text>
    </comment>
    <comment authorId="0" ref="BQ110">
      <text>
        <t xml:space="preserve">Responder updated this value.</t>
      </text>
    </comment>
    <comment authorId="0" ref="X111">
      <text>
        <t xml:space="preserve">Responder updated this value.</t>
      </text>
    </comment>
    <comment authorId="0" ref="AH111">
      <text>
        <t xml:space="preserve">Responder updated this value.</t>
      </text>
    </comment>
    <comment authorId="0" ref="AQ111">
      <text>
        <t xml:space="preserve">Responder updated this value.</t>
      </text>
    </comment>
    <comment authorId="0" ref="AR111">
      <text>
        <t xml:space="preserve">Responder updated this value.</t>
      </text>
    </comment>
    <comment authorId="0" ref="AW111">
      <text>
        <t xml:space="preserve">Responder updated this value.</t>
      </text>
    </comment>
    <comment authorId="0" ref="BB111">
      <text>
        <t xml:space="preserve">Responder updated this value.</t>
      </text>
    </comment>
    <comment authorId="0" ref="BC111">
      <text>
        <t xml:space="preserve">Responder updated this value.</t>
      </text>
    </comment>
    <comment authorId="0" ref="BM111">
      <text>
        <t xml:space="preserve">Responder updated this value.</t>
      </text>
    </comment>
    <comment authorId="0" ref="BQ111">
      <text>
        <t xml:space="preserve">Responder updated this value.</t>
      </text>
    </comment>
    <comment authorId="0" ref="BT111">
      <text>
        <t xml:space="preserve">Responder updated this value.</t>
      </text>
    </comment>
    <comment authorId="0" ref="BW111">
      <text>
        <t xml:space="preserve">Responder updated this value.</t>
      </text>
    </comment>
    <comment authorId="0" ref="AO112">
      <text>
        <t xml:space="preserve">Responder updated this value.</t>
      </text>
    </comment>
    <comment authorId="0" ref="AQ112">
      <text>
        <t xml:space="preserve">Responder updated this value.</t>
      </text>
    </comment>
    <comment authorId="0" ref="AR112">
      <text>
        <t xml:space="preserve">Responder updated this value.</t>
      </text>
    </comment>
    <comment authorId="0" ref="AU112">
      <text>
        <t xml:space="preserve">Responder updated this value.</t>
      </text>
    </comment>
    <comment authorId="0" ref="AV112">
      <text>
        <t xml:space="preserve">Responder updated this value.</t>
      </text>
    </comment>
    <comment authorId="0" ref="AW112">
      <text>
        <t xml:space="preserve">Responder updated this value.</t>
      </text>
    </comment>
    <comment authorId="0" ref="BI112">
      <text>
        <t xml:space="preserve">Responder updated this value.</t>
      </text>
    </comment>
    <comment authorId="0" ref="BL112">
      <text>
        <t xml:space="preserve">Responder updated this value.</t>
      </text>
    </comment>
    <comment authorId="0" ref="BM112">
      <text>
        <t xml:space="preserve">Responder updated this value.</t>
      </text>
    </comment>
    <comment authorId="0" ref="BQ112">
      <text>
        <t xml:space="preserve">Responder updated this value.</t>
      </text>
    </comment>
    <comment authorId="0" ref="BT112">
      <text>
        <t xml:space="preserve">Responder updated this value.</t>
      </text>
    </comment>
    <comment authorId="0" ref="BW112">
      <text>
        <t xml:space="preserve">Responder updated this value.</t>
      </text>
    </comment>
    <comment authorId="0" ref="P113">
      <text>
        <t xml:space="preserve">Responder updated this value.</t>
      </text>
    </comment>
    <comment authorId="0" ref="AQ113">
      <text>
        <t xml:space="preserve">Responder updated this value.</t>
      </text>
    </comment>
    <comment authorId="0" ref="AR113">
      <text>
        <t xml:space="preserve">Responder updated this value.</t>
      </text>
    </comment>
    <comment authorId="0" ref="AS113">
      <text>
        <t xml:space="preserve">Responder updated this value.</t>
      </text>
    </comment>
    <comment authorId="0" ref="BJ113">
      <text>
        <t xml:space="preserve">Responder updated this value.</t>
      </text>
    </comment>
    <comment authorId="0" ref="BQ113">
      <text>
        <t xml:space="preserve">Responder updated this value.</t>
      </text>
    </comment>
    <comment authorId="0" ref="AS114">
      <text>
        <t xml:space="preserve">Responder updated this value.</t>
      </text>
    </comment>
    <comment authorId="0" ref="AU114">
      <text>
        <t xml:space="preserve">Responder updated this value.</t>
      </text>
    </comment>
    <comment authorId="0" ref="BE114">
      <text>
        <t xml:space="preserve">Responder updated this value.</t>
      </text>
    </comment>
    <comment authorId="0" ref="BH114">
      <text>
        <t xml:space="preserve">Responder updated this value.</t>
      </text>
    </comment>
    <comment authorId="0" ref="BJ114">
      <text>
        <t xml:space="preserve">Responder updated this value.</t>
      </text>
    </comment>
    <comment authorId="0" ref="BQ114">
      <text>
        <t xml:space="preserve">Responder updated this value.</t>
      </text>
    </comment>
    <comment authorId="0" ref="BT114">
      <text>
        <t xml:space="preserve">Responder updated this value.</t>
      </text>
    </comment>
    <comment authorId="0" ref="BU114">
      <text>
        <t xml:space="preserve">Responder updated this value.</t>
      </text>
    </comment>
    <comment authorId="0" ref="BV114">
      <text>
        <t xml:space="preserve">Responder updated this value.</t>
      </text>
    </comment>
    <comment authorId="0" ref="BW114">
      <text>
        <t xml:space="preserve">Responder updated this value.</t>
      </text>
    </comment>
    <comment authorId="0" ref="P115">
      <text>
        <t xml:space="preserve">Responder updated this value.</t>
      </text>
    </comment>
    <comment authorId="0" ref="AL115">
      <text>
        <t xml:space="preserve">Responder updated this value.</t>
      </text>
    </comment>
    <comment authorId="0" ref="AM115">
      <text>
        <t xml:space="preserve">Responder updated this value.</t>
      </text>
    </comment>
    <comment authorId="0" ref="BJ115">
      <text>
        <t xml:space="preserve">Responder updated this value.</t>
      </text>
    </comment>
    <comment authorId="0" ref="BQ115">
      <text>
        <t xml:space="preserve">Responder updated this value.</t>
      </text>
    </comment>
    <comment authorId="0" ref="P116">
      <text>
        <t xml:space="preserve">Responder updated this value.</t>
      </text>
    </comment>
    <comment authorId="0" ref="AM116">
      <text>
        <t xml:space="preserve">Responder updated this value.</t>
      </text>
    </comment>
    <comment authorId="0" ref="AQ116">
      <text>
        <t xml:space="preserve">Responder updated this value.</t>
      </text>
    </comment>
    <comment authorId="0" ref="AR116">
      <text>
        <t xml:space="preserve">Responder updated this value.</t>
      </text>
    </comment>
    <comment authorId="0" ref="AS116">
      <text>
        <t xml:space="preserve">Responder updated this value.</t>
      </text>
    </comment>
    <comment authorId="0" ref="AW116">
      <text>
        <t xml:space="preserve">Responder updated this value.</t>
      </text>
    </comment>
    <comment authorId="0" ref="BJ116">
      <text>
        <t xml:space="preserve">Responder updated this value.</t>
      </text>
    </comment>
    <comment authorId="0" ref="BM116">
      <text>
        <t xml:space="preserve">Responder updated this value.</t>
      </text>
    </comment>
    <comment authorId="0" ref="BQ116">
      <text>
        <t xml:space="preserve">Responder updated this value.</t>
      </text>
    </comment>
    <comment authorId="0" ref="BT116">
      <text>
        <t xml:space="preserve">Responder updated this value.</t>
      </text>
    </comment>
    <comment authorId="0" ref="BW116">
      <text>
        <t xml:space="preserve">Responder updated this value.</t>
      </text>
    </comment>
    <comment authorId="0" ref="AL117">
      <text>
        <t xml:space="preserve">Responder updated this value.</t>
      </text>
    </comment>
    <comment authorId="0" ref="AM117">
      <text>
        <t xml:space="preserve">Responder updated this value.</t>
      </text>
    </comment>
    <comment authorId="0" ref="AQ117">
      <text>
        <t xml:space="preserve">Responder updated this value.</t>
      </text>
    </comment>
    <comment authorId="0" ref="BJ117">
      <text>
        <t xml:space="preserve">Responder updated this value.</t>
      </text>
    </comment>
    <comment authorId="0" ref="BM117">
      <text>
        <t xml:space="preserve">Responder updated this value.</t>
      </text>
    </comment>
    <comment authorId="0" ref="BQ117">
      <text>
        <t xml:space="preserve">Responder updated this value.</t>
      </text>
    </comment>
    <comment authorId="0" ref="P118">
      <text>
        <t xml:space="preserve">Responder updated this value.</t>
      </text>
    </comment>
    <comment authorId="0" ref="W118">
      <text>
        <t xml:space="preserve">Responder updated this value.</t>
      </text>
    </comment>
    <comment authorId="0" ref="AQ118">
      <text>
        <t xml:space="preserve">Responder updated this value.</t>
      </text>
    </comment>
    <comment authorId="0" ref="AR118">
      <text>
        <t xml:space="preserve">Responder updated this value.</t>
      </text>
    </comment>
    <comment authorId="0" ref="AW118">
      <text>
        <t xml:space="preserve">Responder updated this value.</t>
      </text>
    </comment>
    <comment authorId="0" ref="AY118">
      <text>
        <t xml:space="preserve">Responder updated this value.</t>
      </text>
    </comment>
    <comment authorId="0" ref="BA118">
      <text>
        <t xml:space="preserve">Responder updated this value.</t>
      </text>
    </comment>
    <comment authorId="0" ref="BI118">
      <text>
        <t xml:space="preserve">Responder updated this value.</t>
      </text>
    </comment>
    <comment authorId="0" ref="BJ118">
      <text>
        <t xml:space="preserve">Responder updated this value.</t>
      </text>
    </comment>
    <comment authorId="0" ref="BQ118">
      <text>
        <t xml:space="preserve">Responder updated this value.</t>
      </text>
    </comment>
    <comment authorId="0" ref="BR118">
      <text>
        <t xml:space="preserve">Responder updated this value.</t>
      </text>
    </comment>
    <comment authorId="0" ref="BS118">
      <text>
        <t xml:space="preserve">Responder updated this value.</t>
      </text>
    </comment>
    <comment authorId="0" ref="BT118">
      <text>
        <t xml:space="preserve">Responder updated this value.</t>
      </text>
    </comment>
    <comment authorId="0" ref="BU118">
      <text>
        <t xml:space="preserve">Responder updated this value.</t>
      </text>
    </comment>
    <comment authorId="0" ref="BV118">
      <text>
        <t xml:space="preserve">Responder updated this value.</t>
      </text>
    </comment>
    <comment authorId="0" ref="BW118">
      <text>
        <t xml:space="preserve">Responder updated this value.</t>
      </text>
    </comment>
    <comment authorId="0" ref="AL119">
      <text>
        <t xml:space="preserve">Responder updated this value.</t>
      </text>
    </comment>
    <comment authorId="0" ref="AM119">
      <text>
        <t xml:space="preserve">Responder updated this value.</t>
      </text>
    </comment>
    <comment authorId="0" ref="BH119">
      <text>
        <t xml:space="preserve">Responder updated this value.</t>
      </text>
    </comment>
    <comment authorId="0" ref="BQ119">
      <text>
        <t xml:space="preserve">Responder updated this value.</t>
      </text>
    </comment>
    <comment authorId="0" ref="BU119">
      <text>
        <t xml:space="preserve">Responder updated this value.</t>
      </text>
    </comment>
    <comment authorId="0" ref="BV119">
      <text>
        <t xml:space="preserve">Responder updated this value.</t>
      </text>
    </comment>
    <comment authorId="0" ref="BW119">
      <text>
        <t xml:space="preserve">Responder updated this value.</t>
      </text>
    </comment>
    <comment authorId="0" ref="BJ120">
      <text>
        <t xml:space="preserve">Responder updated this value.</t>
      </text>
    </comment>
    <comment authorId="0" ref="BQ120">
      <text>
        <t xml:space="preserve">Responder updated this value.</t>
      </text>
    </comment>
    <comment authorId="0" ref="BJ121">
      <text>
        <t xml:space="preserve">Responder updated this value.</t>
      </text>
    </comment>
    <comment authorId="0" ref="BQ121">
      <text>
        <t xml:space="preserve">Responder updated this value.</t>
      </text>
    </comment>
    <comment authorId="0" ref="P122">
      <text>
        <t xml:space="preserve">Responder updated this value.</t>
      </text>
    </comment>
    <comment authorId="0" ref="AM122">
      <text>
        <t xml:space="preserve">Responder updated this value.</t>
      </text>
    </comment>
    <comment authorId="0" ref="BA122">
      <text>
        <t xml:space="preserve">Responder updated this value.</t>
      </text>
    </comment>
    <comment authorId="0" ref="BH122">
      <text>
        <t xml:space="preserve">Responder updated this value.</t>
      </text>
    </comment>
    <comment authorId="0" ref="BM122">
      <text>
        <t xml:space="preserve">Responder updated this value.</t>
      </text>
    </comment>
    <comment authorId="0" ref="BN122">
      <text>
        <t xml:space="preserve">Responder updated this value.</t>
      </text>
    </comment>
    <comment authorId="0" ref="BP122">
      <text>
        <t xml:space="preserve">Responder updated this value.</t>
      </text>
    </comment>
    <comment authorId="0" ref="BQ122">
      <text>
        <t xml:space="preserve">Responder updated this value.</t>
      </text>
    </comment>
    <comment authorId="0" ref="BT122">
      <text>
        <t xml:space="preserve">Responder updated this value.</t>
      </text>
    </comment>
    <comment authorId="0" ref="BW122">
      <text>
        <t xml:space="preserve">Responder updated this value.</t>
      </text>
    </comment>
    <comment authorId="0" ref="BQ123">
      <text>
        <t xml:space="preserve">Responder updated this value.</t>
      </text>
    </comment>
    <comment authorId="0" ref="AB124">
      <text>
        <t xml:space="preserve">Responder updated this value.</t>
      </text>
    </comment>
    <comment authorId="0" ref="AC124">
      <text>
        <t xml:space="preserve">Responder updated this value.</t>
      </text>
    </comment>
    <comment authorId="0" ref="BD124">
      <text>
        <t xml:space="preserve">Responder updated this value.</t>
      </text>
    </comment>
    <comment authorId="0" ref="BI124">
      <text>
        <t xml:space="preserve">Responder updated this value.</t>
      </text>
    </comment>
    <comment authorId="0" ref="BJ124">
      <text>
        <t xml:space="preserve">Responder updated this value.</t>
      </text>
    </comment>
    <comment authorId="0" ref="BQ124">
      <text>
        <t xml:space="preserve">Responder updated this value.</t>
      </text>
    </comment>
    <comment authorId="0" ref="BW124">
      <text>
        <t xml:space="preserve">Responder updated this value.</t>
      </text>
    </comment>
    <comment authorId="0" ref="BJ125">
      <text>
        <t xml:space="preserve">Responder updated this value.</t>
      </text>
    </comment>
    <comment authorId="0" ref="BQ125">
      <text>
        <t xml:space="preserve">Responder updated this value.</t>
      </text>
    </comment>
    <comment authorId="0" ref="BT125">
      <text>
        <t xml:space="preserve">Responder updated this value.</t>
      </text>
    </comment>
    <comment authorId="0" ref="BW125">
      <text>
        <t xml:space="preserve">Responder updated this value.</t>
      </text>
    </comment>
    <comment authorId="0" ref="BQ126">
      <text>
        <t xml:space="preserve">Responder updated this value.</t>
      </text>
    </comment>
    <comment authorId="0" ref="BT126">
      <text>
        <t xml:space="preserve">Responder updated this value.</t>
      </text>
    </comment>
    <comment authorId="0" ref="BU126">
      <text>
        <t xml:space="preserve">Responder updated this value.</t>
      </text>
    </comment>
    <comment authorId="0" ref="BV126">
      <text>
        <t xml:space="preserve">Responder updated this value.</t>
      </text>
    </comment>
    <comment authorId="0" ref="BW126">
      <text>
        <t xml:space="preserve">Responder updated this value.</t>
      </text>
    </comment>
    <comment authorId="0" ref="AL127">
      <text>
        <t xml:space="preserve">Responder updated this value.</t>
      </text>
    </comment>
    <comment authorId="0" ref="AM127">
      <text>
        <t xml:space="preserve">Responder updated this value.</t>
      </text>
    </comment>
    <comment authorId="0" ref="BL127">
      <text>
        <t xml:space="preserve">Responder updated this value.</t>
      </text>
    </comment>
    <comment authorId="0" ref="BM127">
      <text>
        <t xml:space="preserve">Responder updated this value.</t>
      </text>
    </comment>
    <comment authorId="0" ref="BQ127">
      <text>
        <t xml:space="preserve">Responder updated this value.</t>
      </text>
    </comment>
    <comment authorId="0" ref="BR127">
      <text>
        <t xml:space="preserve">Responder updated this value.</t>
      </text>
    </comment>
    <comment authorId="0" ref="BS127">
      <text>
        <t xml:space="preserve">Responder updated this value.</t>
      </text>
    </comment>
    <comment authorId="0" ref="BT127">
      <text>
        <t xml:space="preserve">Responder updated this value.</t>
      </text>
    </comment>
    <comment authorId="0" ref="BU127">
      <text>
        <t xml:space="preserve">Responder updated this value.</t>
      </text>
    </comment>
    <comment authorId="0" ref="BV127">
      <text>
        <t xml:space="preserve">Responder updated this value.</t>
      </text>
    </comment>
    <comment authorId="0" ref="BW127">
      <text>
        <t xml:space="preserve">Responder updated this value.</t>
      </text>
    </comment>
    <comment authorId="0" ref="BJ128">
      <text>
        <t xml:space="preserve">Responder updated this value.</t>
      </text>
    </comment>
    <comment authorId="0" ref="BQ128">
      <text>
        <t xml:space="preserve">Responder updated this value.</t>
      </text>
    </comment>
    <comment authorId="0" ref="BQ129">
      <text>
        <t xml:space="preserve">Responder updated this value.</t>
      </text>
    </comment>
    <comment authorId="0" ref="BT129">
      <text>
        <t xml:space="preserve">Responder updated this value.</t>
      </text>
    </comment>
    <comment authorId="0" ref="BU129">
      <text>
        <t xml:space="preserve">Responder updated this value.</t>
      </text>
    </comment>
    <comment authorId="0" ref="BV129">
      <text>
        <t xml:space="preserve">Responder updated this value.</t>
      </text>
    </comment>
    <comment authorId="0" ref="BW129">
      <text>
        <t xml:space="preserve">Responder updated this value.</t>
      </text>
    </comment>
    <comment authorId="0" ref="AW130">
      <text>
        <t xml:space="preserve">Responder updated this value.</t>
      </text>
    </comment>
    <comment authorId="0" ref="AY130">
      <text>
        <t xml:space="preserve">Responder updated this value.</t>
      </text>
    </comment>
    <comment authorId="0" ref="BQ130">
      <text>
        <t xml:space="preserve">Responder updated this value.</t>
      </text>
    </comment>
    <comment authorId="0" ref="BW130">
      <text>
        <t xml:space="preserve">Responder updated this value.</t>
      </text>
    </comment>
    <comment authorId="0" ref="AU131">
      <text>
        <t xml:space="preserve">Responder updated this value.</t>
      </text>
    </comment>
    <comment authorId="0" ref="BA131">
      <text>
        <t xml:space="preserve">Responder updated this value.</t>
      </text>
    </comment>
    <comment authorId="0" ref="BB131">
      <text>
        <t xml:space="preserve">Responder updated this value.</t>
      </text>
    </comment>
    <comment authorId="0" ref="BC131">
      <text>
        <t xml:space="preserve">Responder updated this value.</t>
      </text>
    </comment>
    <comment authorId="0" ref="BE131">
      <text>
        <t xml:space="preserve">Responder updated this value.</t>
      </text>
    </comment>
    <comment authorId="0" ref="BI131">
      <text>
        <t xml:space="preserve">Responder updated this value.</t>
      </text>
    </comment>
    <comment authorId="0" ref="BL131">
      <text>
        <t xml:space="preserve">Responder updated this value.</t>
      </text>
    </comment>
    <comment authorId="0" ref="BM131">
      <text>
        <t xml:space="preserve">Responder updated this value.</t>
      </text>
    </comment>
    <comment authorId="0" ref="BQ131">
      <text>
        <t xml:space="preserve">Responder updated this value.</t>
      </text>
    </comment>
    <comment authorId="0" ref="BR131">
      <text>
        <t xml:space="preserve">Responder updated this value.</t>
      </text>
    </comment>
    <comment authorId="0" ref="BS131">
      <text>
        <t xml:space="preserve">Responder updated this value.</t>
      </text>
    </comment>
    <comment authorId="0" ref="BT131">
      <text>
        <t xml:space="preserve">Responder updated this value.</t>
      </text>
    </comment>
    <comment authorId="0" ref="BU131">
      <text>
        <t xml:space="preserve">Responder updated this value.</t>
      </text>
    </comment>
    <comment authorId="0" ref="BV131">
      <text>
        <t xml:space="preserve">Responder updated this value.</t>
      </text>
    </comment>
    <comment authorId="0" ref="BW131">
      <text>
        <t xml:space="preserve">Responder updated this value.</t>
      </text>
    </comment>
    <comment authorId="0" ref="AH132">
      <text>
        <t xml:space="preserve">Responder updated this value.</t>
      </text>
    </comment>
    <comment authorId="0" ref="AL132">
      <text>
        <t xml:space="preserve">Responder updated this value.</t>
      </text>
    </comment>
    <comment authorId="0" ref="AM132">
      <text>
        <t xml:space="preserve">Responder updated this value.</t>
      </text>
    </comment>
    <comment authorId="0" ref="AO132">
      <text>
        <t xml:space="preserve">Responder updated this value.</t>
      </text>
    </comment>
    <comment authorId="0" ref="AP132">
      <text>
        <t xml:space="preserve">Responder updated this value.</t>
      </text>
    </comment>
    <comment authorId="0" ref="AQ132">
      <text>
        <t xml:space="preserve">Responder updated this value.</t>
      </text>
    </comment>
    <comment authorId="0" ref="AR132">
      <text>
        <t xml:space="preserve">Responder updated this value.</t>
      </text>
    </comment>
    <comment authorId="0" ref="BJ132">
      <text>
        <t xml:space="preserve">Responder updated this value.</t>
      </text>
    </comment>
    <comment authorId="0" ref="BL132">
      <text>
        <t xml:space="preserve">Responder updated this value.</t>
      </text>
    </comment>
    <comment authorId="0" ref="BM132">
      <text>
        <t xml:space="preserve">Responder updated this value.</t>
      </text>
    </comment>
    <comment authorId="0" ref="BN132">
      <text>
        <t xml:space="preserve">Responder updated this value.</t>
      </text>
    </comment>
    <comment authorId="0" ref="BQ132">
      <text>
        <t xml:space="preserve">Responder updated this value.</t>
      </text>
    </comment>
    <comment authorId="0" ref="BT132">
      <text>
        <t xml:space="preserve">Responder updated this value.</t>
      </text>
    </comment>
    <comment authorId="0" ref="BW132">
      <text>
        <t xml:space="preserve">Responder updated this value.</t>
      </text>
    </comment>
    <comment authorId="0" ref="BL133">
      <text>
        <t xml:space="preserve">Responder updated this value.</t>
      </text>
    </comment>
    <comment authorId="0" ref="BM133">
      <text>
        <t xml:space="preserve">Responder updated this value.</t>
      </text>
    </comment>
    <comment authorId="0" ref="BQ133">
      <text>
        <t xml:space="preserve">Responder updated this value.</t>
      </text>
    </comment>
    <comment authorId="0" ref="BJ134">
      <text>
        <t xml:space="preserve">Responder updated this value.</t>
      </text>
    </comment>
    <comment authorId="0" ref="BQ134">
      <text>
        <t xml:space="preserve">Responder updated this value.</t>
      </text>
    </comment>
    <comment authorId="0" ref="P135">
      <text>
        <t xml:space="preserve">Responder updated this value.</t>
      </text>
    </comment>
    <comment authorId="0" ref="AQ135">
      <text>
        <t xml:space="preserve">Responder updated this value.</t>
      </text>
    </comment>
    <comment authorId="0" ref="AR135">
      <text>
        <t xml:space="preserve">Responder updated this value.</t>
      </text>
    </comment>
    <comment authorId="0" ref="AS135">
      <text>
        <t xml:space="preserve">Responder updated this value.</t>
      </text>
    </comment>
    <comment authorId="0" ref="BJ135">
      <text>
        <t xml:space="preserve">Responder updated this value.</t>
      </text>
    </comment>
    <comment authorId="0" ref="BN135">
      <text>
        <t xml:space="preserve">Responder updated this value.</t>
      </text>
    </comment>
    <comment authorId="0" ref="BP135">
      <text>
        <t xml:space="preserve">Responder updated this value.</t>
      </text>
    </comment>
    <comment authorId="0" ref="BQ135">
      <text>
        <t xml:space="preserve">Responder updated this value.</t>
      </text>
    </comment>
    <comment authorId="0" ref="AQ136">
      <text>
        <t xml:space="preserve">Responder updated this value.</t>
      </text>
    </comment>
    <comment authorId="0" ref="AS136">
      <text>
        <t xml:space="preserve">Responder updated this value.</t>
      </text>
    </comment>
    <comment authorId="0" ref="BN136">
      <text>
        <t xml:space="preserve">Responder updated this value.</t>
      </text>
    </comment>
    <comment authorId="0" ref="BQ136">
      <text>
        <t xml:space="preserve">Responder updated this value.</t>
      </text>
    </comment>
    <comment authorId="0" ref="BW136">
      <text>
        <t xml:space="preserve">Responder updated this value.</t>
      </text>
    </comment>
    <comment authorId="0" ref="P137">
      <text>
        <t xml:space="preserve">Responder updated this value.</t>
      </text>
    </comment>
    <comment authorId="0" ref="BJ137">
      <text>
        <t xml:space="preserve">Responder updated this value.</t>
      </text>
    </comment>
    <comment authorId="0" ref="BQ137">
      <text>
        <t xml:space="preserve">Responder updated this value.</t>
      </text>
    </comment>
    <comment authorId="0" ref="BW137">
      <text>
        <t xml:space="preserve">Responder updated this value.</t>
      </text>
    </comment>
    <comment authorId="0" ref="AQ138">
      <text>
        <t xml:space="preserve">Responder updated this value.</t>
      </text>
    </comment>
    <comment authorId="0" ref="AR138">
      <text>
        <t xml:space="preserve">Responder updated this value.</t>
      </text>
    </comment>
    <comment authorId="0" ref="AS138">
      <text>
        <t xml:space="preserve">Responder updated this value.</t>
      </text>
    </comment>
    <comment authorId="0" ref="BC138">
      <text>
        <t xml:space="preserve">Responder updated this value.</t>
      </text>
    </comment>
    <comment authorId="0" ref="BJ138">
      <text>
        <t xml:space="preserve">Responder updated this value.</t>
      </text>
    </comment>
    <comment authorId="0" ref="BL138">
      <text>
        <t xml:space="preserve">Responder updated this value.</t>
      </text>
    </comment>
    <comment authorId="0" ref="BM138">
      <text>
        <t xml:space="preserve">Responder updated this value.</t>
      </text>
    </comment>
    <comment authorId="0" ref="BN138">
      <text>
        <t xml:space="preserve">Responder updated this value.</t>
      </text>
    </comment>
    <comment authorId="0" ref="BQ138">
      <text>
        <t xml:space="preserve">Responder updated this value.</t>
      </text>
    </comment>
    <comment authorId="0" ref="BT138">
      <text>
        <t xml:space="preserve">Responder updated this value.</t>
      </text>
    </comment>
    <comment authorId="0" ref="BW138">
      <text>
        <t xml:space="preserve">Responder updated this value.</t>
      </text>
    </comment>
    <comment authorId="0" ref="AR139">
      <text>
        <t xml:space="preserve">Responder updated this value.</t>
      </text>
    </comment>
    <comment authorId="0" ref="AS139">
      <text>
        <t xml:space="preserve">Responder updated this value.</t>
      </text>
    </comment>
    <comment authorId="0" ref="BJ139">
      <text>
        <t xml:space="preserve">Responder updated this value.</t>
      </text>
    </comment>
    <comment authorId="0" ref="BL139">
      <text>
        <t xml:space="preserve">Responder updated this value.</t>
      </text>
    </comment>
    <comment authorId="0" ref="BM139">
      <text>
        <t xml:space="preserve">Responder updated this value.</t>
      </text>
    </comment>
    <comment authorId="0" ref="BQ139">
      <text>
        <t xml:space="preserve">Responder updated this value.</t>
      </text>
    </comment>
    <comment authorId="0" ref="F140">
      <text>
        <t xml:space="preserve">Responder updated this value.</t>
      </text>
    </comment>
    <comment authorId="0" ref="AW140">
      <text>
        <t xml:space="preserve">Responder updated this value.</t>
      </text>
    </comment>
    <comment authorId="0" ref="BJ140">
      <text>
        <t xml:space="preserve">Responder updated this value.</t>
      </text>
    </comment>
    <comment authorId="0" ref="BL140">
      <text>
        <t xml:space="preserve">Responder updated this value.</t>
      </text>
    </comment>
    <comment authorId="0" ref="BM140">
      <text>
        <t xml:space="preserve">Responder updated this value.</t>
      </text>
    </comment>
    <comment authorId="0" ref="BQ140">
      <text>
        <t xml:space="preserve">Responder updated this value.</t>
      </text>
    </comment>
    <comment authorId="0" ref="BT140">
      <text>
        <t xml:space="preserve">Responder updated this value.</t>
      </text>
    </comment>
    <comment authorId="0" ref="BW140">
      <text>
        <t xml:space="preserve">Responder updated this value.</t>
      </text>
    </comment>
    <comment authorId="0" ref="P141">
      <text>
        <t xml:space="preserve">Responder updated this value.</t>
      </text>
    </comment>
    <comment authorId="0" ref="BJ141">
      <text>
        <t xml:space="preserve">Responder updated this value.</t>
      </text>
    </comment>
    <comment authorId="0" ref="BQ141">
      <text>
        <t xml:space="preserve">Responder updated this value.</t>
      </text>
    </comment>
    <comment authorId="0" ref="AN142">
      <text>
        <t xml:space="preserve">Responder updated this value.</t>
      </text>
    </comment>
    <comment authorId="0" ref="AP142">
      <text>
        <t xml:space="preserve">Responder updated this value.</t>
      </text>
    </comment>
    <comment authorId="0" ref="AW142">
      <text>
        <t xml:space="preserve">Responder updated this value.</t>
      </text>
    </comment>
    <comment authorId="0" ref="BB142">
      <text>
        <t xml:space="preserve">Responder updated this value.</t>
      </text>
    </comment>
    <comment authorId="0" ref="BC142">
      <text>
        <t xml:space="preserve">Responder updated this value.</t>
      </text>
    </comment>
    <comment authorId="0" ref="BI142">
      <text>
        <t xml:space="preserve">Responder updated this value.</t>
      </text>
    </comment>
    <comment authorId="0" ref="BL142">
      <text>
        <t xml:space="preserve">Responder updated this value.</t>
      </text>
    </comment>
    <comment authorId="0" ref="BM142">
      <text>
        <t xml:space="preserve">Responder updated this value.</t>
      </text>
    </comment>
    <comment authorId="0" ref="BN142">
      <text>
        <t xml:space="preserve">Responder updated this value.</t>
      </text>
    </comment>
    <comment authorId="0" ref="BP142">
      <text>
        <t xml:space="preserve">Responder updated this value.</t>
      </text>
    </comment>
    <comment authorId="0" ref="BQ142">
      <text>
        <t xml:space="preserve">Responder updated this value.</t>
      </text>
    </comment>
    <comment authorId="0" ref="P143">
      <text>
        <t xml:space="preserve">Responder updated this value.</t>
      </text>
    </comment>
    <comment authorId="0" ref="AL143">
      <text>
        <t xml:space="preserve">Responder updated this value.</t>
      </text>
    </comment>
    <comment authorId="0" ref="AM143">
      <text>
        <t xml:space="preserve">Responder updated this value.</t>
      </text>
    </comment>
    <comment authorId="0" ref="AN143">
      <text>
        <t xml:space="preserve">Responder updated this value.</t>
      </text>
    </comment>
    <comment authorId="0" ref="AP143">
      <text>
        <t xml:space="preserve">Responder updated this value.</t>
      </text>
    </comment>
    <comment authorId="0" ref="AR143">
      <text>
        <t xml:space="preserve">Responder updated this value.</t>
      </text>
    </comment>
    <comment authorId="0" ref="AS143">
      <text>
        <t xml:space="preserve">Responder updated this value.</t>
      </text>
    </comment>
    <comment authorId="0" ref="AW143">
      <text>
        <t xml:space="preserve">Responder updated this value.</t>
      </text>
    </comment>
    <comment authorId="0" ref="BH143">
      <text>
        <t xml:space="preserve">Responder updated this value.</t>
      </text>
    </comment>
    <comment authorId="0" ref="BI143">
      <text>
        <t xml:space="preserve">Responder updated this value.</t>
      </text>
    </comment>
    <comment authorId="0" ref="BJ143">
      <text>
        <t xml:space="preserve">Responder updated this value.</t>
      </text>
    </comment>
    <comment authorId="0" ref="BL143">
      <text>
        <t xml:space="preserve">Responder updated this value.</t>
      </text>
    </comment>
    <comment authorId="0" ref="BM143">
      <text>
        <t xml:space="preserve">Responder updated this value.</t>
      </text>
    </comment>
    <comment authorId="0" ref="BN143">
      <text>
        <t xml:space="preserve">Responder updated this value.</t>
      </text>
    </comment>
    <comment authorId="0" ref="BQ143">
      <text>
        <t xml:space="preserve">Responder updated this value.</t>
      </text>
    </comment>
    <comment authorId="0" ref="AQ144">
      <text>
        <t xml:space="preserve">Responder updated this value.</t>
      </text>
    </comment>
    <comment authorId="0" ref="BJ144">
      <text>
        <t xml:space="preserve">Responder updated this value.</t>
      </text>
    </comment>
    <comment authorId="0" ref="BQ144">
      <text>
        <t xml:space="preserve">Responder updated this value.</t>
      </text>
    </comment>
    <comment authorId="0" ref="BT144">
      <text>
        <t xml:space="preserve">Responder updated this value.</t>
      </text>
    </comment>
    <comment authorId="0" ref="BV144">
      <text>
        <t xml:space="preserve">Responder updated this value.</t>
      </text>
    </comment>
    <comment authorId="0" ref="BW144">
      <text>
        <t xml:space="preserve">Responder updated this value.</t>
      </text>
    </comment>
    <comment authorId="0" ref="AO145">
      <text>
        <t xml:space="preserve">Responder updated this value.</t>
      </text>
    </comment>
    <comment authorId="0" ref="AP145">
      <text>
        <t xml:space="preserve">Responder updated this value.</t>
      </text>
    </comment>
    <comment authorId="0" ref="AQ145">
      <text>
        <t xml:space="preserve">Responder updated this value.</t>
      </text>
    </comment>
    <comment authorId="0" ref="AR145">
      <text>
        <t xml:space="preserve">Responder updated this value.</t>
      </text>
    </comment>
    <comment authorId="0" ref="AS145">
      <text>
        <t xml:space="preserve">Responder updated this value.</t>
      </text>
    </comment>
    <comment authorId="0" ref="AT145">
      <text>
        <t xml:space="preserve">Responder updated this value.</t>
      </text>
    </comment>
    <comment authorId="0" ref="AV145">
      <text>
        <t xml:space="preserve">Responder updated this value.</t>
      </text>
    </comment>
    <comment authorId="0" ref="AY145">
      <text>
        <t xml:space="preserve">Responder updated this value.</t>
      </text>
    </comment>
    <comment authorId="0" ref="BC145">
      <text>
        <t xml:space="preserve">Responder updated this value.</t>
      </text>
    </comment>
    <comment authorId="0" ref="BH145">
      <text>
        <t xml:space="preserve">Responder updated this value.</t>
      </text>
    </comment>
    <comment authorId="0" ref="BL145">
      <text>
        <t xml:space="preserve">Responder updated this value.</t>
      </text>
    </comment>
    <comment authorId="0" ref="BM145">
      <text>
        <t xml:space="preserve">Responder updated this value.</t>
      </text>
    </comment>
    <comment authorId="0" ref="BQ145">
      <text>
        <t xml:space="preserve">Responder updated this value.</t>
      </text>
    </comment>
    <comment authorId="0" ref="BT145">
      <text>
        <t xml:space="preserve">Responder updated this value.</t>
      </text>
    </comment>
    <comment authorId="0" ref="BW145">
      <text>
        <t xml:space="preserve">Responder updated this value.</t>
      </text>
    </comment>
    <comment authorId="0" ref="BL146">
      <text>
        <t xml:space="preserve">Responder updated this value.</t>
      </text>
    </comment>
    <comment authorId="0" ref="BM146">
      <text>
        <t xml:space="preserve">Responder updated this value.</t>
      </text>
    </comment>
    <comment authorId="0" ref="BQ146">
      <text>
        <t xml:space="preserve">Responder updated this value.</t>
      </text>
    </comment>
    <comment authorId="0" ref="AS147">
      <text>
        <t xml:space="preserve">Responder updated this value.</t>
      </text>
    </comment>
    <comment authorId="0" ref="BA147">
      <text>
        <t xml:space="preserve">Responder updated this value.</t>
      </text>
    </comment>
    <comment authorId="0" ref="BL147">
      <text>
        <t xml:space="preserve">Responder updated this value.</t>
      </text>
    </comment>
    <comment authorId="0" ref="BM147">
      <text>
        <t xml:space="preserve">Responder updated this value.</t>
      </text>
    </comment>
    <comment authorId="0" ref="BQ147">
      <text>
        <t xml:space="preserve">Responder updated this value.</t>
      </text>
    </comment>
    <comment authorId="0" ref="BA148">
      <text>
        <t xml:space="preserve">Responder updated this value.</t>
      </text>
    </comment>
    <comment authorId="0" ref="BQ148">
      <text>
        <t xml:space="preserve">Responder updated this value.</t>
      </text>
    </comment>
    <comment authorId="0" ref="U149">
      <text>
        <t xml:space="preserve">Responder updated this value.</t>
      </text>
    </comment>
    <comment authorId="0" ref="AN149">
      <text>
        <t xml:space="preserve">Responder updated this value.</t>
      </text>
    </comment>
    <comment authorId="0" ref="AP149">
      <text>
        <t xml:space="preserve">Responder updated this value.</t>
      </text>
    </comment>
    <comment authorId="0" ref="AY149">
      <text>
        <t xml:space="preserve">Responder updated this value.</t>
      </text>
    </comment>
    <comment authorId="0" ref="BQ149">
      <text>
        <t xml:space="preserve">Responder updated this value.</t>
      </text>
    </comment>
    <comment authorId="0" ref="BS149">
      <text>
        <t xml:space="preserve">Responder updated this value.</t>
      </text>
    </comment>
    <comment authorId="0" ref="BW149">
      <text>
        <t xml:space="preserve">Responder updated this value.</t>
      </text>
    </comment>
    <comment authorId="0" ref="AL150">
      <text>
        <t xml:space="preserve">Responder updated this value.</t>
      </text>
    </comment>
    <comment authorId="0" ref="AM150">
      <text>
        <t xml:space="preserve">Responder updated this value.</t>
      </text>
    </comment>
    <comment authorId="0" ref="AQ150">
      <text>
        <t xml:space="preserve">Responder updated this value.</t>
      </text>
    </comment>
    <comment authorId="0" ref="AV150">
      <text>
        <t xml:space="preserve">Responder updated this value.</t>
      </text>
    </comment>
    <comment authorId="0" ref="BJ150">
      <text>
        <t xml:space="preserve">Responder updated this value.</t>
      </text>
    </comment>
    <comment authorId="0" ref="BL150">
      <text>
        <t xml:space="preserve">Responder updated this value.</t>
      </text>
    </comment>
    <comment authorId="0" ref="BM150">
      <text>
        <t xml:space="preserve">Responder updated this value.</t>
      </text>
    </comment>
    <comment authorId="0" ref="BQ150">
      <text>
        <t xml:space="preserve">Responder updated this value.</t>
      </text>
    </comment>
    <comment authorId="0" ref="BT150">
      <text>
        <t xml:space="preserve">Responder updated this value.</t>
      </text>
    </comment>
    <comment authorId="0" ref="BW150">
      <text>
        <t xml:space="preserve">Responder updated this value.</t>
      </text>
    </comment>
    <comment authorId="0" ref="BI151">
      <text>
        <t xml:space="preserve">Responder updated this value.</t>
      </text>
    </comment>
    <comment authorId="0" ref="BJ151">
      <text>
        <t xml:space="preserve">Responder updated this value.</t>
      </text>
    </comment>
    <comment authorId="0" ref="BL151">
      <text>
        <t xml:space="preserve">Responder updated this value.</t>
      </text>
    </comment>
    <comment authorId="0" ref="BM151">
      <text>
        <t xml:space="preserve">Responder updated this value.</t>
      </text>
    </comment>
    <comment authorId="0" ref="BQ151">
      <text>
        <t xml:space="preserve">Responder updated this value.</t>
      </text>
    </comment>
    <comment authorId="0" ref="AW152">
      <text>
        <t xml:space="preserve">Responder updated this value.</t>
      </text>
    </comment>
    <comment authorId="0" ref="BQ152">
      <text>
        <t xml:space="preserve">Responder updated this value.</t>
      </text>
    </comment>
    <comment authorId="0" ref="AN153">
      <text>
        <t xml:space="preserve">Responder updated this value.</t>
      </text>
    </comment>
    <comment authorId="0" ref="AO153">
      <text>
        <t xml:space="preserve">Responder updated this value.</t>
      </text>
    </comment>
    <comment authorId="0" ref="BE153">
      <text>
        <t xml:space="preserve">Responder updated this value.</t>
      </text>
    </comment>
    <comment authorId="0" ref="BQ153">
      <text>
        <t xml:space="preserve">Responder updated this value.</t>
      </text>
    </comment>
    <comment authorId="0" ref="AO154">
      <text>
        <t xml:space="preserve">Responder updated this value.</t>
      </text>
    </comment>
    <comment authorId="0" ref="AQ154">
      <text>
        <t xml:space="preserve">Responder updated this value.</t>
      </text>
    </comment>
    <comment authorId="0" ref="AR154">
      <text>
        <t xml:space="preserve">Responder updated this value.</t>
      </text>
    </comment>
    <comment authorId="0" ref="AS154">
      <text>
        <t xml:space="preserve">Responder updated this value.</t>
      </text>
    </comment>
    <comment authorId="0" ref="AV154">
      <text>
        <t xml:space="preserve">Responder updated this value.</t>
      </text>
    </comment>
    <comment authorId="0" ref="BJ154">
      <text>
        <t xml:space="preserve">Responder updated this value.</t>
      </text>
    </comment>
    <comment authorId="0" ref="BN154">
      <text>
        <t xml:space="preserve">Responder updated this value.</t>
      </text>
    </comment>
    <comment authorId="0" ref="BQ154">
      <text>
        <t xml:space="preserve">Responder updated this value.</t>
      </text>
    </comment>
    <comment authorId="0" ref="BT154">
      <text>
        <t xml:space="preserve">Responder updated this value.</t>
      </text>
    </comment>
    <comment authorId="0" ref="BW154">
      <text>
        <t xml:space="preserve">Responder updated this value.</t>
      </text>
    </comment>
    <comment authorId="0" ref="BJ155">
      <text>
        <t xml:space="preserve">Responder updated this value.</t>
      </text>
    </comment>
    <comment authorId="0" ref="BL155">
      <text>
        <t xml:space="preserve">Responder updated this value.</t>
      </text>
    </comment>
    <comment authorId="0" ref="BM155">
      <text>
        <t xml:space="preserve">Responder updated this value.</t>
      </text>
    </comment>
    <comment authorId="0" ref="BQ155">
      <text>
        <t xml:space="preserve">Responder updated this value.</t>
      </text>
    </comment>
    <comment authorId="0" ref="BR155">
      <text>
        <t xml:space="preserve">Responder updated this value.</t>
      </text>
    </comment>
    <comment authorId="0" ref="BS155">
      <text>
        <t xml:space="preserve">Responder updated this value.</t>
      </text>
    </comment>
    <comment authorId="0" ref="BU155">
      <text>
        <t xml:space="preserve">Responder updated this value.</t>
      </text>
    </comment>
    <comment authorId="0" ref="BV155">
      <text>
        <t xml:space="preserve">Responder updated this value.</t>
      </text>
    </comment>
    <comment authorId="0" ref="BW155">
      <text>
        <t xml:space="preserve">Responder updated this value.</t>
      </text>
    </comment>
    <comment authorId="0" ref="AQ156">
      <text>
        <t xml:space="preserve">Responder updated this value.</t>
      </text>
    </comment>
    <comment authorId="0" ref="BJ156">
      <text>
        <t xml:space="preserve">Responder updated this value.</t>
      </text>
    </comment>
    <comment authorId="0" ref="BQ156">
      <text>
        <t xml:space="preserve">Responder updated this value.</t>
      </text>
    </comment>
    <comment authorId="0" ref="BT156">
      <text>
        <t xml:space="preserve">Responder updated this value.</t>
      </text>
    </comment>
    <comment authorId="0" ref="BW156">
      <text>
        <t xml:space="preserve">Responder updated this value.</t>
      </text>
    </comment>
    <comment authorId="0" ref="AW157">
      <text>
        <t xml:space="preserve">Responder updated this value.</t>
      </text>
    </comment>
    <comment authorId="0" ref="BQ157">
      <text>
        <t xml:space="preserve">Responder updated this value.</t>
      </text>
    </comment>
    <comment authorId="0" ref="BT157">
      <text>
        <t xml:space="preserve">Responder updated this value.</t>
      </text>
    </comment>
    <comment authorId="0" ref="BW157">
      <text>
        <t xml:space="preserve">Responder updated this value.</t>
      </text>
    </comment>
    <comment authorId="0" ref="BL158">
      <text>
        <t xml:space="preserve">Responder updated this value.</t>
      </text>
    </comment>
    <comment authorId="0" ref="BM158">
      <text>
        <t xml:space="preserve">Responder updated this value.</t>
      </text>
    </comment>
    <comment authorId="0" ref="BN158">
      <text>
        <t xml:space="preserve">Responder updated this value.</t>
      </text>
    </comment>
    <comment authorId="0" ref="BQ158">
      <text>
        <t xml:space="preserve">Responder updated this value.</t>
      </text>
    </comment>
    <comment authorId="0" ref="BR158">
      <text>
        <t xml:space="preserve">Responder updated this value.</t>
      </text>
    </comment>
    <comment authorId="0" ref="BS158">
      <text>
        <t xml:space="preserve">Responder updated this value.</t>
      </text>
    </comment>
    <comment authorId="0" ref="BT158">
      <text>
        <t xml:space="preserve">Responder updated this value.</t>
      </text>
    </comment>
    <comment authorId="0" ref="BU158">
      <text>
        <t xml:space="preserve">Responder updated this value.</t>
      </text>
    </comment>
    <comment authorId="0" ref="BV158">
      <text>
        <t xml:space="preserve">Responder updated this value.</t>
      </text>
    </comment>
    <comment authorId="0" ref="BW158">
      <text>
        <t xml:space="preserve">Responder updated this value.</t>
      </text>
    </comment>
    <comment authorId="0" ref="BJ159">
      <text>
        <t xml:space="preserve">Responder updated this value.</t>
      </text>
    </comment>
    <comment authorId="0" ref="BQ159">
      <text>
        <t xml:space="preserve">Responder updated this value.</t>
      </text>
    </comment>
    <comment authorId="0" ref="AS160">
      <text>
        <t xml:space="preserve">Responder updated this value.</t>
      </text>
    </comment>
    <comment authorId="0" ref="AP161">
      <text>
        <t xml:space="preserve">Responder updated this value.</t>
      </text>
    </comment>
    <comment authorId="0" ref="AS161">
      <text>
        <t xml:space="preserve">Responder updated this value.</t>
      </text>
    </comment>
    <comment authorId="0" ref="AW161">
      <text>
        <t xml:space="preserve">Responder updated this value.</t>
      </text>
    </comment>
    <comment authorId="0" ref="AY161">
      <text>
        <t xml:space="preserve">Responder updated this value.</t>
      </text>
    </comment>
    <comment authorId="0" ref="BJ161">
      <text>
        <t xml:space="preserve">Responder updated this value.</t>
      </text>
    </comment>
    <comment authorId="0" ref="BL161">
      <text>
        <t xml:space="preserve">Responder updated this value.</t>
      </text>
    </comment>
    <comment authorId="0" ref="BM161">
      <text>
        <t xml:space="preserve">Responder updated this value.</t>
      </text>
    </comment>
    <comment authorId="0" ref="BQ161">
      <text>
        <t xml:space="preserve">Responder updated this value.</t>
      </text>
    </comment>
    <comment authorId="0" ref="BR161">
      <text>
        <t xml:space="preserve">Responder updated this value.</t>
      </text>
    </comment>
    <comment authorId="0" ref="BW161">
      <text>
        <t xml:space="preserve">Responder updated this value.</t>
      </text>
    </comment>
    <comment authorId="0" ref="AL162">
      <text>
        <t xml:space="preserve">Responder updated this value.</t>
      </text>
    </comment>
    <comment authorId="0" ref="AM162">
      <text>
        <t xml:space="preserve">Responder updated this value.</t>
      </text>
    </comment>
    <comment authorId="0" ref="BJ162">
      <text>
        <t xml:space="preserve">Responder updated this value.</t>
      </text>
    </comment>
    <comment authorId="0" ref="BL162">
      <text>
        <t xml:space="preserve">Responder updated this value.</t>
      </text>
    </comment>
    <comment authorId="0" ref="BM162">
      <text>
        <t xml:space="preserve">Responder updated this value.</t>
      </text>
    </comment>
    <comment authorId="0" ref="BQ162">
      <text>
        <t xml:space="preserve">Responder updated this value.</t>
      </text>
    </comment>
    <comment authorId="0" ref="BJ163">
      <text>
        <t xml:space="preserve">Responder updated this value.</t>
      </text>
    </comment>
    <comment authorId="0" ref="BL163">
      <text>
        <t xml:space="preserve">Responder updated this value.</t>
      </text>
    </comment>
    <comment authorId="0" ref="BM163">
      <text>
        <t xml:space="preserve">Responder updated this value.</t>
      </text>
    </comment>
    <comment authorId="0" ref="BQ163">
      <text>
        <t xml:space="preserve">Responder updated this value.</t>
      </text>
    </comment>
    <comment authorId="0" ref="BJ164">
      <text>
        <t xml:space="preserve">Responder updated this value.</t>
      </text>
    </comment>
    <comment authorId="0" ref="BM164">
      <text>
        <t xml:space="preserve">Responder updated this value.</t>
      </text>
    </comment>
    <comment authorId="0" ref="BQ164">
      <text>
        <t xml:space="preserve">Responder updated this value.</t>
      </text>
    </comment>
    <comment authorId="0" ref="AQ165">
      <text>
        <t xml:space="preserve">Responder updated this value.</t>
      </text>
    </comment>
    <comment authorId="0" ref="AS165">
      <text>
        <t xml:space="preserve">Responder updated this value.</t>
      </text>
    </comment>
    <comment authorId="0" ref="AW165">
      <text>
        <t xml:space="preserve">Responder updated this value.</t>
      </text>
    </comment>
    <comment authorId="0" ref="BJ165">
      <text>
        <t xml:space="preserve">Responder updated this value.</t>
      </text>
    </comment>
    <comment authorId="0" ref="BQ165">
      <text>
        <t xml:space="preserve">Responder updated this value.</t>
      </text>
    </comment>
    <comment authorId="0" ref="BR165">
      <text>
        <t xml:space="preserve">Responder updated this value.</t>
      </text>
    </comment>
    <comment authorId="0" ref="BS165">
      <text>
        <t xml:space="preserve">Responder updated this value.</t>
      </text>
    </comment>
    <comment authorId="0" ref="BT165">
      <text>
        <t xml:space="preserve">Responder updated this value.</t>
      </text>
    </comment>
    <comment authorId="0" ref="BU165">
      <text>
        <t xml:space="preserve">Responder updated this value.</t>
      </text>
    </comment>
    <comment authorId="0" ref="BV165">
      <text>
        <t xml:space="preserve">Responder updated this value.</t>
      </text>
    </comment>
    <comment authorId="0" ref="BW165">
      <text>
        <t xml:space="preserve">Responder updated this value.</t>
      </text>
    </comment>
    <comment authorId="0" ref="BB166">
      <text>
        <t xml:space="preserve">Responder updated this value.</t>
      </text>
    </comment>
    <comment authorId="0" ref="BQ166">
      <text>
        <t xml:space="preserve">Responder updated this value.</t>
      </text>
    </comment>
    <comment authorId="0" ref="BB167">
      <text>
        <t xml:space="preserve">Responder updated this value.</t>
      </text>
    </comment>
    <comment authorId="0" ref="BJ167">
      <text>
        <t xml:space="preserve">Responder updated this value.</t>
      </text>
    </comment>
    <comment authorId="0" ref="BQ167">
      <text>
        <t xml:space="preserve">Responder updated this value.</t>
      </text>
    </comment>
    <comment authorId="0" ref="BJ168">
      <text>
        <t xml:space="preserve">Responder updated this value.</t>
      </text>
    </comment>
    <comment authorId="0" ref="BL168">
      <text>
        <t xml:space="preserve">Responder updated this value.</t>
      </text>
    </comment>
    <comment authorId="0" ref="BM168">
      <text>
        <t xml:space="preserve">Responder updated this value.</t>
      </text>
    </comment>
    <comment authorId="0" ref="BQ168">
      <text>
        <t xml:space="preserve">Responder updated this value.</t>
      </text>
    </comment>
    <comment authorId="0" ref="AT169">
      <text>
        <t xml:space="preserve">Responder updated this value.</t>
      </text>
    </comment>
    <comment authorId="0" ref="BL169">
      <text>
        <t xml:space="preserve">Responder updated this value.</t>
      </text>
    </comment>
    <comment authorId="0" ref="BM169">
      <text>
        <t xml:space="preserve">Responder updated this value.</t>
      </text>
    </comment>
    <comment authorId="0" ref="BQ169">
      <text>
        <t xml:space="preserve">Responder updated this value.</t>
      </text>
    </comment>
    <comment authorId="0" ref="AL170">
      <text>
        <t xml:space="preserve">Responder updated this value.</t>
      </text>
    </comment>
    <comment authorId="0" ref="AO170">
      <text>
        <t xml:space="preserve">Responder updated this value.</t>
      </text>
    </comment>
    <comment authorId="0" ref="AP170">
      <text>
        <t xml:space="preserve">Responder updated this value.</t>
      </text>
    </comment>
    <comment authorId="0" ref="AT170">
      <text>
        <t xml:space="preserve">Responder updated this value.</t>
      </text>
    </comment>
    <comment authorId="0" ref="AW170">
      <text>
        <t xml:space="preserve">Responder updated this value.</t>
      </text>
    </comment>
    <comment authorId="0" ref="AX170">
      <text>
        <t xml:space="preserve">Responder updated this value.</t>
      </text>
    </comment>
    <comment authorId="0" ref="BF170">
      <text>
        <t xml:space="preserve">Responder updated this value.</t>
      </text>
    </comment>
    <comment authorId="0" ref="BG170">
      <text>
        <t xml:space="preserve">Responder updated this value.</t>
      </text>
    </comment>
    <comment authorId="0" ref="BH170">
      <text>
        <t xml:space="preserve">Responder updated this value.</t>
      </text>
    </comment>
    <comment authorId="0" ref="BQ170">
      <text>
        <t xml:space="preserve">Responder updated this value.</t>
      </text>
    </comment>
    <comment authorId="0" ref="BT170">
      <text>
        <t xml:space="preserve">Responder updated this value.</t>
      </text>
    </comment>
    <comment authorId="0" ref="BU170">
      <text>
        <t xml:space="preserve">Responder updated this value.</t>
      </text>
    </comment>
    <comment authorId="0" ref="BW170">
      <text>
        <t xml:space="preserve">Responder updated this value.</t>
      </text>
    </comment>
    <comment authorId="0" ref="BQ171">
      <text>
        <t xml:space="preserve">Responder updated this value.</t>
      </text>
    </comment>
    <comment authorId="0" ref="BW171">
      <text>
        <t xml:space="preserve">Responder updated this value.</t>
      </text>
    </comment>
    <comment authorId="0" ref="P172">
      <text>
        <t xml:space="preserve">Responder updated this value.</t>
      </text>
    </comment>
    <comment authorId="0" ref="AL172">
      <text>
        <t xml:space="preserve">Responder updated this value.</t>
      </text>
    </comment>
    <comment authorId="0" ref="AM172">
      <text>
        <t xml:space="preserve">Responder updated this value.</t>
      </text>
    </comment>
    <comment authorId="0" ref="BJ172">
      <text>
        <t xml:space="preserve">Responder updated this value.</t>
      </text>
    </comment>
    <comment authorId="0" ref="BQ172">
      <text>
        <t xml:space="preserve">Responder updated this value.</t>
      </text>
    </comment>
    <comment authorId="0" ref="BJ173">
      <text>
        <t xml:space="preserve">Responder updated this value.</t>
      </text>
    </comment>
    <comment authorId="0" ref="BM173">
      <text>
        <t xml:space="preserve">Responder updated this value.</t>
      </text>
    </comment>
    <comment authorId="0" ref="BQ173">
      <text>
        <t xml:space="preserve">Responder updated this value.</t>
      </text>
    </comment>
    <comment authorId="0" ref="BT173">
      <text>
        <t xml:space="preserve">Responder updated this value.</t>
      </text>
    </comment>
    <comment authorId="0" ref="BW173">
      <text>
        <t xml:space="preserve">Responder updated this value.</t>
      </text>
    </comment>
    <comment authorId="0" ref="AR174">
      <text>
        <t xml:space="preserve">Responder updated this value.</t>
      </text>
    </comment>
    <comment authorId="0" ref="BQ174">
      <text>
        <t xml:space="preserve">Responder updated this value.</t>
      </text>
    </comment>
    <comment authorId="0" ref="BT174">
      <text>
        <t xml:space="preserve">Responder updated this value.</t>
      </text>
    </comment>
    <comment authorId="0" ref="BW174">
      <text>
        <t xml:space="preserve">Responder updated this value.</t>
      </text>
    </comment>
    <comment authorId="0" ref="X175">
      <text>
        <t xml:space="preserve">Responder updated this value.</t>
      </text>
    </comment>
    <comment authorId="0" ref="AQ175">
      <text>
        <t xml:space="preserve">Responder updated this value.</t>
      </text>
    </comment>
    <comment authorId="0" ref="AS175">
      <text>
        <t xml:space="preserve">Responder updated this value.</t>
      </text>
    </comment>
    <comment authorId="0" ref="AT175">
      <text>
        <t xml:space="preserve">Responder updated this value.</t>
      </text>
    </comment>
    <comment authorId="0" ref="AU175">
      <text>
        <t xml:space="preserve">Responder updated this value.</t>
      </text>
    </comment>
    <comment authorId="0" ref="BI175">
      <text>
        <t xml:space="preserve">Responder updated this value.</t>
      </text>
    </comment>
    <comment authorId="0" ref="BJ175">
      <text>
        <t xml:space="preserve">Responder updated this value.</t>
      </text>
    </comment>
    <comment authorId="0" ref="BL175">
      <text>
        <t xml:space="preserve">Responder updated this value.</t>
      </text>
    </comment>
    <comment authorId="0" ref="BM175">
      <text>
        <t xml:space="preserve">Responder updated this value.</t>
      </text>
    </comment>
    <comment authorId="0" ref="BP175">
      <text>
        <t xml:space="preserve">Responder updated this value.</t>
      </text>
    </comment>
    <comment authorId="0" ref="BQ175">
      <text>
        <t xml:space="preserve">Responder updated this value.</t>
      </text>
    </comment>
    <comment authorId="0" ref="BT175">
      <text>
        <t xml:space="preserve">Responder updated this value.</t>
      </text>
    </comment>
    <comment authorId="0" ref="BW175">
      <text>
        <t xml:space="preserve">Responder updated this value.</t>
      </text>
    </comment>
    <comment authorId="0" ref="BJ176">
      <text>
        <t xml:space="preserve">Responder updated this value.</t>
      </text>
    </comment>
    <comment authorId="0" ref="BL176">
      <text>
        <t xml:space="preserve">Responder updated this value.</t>
      </text>
    </comment>
    <comment authorId="0" ref="BQ176">
      <text>
        <t xml:space="preserve">Responder updated this value.</t>
      </text>
    </comment>
    <comment authorId="0" ref="P177">
      <text>
        <t xml:space="preserve">Responder updated this value.</t>
      </text>
    </comment>
    <comment authorId="0" ref="AK177">
      <text>
        <t xml:space="preserve">Responder updated this value.</t>
      </text>
    </comment>
    <comment authorId="0" ref="AQ177">
      <text>
        <t xml:space="preserve">Responder updated this value.</t>
      </text>
    </comment>
    <comment authorId="0" ref="BM177">
      <text>
        <t xml:space="preserve">Responder updated this value.</t>
      </text>
    </comment>
    <comment authorId="0" ref="BQ177">
      <text>
        <t xml:space="preserve">Responder updated this value.</t>
      </text>
    </comment>
    <comment authorId="0" ref="BJ178">
      <text>
        <t xml:space="preserve">Responder updated this value.</t>
      </text>
    </comment>
    <comment authorId="0" ref="BQ178">
      <text>
        <t xml:space="preserve">Responder updated this value.</t>
      </text>
    </comment>
    <comment authorId="0" ref="BR178">
      <text>
        <t xml:space="preserve">Responder updated this value.</t>
      </text>
    </comment>
    <comment authorId="0" ref="BW178">
      <text>
        <t xml:space="preserve">Responder updated this value.</t>
      </text>
    </comment>
    <comment authorId="0" ref="W179">
      <text>
        <t xml:space="preserve">Responder updated this value.</t>
      </text>
    </comment>
    <comment authorId="0" ref="AL179">
      <text>
        <t xml:space="preserve">Responder updated this value.</t>
      </text>
    </comment>
    <comment authorId="0" ref="AM179">
      <text>
        <t xml:space="preserve">Responder updated this value.</t>
      </text>
    </comment>
    <comment authorId="0" ref="AY179">
      <text>
        <t xml:space="preserve">Responder updated this value.</t>
      </text>
    </comment>
    <comment authorId="0" ref="BE179">
      <text>
        <t xml:space="preserve">Responder updated this value.</t>
      </text>
    </comment>
    <comment authorId="0" ref="BL179">
      <text>
        <t xml:space="preserve">Responder updated this value.</t>
      </text>
    </comment>
    <comment authorId="0" ref="BM179">
      <text>
        <t xml:space="preserve">Responder updated this value.</t>
      </text>
    </comment>
    <comment authorId="0" ref="BQ179">
      <text>
        <t xml:space="preserve">Responder updated this value.</t>
      </text>
    </comment>
    <comment authorId="0" ref="BW179">
      <text>
        <t xml:space="preserve">Responder updated this value.</t>
      </text>
    </comment>
    <comment authorId="0" ref="AW180">
      <text>
        <t xml:space="preserve">Responder updated this value.</t>
      </text>
    </comment>
    <comment authorId="0" ref="BH180">
      <text>
        <t xml:space="preserve">Responder updated this value.</t>
      </text>
    </comment>
    <comment authorId="0" ref="BM180">
      <text>
        <t xml:space="preserve">Responder updated this value.</t>
      </text>
    </comment>
    <comment authorId="0" ref="BP180">
      <text>
        <t xml:space="preserve">Responder updated this value.</t>
      </text>
    </comment>
    <comment authorId="0" ref="BQ180">
      <text>
        <t xml:space="preserve">Responder updated this value.</t>
      </text>
    </comment>
    <comment authorId="0" ref="BV180">
      <text>
        <t xml:space="preserve">Responder updated this value.</t>
      </text>
    </comment>
    <comment authorId="0" ref="BW180">
      <text>
        <t xml:space="preserve">Responder updated this value.</t>
      </text>
    </comment>
    <comment authorId="0" ref="AL181">
      <text>
        <t xml:space="preserve">Responder updated this value.</t>
      </text>
    </comment>
    <comment authorId="0" ref="AM181">
      <text>
        <t xml:space="preserve">Responder updated this value.</t>
      </text>
    </comment>
    <comment authorId="0" ref="AQ181">
      <text>
        <t xml:space="preserve">Responder updated this value.</t>
      </text>
    </comment>
    <comment authorId="0" ref="AR181">
      <text>
        <t xml:space="preserve">Responder updated this value.</t>
      </text>
    </comment>
    <comment authorId="0" ref="AW181">
      <text>
        <t xml:space="preserve">Responder updated this value.</t>
      </text>
    </comment>
    <comment authorId="0" ref="BL181">
      <text>
        <t xml:space="preserve">Responder updated this value.</t>
      </text>
    </comment>
    <comment authorId="0" ref="BM181">
      <text>
        <t xml:space="preserve">Responder updated this value.</t>
      </text>
    </comment>
    <comment authorId="0" ref="BQ181">
      <text>
        <t xml:space="preserve">Responder updated this value.</t>
      </text>
    </comment>
    <comment authorId="0" ref="BS181">
      <text>
        <t xml:space="preserve">Responder updated this value.</t>
      </text>
    </comment>
    <comment authorId="0" ref="BT181">
      <text>
        <t xml:space="preserve">Responder updated this value.</t>
      </text>
    </comment>
    <comment authorId="0" ref="BW181">
      <text>
        <t xml:space="preserve">Responder updated this value.</t>
      </text>
    </comment>
    <comment authorId="0" ref="V182">
      <text>
        <t xml:space="preserve">Responder updated this value.</t>
      </text>
    </comment>
    <comment authorId="0" ref="AQ182">
      <text>
        <t xml:space="preserve">Responder updated this value.</t>
      </text>
    </comment>
    <comment authorId="0" ref="AR182">
      <text>
        <t xml:space="preserve">Responder updated this value.</t>
      </text>
    </comment>
    <comment authorId="0" ref="AS182">
      <text>
        <t xml:space="preserve">Responder updated this value.</t>
      </text>
    </comment>
    <comment authorId="0" ref="BC182">
      <text>
        <t xml:space="preserve">Responder updated this value.</t>
      </text>
    </comment>
    <comment authorId="0" ref="BE182">
      <text>
        <t xml:space="preserve">Responder updated this value.</t>
      </text>
    </comment>
    <comment authorId="0" ref="BJ182">
      <text>
        <t xml:space="preserve">Responder updated this value.</t>
      </text>
    </comment>
    <comment authorId="0" ref="BL182">
      <text>
        <t xml:space="preserve">Responder updated this value.</t>
      </text>
    </comment>
    <comment authorId="0" ref="BM182">
      <text>
        <t xml:space="preserve">Responder updated this value.</t>
      </text>
    </comment>
    <comment authorId="0" ref="BN182">
      <text>
        <t xml:space="preserve">Responder updated this value.</t>
      </text>
    </comment>
    <comment authorId="0" ref="BQ182">
      <text>
        <t xml:space="preserve">Responder updated this value.</t>
      </text>
    </comment>
    <comment authorId="0" ref="BW182">
      <text>
        <t xml:space="preserve">Responder updated this value.</t>
      </text>
    </comment>
    <comment authorId="0" ref="AH183">
      <text>
        <t xml:space="preserve">Responder updated this value.</t>
      </text>
    </comment>
    <comment authorId="0" ref="AS183">
      <text>
        <t xml:space="preserve">Responder updated this value.</t>
      </text>
    </comment>
    <comment authorId="0" ref="AW183">
      <text>
        <t xml:space="preserve">Responder updated this value.</t>
      </text>
    </comment>
    <comment authorId="0" ref="BE183">
      <text>
        <t xml:space="preserve">Responder updated this value.</t>
      </text>
    </comment>
    <comment authorId="0" ref="BQ183">
      <text>
        <t xml:space="preserve">Responder updated this value.</t>
      </text>
    </comment>
    <comment authorId="0" ref="BW183">
      <text>
        <t xml:space="preserve">Responder updated this value.</t>
      </text>
    </comment>
    <comment authorId="0" ref="V184">
      <text>
        <t xml:space="preserve">Responder updated this value.</t>
      </text>
    </comment>
    <comment authorId="0" ref="AO184">
      <text>
        <t xml:space="preserve">Responder updated this value.</t>
      </text>
    </comment>
    <comment authorId="0" ref="AW184">
      <text>
        <t xml:space="preserve">Responder updated this value.</t>
      </text>
    </comment>
    <comment authorId="0" ref="AY184">
      <text>
        <t xml:space="preserve">Responder updated this value.</t>
      </text>
    </comment>
    <comment authorId="0" ref="BF184">
      <text>
        <t xml:space="preserve">Responder updated this value.</t>
      </text>
    </comment>
    <comment authorId="0" ref="BI184">
      <text>
        <t xml:space="preserve">Responder updated this value.</t>
      </text>
    </comment>
    <comment authorId="0" ref="BJ184">
      <text>
        <t xml:space="preserve">Responder updated this value.</t>
      </text>
    </comment>
    <comment authorId="0" ref="BL184">
      <text>
        <t xml:space="preserve">Responder updated this value.</t>
      </text>
    </comment>
    <comment authorId="0" ref="BM184">
      <text>
        <t xml:space="preserve">Responder updated this value.</t>
      </text>
    </comment>
    <comment authorId="0" ref="BN184">
      <text>
        <t xml:space="preserve">Responder updated this value.</t>
      </text>
    </comment>
    <comment authorId="0" ref="BQ184">
      <text>
        <t xml:space="preserve">Responder updated this value.</t>
      </text>
    </comment>
    <comment authorId="0" ref="AX185">
      <text>
        <t xml:space="preserve">Responder updated this value.</t>
      </text>
    </comment>
    <comment authorId="0" ref="BJ185">
      <text>
        <t xml:space="preserve">Responder updated this value.</t>
      </text>
    </comment>
    <comment authorId="0" ref="BL185">
      <text>
        <t xml:space="preserve">Responder updated this value.</t>
      </text>
    </comment>
    <comment authorId="0" ref="BQ185">
      <text>
        <t xml:space="preserve">Responder updated this value.</t>
      </text>
    </comment>
    <comment authorId="0" ref="BW185">
      <text>
        <t xml:space="preserve">Responder updated this value.</t>
      </text>
    </comment>
    <comment authorId="0" ref="AQ186">
      <text>
        <t xml:space="preserve">Responder updated this value.</t>
      </text>
    </comment>
    <comment authorId="0" ref="BJ186">
      <text>
        <t xml:space="preserve">Responder updated this value.</t>
      </text>
    </comment>
    <comment authorId="0" ref="BQ186">
      <text>
        <t xml:space="preserve">Responder updated this value.</t>
      </text>
    </comment>
    <comment authorId="0" ref="BS186">
      <text>
        <t xml:space="preserve">Responder updated this value.</t>
      </text>
    </comment>
    <comment authorId="0" ref="BT186">
      <text>
        <t xml:space="preserve">Responder updated this value.</t>
      </text>
    </comment>
    <comment authorId="0" ref="BU186">
      <text>
        <t xml:space="preserve">Responder updated this value.</t>
      </text>
    </comment>
    <comment authorId="0" ref="BV186">
      <text>
        <t xml:space="preserve">Responder updated this value.</t>
      </text>
    </comment>
    <comment authorId="0" ref="BW186">
      <text>
        <t xml:space="preserve">Responder updated this value.</t>
      </text>
    </comment>
    <comment authorId="0" ref="BJ188">
      <text>
        <t xml:space="preserve">Responder updated this value.</t>
      </text>
    </comment>
    <comment authorId="0" ref="BQ188">
      <text>
        <t xml:space="preserve">Responder updated this value.</t>
      </text>
    </comment>
    <comment authorId="0" ref="BJ189">
      <text>
        <t xml:space="preserve">Responder updated this value.</t>
      </text>
    </comment>
    <comment authorId="0" ref="BQ189">
      <text>
        <t xml:space="preserve">Responder updated this value.</t>
      </text>
    </comment>
    <comment authorId="0" ref="BR189">
      <text>
        <t xml:space="preserve">Responder updated this value.</t>
      </text>
    </comment>
    <comment authorId="0" ref="BU189">
      <text>
        <t xml:space="preserve">Responder updated this value.</t>
      </text>
    </comment>
    <comment authorId="0" ref="BV189">
      <text>
        <t xml:space="preserve">Responder updated this value.</t>
      </text>
    </comment>
    <comment authorId="0" ref="BW189">
      <text>
        <t xml:space="preserve">Responder updated this value.</t>
      </text>
    </comment>
    <comment authorId="0" ref="BQ190">
      <text>
        <t xml:space="preserve">Responder updated this value.</t>
      </text>
    </comment>
    <comment authorId="0" ref="BN191">
      <text>
        <t xml:space="preserve">Responder updated this value.</t>
      </text>
    </comment>
    <comment authorId="0" ref="BQ191">
      <text>
        <t xml:space="preserve">Responder updated this value.</t>
      </text>
    </comment>
    <comment authorId="0" ref="AL192">
      <text>
        <t xml:space="preserve">Responder updated this value.</t>
      </text>
    </comment>
    <comment authorId="0" ref="AM192">
      <text>
        <t xml:space="preserve">Responder updated this value.</t>
      </text>
    </comment>
    <comment authorId="0" ref="AN192">
      <text>
        <t xml:space="preserve">Responder updated this value.</t>
      </text>
    </comment>
    <comment authorId="0" ref="AP192">
      <text>
        <t xml:space="preserve">Responder updated this value.</t>
      </text>
    </comment>
    <comment authorId="0" ref="BJ192">
      <text>
        <t xml:space="preserve">Responder updated this value.</t>
      </text>
    </comment>
    <comment authorId="0" ref="BQ192">
      <text>
        <t xml:space="preserve">Responder updated this value.</t>
      </text>
    </comment>
    <comment authorId="0" ref="BW192">
      <text>
        <t xml:space="preserve">Responder updated this value.</t>
      </text>
    </comment>
    <comment authorId="0" ref="AL193">
      <text>
        <t xml:space="preserve">Responder updated this value.</t>
      </text>
    </comment>
    <comment authorId="0" ref="AM193">
      <text>
        <t xml:space="preserve">Responder updated this value.</t>
      </text>
    </comment>
    <comment authorId="0" ref="AQ193">
      <text>
        <t xml:space="preserve">Responder updated this value.</t>
      </text>
    </comment>
    <comment authorId="0" ref="AW193">
      <text>
        <t xml:space="preserve">Responder updated this value.</t>
      </text>
    </comment>
    <comment authorId="0" ref="BJ193">
      <text>
        <t xml:space="preserve">Responder updated this value.</t>
      </text>
    </comment>
    <comment authorId="0" ref="BL193">
      <text>
        <t xml:space="preserve">Responder updated this value.</t>
      </text>
    </comment>
    <comment authorId="0" ref="BM193">
      <text>
        <t xml:space="preserve">Responder updated this value.</t>
      </text>
    </comment>
    <comment authorId="0" ref="BN193">
      <text>
        <t xml:space="preserve">Responder updated this value.</t>
      </text>
    </comment>
    <comment authorId="0" ref="BP193">
      <text>
        <t xml:space="preserve">Responder updated this value.</t>
      </text>
    </comment>
    <comment authorId="0" ref="BQ193">
      <text>
        <t xml:space="preserve">Responder updated this value.</t>
      </text>
    </comment>
    <comment authorId="0" ref="AW194">
      <text>
        <t xml:space="preserve">Responder updated this value.</t>
      </text>
    </comment>
    <comment authorId="0" ref="BL194">
      <text>
        <t xml:space="preserve">Responder updated this value.</t>
      </text>
    </comment>
    <comment authorId="0" ref="BM194">
      <text>
        <t xml:space="preserve">Responder updated this value.</t>
      </text>
    </comment>
    <comment authorId="0" ref="BQ194">
      <text>
        <t xml:space="preserve">Responder updated this value.</t>
      </text>
    </comment>
    <comment authorId="0" ref="BE195">
      <text>
        <t xml:space="preserve">Responder updated this value.</t>
      </text>
    </comment>
    <comment authorId="0" ref="BI195">
      <text>
        <t xml:space="preserve">Responder updated this value.</t>
      </text>
    </comment>
    <comment authorId="0" ref="BJ195">
      <text>
        <t xml:space="preserve">Responder updated this value.</t>
      </text>
    </comment>
    <comment authorId="0" ref="BQ195">
      <text>
        <t xml:space="preserve">Responder updated this value.</t>
      </text>
    </comment>
    <comment authorId="0" ref="AB196">
      <text>
        <t xml:space="preserve">Responder updated this value.</t>
      </text>
    </comment>
    <comment authorId="0" ref="AC196">
      <text>
        <t xml:space="preserve">Responder updated this value.</t>
      </text>
    </comment>
    <comment authorId="0" ref="AQ196">
      <text>
        <t xml:space="preserve">Responder updated this value.</t>
      </text>
    </comment>
    <comment authorId="0" ref="AR196">
      <text>
        <t xml:space="preserve">Responder updated this value.</t>
      </text>
    </comment>
    <comment authorId="0" ref="AT196">
      <text>
        <t xml:space="preserve">Responder updated this value.</t>
      </text>
    </comment>
    <comment authorId="0" ref="AW196">
      <text>
        <t xml:space="preserve">Responder updated this value.</t>
      </text>
    </comment>
    <comment authorId="0" ref="AY196">
      <text>
        <t xml:space="preserve">Responder updated this value.</t>
      </text>
    </comment>
    <comment authorId="0" ref="BB196">
      <text>
        <t xml:space="preserve">Responder updated this value.</t>
      </text>
    </comment>
    <comment authorId="0" ref="BE196">
      <text>
        <t xml:space="preserve">Responder updated this value.</t>
      </text>
    </comment>
    <comment authorId="0" ref="BI196">
      <text>
        <t xml:space="preserve">Responder updated this value.</t>
      </text>
    </comment>
    <comment authorId="0" ref="BM196">
      <text>
        <t xml:space="preserve">Responder updated this value.</t>
      </text>
    </comment>
    <comment authorId="0" ref="BQ196">
      <text>
        <t xml:space="preserve">Responder updated this value.</t>
      </text>
    </comment>
    <comment authorId="0" ref="AL197">
      <text>
        <t xml:space="preserve">Responder updated this value.</t>
      </text>
    </comment>
    <comment authorId="0" ref="BJ197">
      <text>
        <t xml:space="preserve">Responder updated this value.</t>
      </text>
    </comment>
    <comment authorId="0" ref="BM197">
      <text>
        <t xml:space="preserve">Responder updated this value.</t>
      </text>
    </comment>
    <comment authorId="0" ref="BQ197">
      <text>
        <t xml:space="preserve">Responder updated this value.</t>
      </text>
    </comment>
    <comment authorId="0" ref="BU197">
      <text>
        <t xml:space="preserve">Responder updated this value.</t>
      </text>
    </comment>
    <comment authorId="0" ref="BW197">
      <text>
        <t xml:space="preserve">Responder updated this value.</t>
      </text>
    </comment>
    <comment authorId="0" ref="BJ198">
      <text>
        <t xml:space="preserve">Responder updated this value.</t>
      </text>
    </comment>
    <comment authorId="0" ref="BQ198">
      <text>
        <t xml:space="preserve">Responder updated this value.</t>
      </text>
    </comment>
    <comment authorId="0" ref="BW198">
      <text>
        <t xml:space="preserve">Responder updated this value.</t>
      </text>
    </comment>
    <comment authorId="0" ref="AB199">
      <text>
        <t xml:space="preserve">Responder updated this value.</t>
      </text>
    </comment>
    <comment authorId="0" ref="AC199">
      <text>
        <t xml:space="preserve">Responder updated this value.</t>
      </text>
    </comment>
    <comment authorId="0" ref="BJ199">
      <text>
        <t xml:space="preserve">Responder updated this value.</t>
      </text>
    </comment>
    <comment authorId="0" ref="BQ199">
      <text>
        <t xml:space="preserve">Responder updated this value.</t>
      </text>
    </comment>
    <comment authorId="0" ref="BW199">
      <text>
        <t xml:space="preserve">Responder updated this value.</t>
      </text>
    </comment>
    <comment authorId="0" ref="AB200">
      <text>
        <t xml:space="preserve">Responder updated this value.</t>
      </text>
    </comment>
    <comment authorId="0" ref="AC200">
      <text>
        <t xml:space="preserve">Responder updated this value.</t>
      </text>
    </comment>
    <comment authorId="0" ref="AV200">
      <text>
        <t xml:space="preserve">Responder updated this value.</t>
      </text>
    </comment>
    <comment authorId="0" ref="BJ200">
      <text>
        <t xml:space="preserve">Responder updated this value.</t>
      </text>
    </comment>
    <comment authorId="0" ref="BP200">
      <text>
        <t xml:space="preserve">Responder updated this value.</t>
      </text>
    </comment>
    <comment authorId="0" ref="BQ200">
      <text>
        <t xml:space="preserve">Responder updated this value.</t>
      </text>
    </comment>
    <comment authorId="0" ref="BW200">
      <text>
        <t xml:space="preserve">Responder updated this value.</t>
      </text>
    </comment>
    <comment authorId="0" ref="AW202">
      <text>
        <t xml:space="preserve">Responder updated this value.</t>
      </text>
    </comment>
    <comment authorId="0" ref="BA202">
      <text>
        <t xml:space="preserve">Responder updated this value.</t>
      </text>
    </comment>
    <comment authorId="0" ref="BM202">
      <text>
        <t xml:space="preserve">Responder updated this value.</t>
      </text>
    </comment>
    <comment authorId="0" ref="BQ202">
      <text>
        <t xml:space="preserve">Responder updated this value.</t>
      </text>
    </comment>
    <comment authorId="0" ref="P203">
      <text>
        <t xml:space="preserve">Responder updated this value.</t>
      </text>
    </comment>
    <comment authorId="0" ref="AL203">
      <text>
        <t xml:space="preserve">Responder updated this value.</t>
      </text>
    </comment>
    <comment authorId="0" ref="AM203">
      <text>
        <t xml:space="preserve">Responder updated this value.</t>
      </text>
    </comment>
    <comment authorId="0" ref="BA203">
      <text>
        <t xml:space="preserve">Responder updated this value.</t>
      </text>
    </comment>
    <comment authorId="0" ref="BB203">
      <text>
        <t xml:space="preserve">Responder updated this value.</t>
      </text>
    </comment>
    <comment authorId="0" ref="BL203">
      <text>
        <t xml:space="preserve">Responder updated this value.</t>
      </text>
    </comment>
    <comment authorId="0" ref="BM203">
      <text>
        <t xml:space="preserve">Responder updated this value.</t>
      </text>
    </comment>
    <comment authorId="0" ref="BQ203">
      <text>
        <t xml:space="preserve">Responder updated this value.</t>
      </text>
    </comment>
    <comment authorId="0" ref="BW203">
      <text>
        <t xml:space="preserve">Responder updated this value.</t>
      </text>
    </comment>
    <comment authorId="0" ref="P204">
      <text>
        <t xml:space="preserve">Responder updated this value.</t>
      </text>
    </comment>
    <comment authorId="0" ref="BJ204">
      <text>
        <t xml:space="preserve">Responder updated this value.</t>
      </text>
    </comment>
    <comment authorId="0" ref="BQ204">
      <text>
        <t xml:space="preserve">Responder updated this value.</t>
      </text>
    </comment>
    <comment authorId="0" ref="BU204">
      <text>
        <t xml:space="preserve">Responder updated this value.</t>
      </text>
    </comment>
    <comment authorId="0" ref="BV204">
      <text>
        <t xml:space="preserve">Responder updated this value.</t>
      </text>
    </comment>
    <comment authorId="0" ref="BW204">
      <text>
        <t xml:space="preserve">Responder updated this value.</t>
      </text>
    </comment>
    <comment authorId="0" ref="BE205">
      <text>
        <t xml:space="preserve">Responder updated this value.</t>
      </text>
    </comment>
    <comment authorId="0" ref="BJ205">
      <text>
        <t xml:space="preserve">Responder updated this value.</t>
      </text>
    </comment>
    <comment authorId="0" ref="BL205">
      <text>
        <t xml:space="preserve">Responder updated this value.</t>
      </text>
    </comment>
    <comment authorId="0" ref="BM205">
      <text>
        <t xml:space="preserve">Responder updated this value.</t>
      </text>
    </comment>
    <comment authorId="0" ref="BQ205">
      <text>
        <t xml:space="preserve">Responder updated this value.</t>
      </text>
    </comment>
    <comment authorId="0" ref="Z206">
      <text>
        <t xml:space="preserve">Responder updated this value.</t>
      </text>
    </comment>
    <comment authorId="0" ref="AL206">
      <text>
        <t xml:space="preserve">Responder updated this value.</t>
      </text>
    </comment>
    <comment authorId="0" ref="AM206">
      <text>
        <t xml:space="preserve">Responder updated this value.</t>
      </text>
    </comment>
    <comment authorId="0" ref="BE206">
      <text>
        <t xml:space="preserve">Responder updated this value.</t>
      </text>
    </comment>
    <comment authorId="0" ref="BF206">
      <text>
        <t xml:space="preserve">Responder updated this value.</t>
      </text>
    </comment>
    <comment authorId="0" ref="BJ206">
      <text>
        <t xml:space="preserve">Responder updated this value.</t>
      </text>
    </comment>
    <comment authorId="0" ref="BM206">
      <text>
        <t xml:space="preserve">Responder updated this value.</t>
      </text>
    </comment>
    <comment authorId="0" ref="BN206">
      <text>
        <t xml:space="preserve">Responder updated this value.</t>
      </text>
    </comment>
    <comment authorId="0" ref="BQ206">
      <text>
        <t xml:space="preserve">Responder updated this value.</t>
      </text>
    </comment>
    <comment authorId="0" ref="AR207">
      <text>
        <t xml:space="preserve">Responder updated this value.</t>
      </text>
    </comment>
    <comment authorId="0" ref="BB207">
      <text>
        <t xml:space="preserve">Responder updated this value.</t>
      </text>
    </comment>
    <comment authorId="0" ref="BJ207">
      <text>
        <t xml:space="preserve">Responder updated this value.</t>
      </text>
    </comment>
    <comment authorId="0" ref="BQ207">
      <text>
        <t xml:space="preserve">Responder updated this value.</t>
      </text>
    </comment>
    <comment authorId="0" ref="BJ208">
      <text>
        <t xml:space="preserve">Responder updated this value.</t>
      </text>
    </comment>
    <comment authorId="0" ref="BQ208">
      <text>
        <t xml:space="preserve">Responder updated this value.</t>
      </text>
    </comment>
    <comment authorId="0" ref="BJ209">
      <text>
        <t xml:space="preserve">Responder updated this value.</t>
      </text>
    </comment>
    <comment authorId="0" ref="BL209">
      <text>
        <t xml:space="preserve">Responder updated this value.</t>
      </text>
    </comment>
    <comment authorId="0" ref="BM209">
      <text>
        <t xml:space="preserve">Responder updated this value.</t>
      </text>
    </comment>
    <comment authorId="0" ref="BQ209">
      <text>
        <t xml:space="preserve">Responder updated this value.</t>
      </text>
    </comment>
    <comment authorId="0" ref="AS210">
      <text>
        <t xml:space="preserve">Responder updated this value.</t>
      </text>
    </comment>
    <comment authorId="0" ref="BL210">
      <text>
        <t xml:space="preserve">Responder updated this value.</t>
      </text>
    </comment>
    <comment authorId="0" ref="BM210">
      <text>
        <t xml:space="preserve">Responder updated this value.</t>
      </text>
    </comment>
    <comment authorId="0" ref="BQ210">
      <text>
        <t xml:space="preserve">Responder updated this value.</t>
      </text>
    </comment>
    <comment authorId="0" ref="BW210">
      <text>
        <t xml:space="preserve">Responder updated this value.</t>
      </text>
    </comment>
    <comment authorId="0" ref="AO211">
      <text>
        <t xml:space="preserve">Responder updated this value.</t>
      </text>
    </comment>
    <comment authorId="0" ref="AP211">
      <text>
        <t xml:space="preserve">Responder updated this value.</t>
      </text>
    </comment>
    <comment authorId="0" ref="AU211">
      <text>
        <t xml:space="preserve">Responder updated this value.</t>
      </text>
    </comment>
    <comment authorId="0" ref="AV211">
      <text>
        <t xml:space="preserve">Responder updated this value.</t>
      </text>
    </comment>
    <comment authorId="0" ref="BJ211">
      <text>
        <t xml:space="preserve">Responder updated this value.</t>
      </text>
    </comment>
    <comment authorId="0" ref="BQ211">
      <text>
        <t xml:space="preserve">Responder updated this value.</t>
      </text>
    </comment>
    <comment authorId="0" ref="BC212">
      <text>
        <t xml:space="preserve">Responder updated this value.</t>
      </text>
    </comment>
    <comment authorId="0" ref="BE212">
      <text>
        <t xml:space="preserve">Responder updated this value.</t>
      </text>
    </comment>
    <comment authorId="0" ref="BQ212">
      <text>
        <t xml:space="preserve">Responder updated this value.</t>
      </text>
    </comment>
    <comment authorId="0" ref="BT212">
      <text>
        <t xml:space="preserve">Responder updated this value.</t>
      </text>
    </comment>
    <comment authorId="0" ref="BV212">
      <text>
        <t xml:space="preserve">Responder updated this value.</t>
      </text>
    </comment>
    <comment authorId="0" ref="BW212">
      <text>
        <t xml:space="preserve">Responder updated this value.</t>
      </text>
    </comment>
    <comment authorId="0" ref="AK213">
      <text>
        <t xml:space="preserve">Responder updated this value.</t>
      </text>
    </comment>
    <comment authorId="0" ref="AM213">
      <text>
        <t xml:space="preserve">Responder updated this value.</t>
      </text>
    </comment>
    <comment authorId="0" ref="AN213">
      <text>
        <t xml:space="preserve">Responder updated this value.</t>
      </text>
    </comment>
    <comment authorId="0" ref="AO213">
      <text>
        <t xml:space="preserve">Responder updated this value.</t>
      </text>
    </comment>
    <comment authorId="0" ref="AY213">
      <text>
        <t xml:space="preserve">Responder updated this value.</t>
      </text>
    </comment>
    <comment authorId="0" ref="BA213">
      <text>
        <t xml:space="preserve">Responder updated this value.</t>
      </text>
    </comment>
    <comment authorId="0" ref="BJ213">
      <text>
        <t xml:space="preserve">Responder updated this value.</t>
      </text>
    </comment>
    <comment authorId="0" ref="BQ213">
      <text>
        <t xml:space="preserve">Responder updated this value.</t>
      </text>
    </comment>
    <comment authorId="0" ref="BW213">
      <text>
        <t xml:space="preserve">Responder updated this value.</t>
      </text>
    </comment>
    <comment authorId="0" ref="AP214">
      <text>
        <t xml:space="preserve">Responder updated this value.</t>
      </text>
    </comment>
    <comment authorId="0" ref="AR214">
      <text>
        <t xml:space="preserve">Responder updated this value.</t>
      </text>
    </comment>
    <comment authorId="0" ref="AY214">
      <text>
        <t xml:space="preserve">Responder updated this value.</t>
      </text>
    </comment>
    <comment authorId="0" ref="BQ214">
      <text>
        <t xml:space="preserve">Responder updated this value.</t>
      </text>
    </comment>
    <comment authorId="0" ref="BR214">
      <text>
        <t xml:space="preserve">Responder updated this value.</t>
      </text>
    </comment>
    <comment authorId="0" ref="BT214">
      <text>
        <t xml:space="preserve">Responder updated this value.</t>
      </text>
    </comment>
    <comment authorId="0" ref="BU214">
      <text>
        <t xml:space="preserve">Responder updated this value.</t>
      </text>
    </comment>
    <comment authorId="0" ref="BV214">
      <text>
        <t xml:space="preserve">Responder updated this value.</t>
      </text>
    </comment>
    <comment authorId="0" ref="BW214">
      <text>
        <t xml:space="preserve">Responder updated this value.</t>
      </text>
    </comment>
    <comment authorId="0" ref="AL215">
      <text>
        <t xml:space="preserve">Responder updated this value.</t>
      </text>
    </comment>
    <comment authorId="0" ref="AM215">
      <text>
        <t xml:space="preserve">Responder updated this value.</t>
      </text>
    </comment>
    <comment authorId="0" ref="AO215">
      <text>
        <t xml:space="preserve">Responder updated this value.</t>
      </text>
    </comment>
    <comment authorId="0" ref="AP215">
      <text>
        <t xml:space="preserve">Responder updated this value.</t>
      </text>
    </comment>
    <comment authorId="0" ref="AQ215">
      <text>
        <t xml:space="preserve">Responder updated this value.</t>
      </text>
    </comment>
    <comment authorId="0" ref="AR215">
      <text>
        <t xml:space="preserve">Responder updated this value.</t>
      </text>
    </comment>
    <comment authorId="0" ref="BJ215">
      <text>
        <t xml:space="preserve">Responder updated this value.</t>
      </text>
    </comment>
    <comment authorId="0" ref="BL215">
      <text>
        <t xml:space="preserve">Responder updated this value.</t>
      </text>
    </comment>
    <comment authorId="0" ref="BM215">
      <text>
        <t xml:space="preserve">Responder updated this value.</t>
      </text>
    </comment>
    <comment authorId="0" ref="BQ215">
      <text>
        <t xml:space="preserve">Responder updated this value.</t>
      </text>
    </comment>
    <comment authorId="0" ref="BT215">
      <text>
        <t xml:space="preserve">Responder updated this value.</t>
      </text>
    </comment>
    <comment authorId="0" ref="BU215">
      <text>
        <t xml:space="preserve">Responder updated this value.</t>
      </text>
    </comment>
    <comment authorId="0" ref="BV215">
      <text>
        <t xml:space="preserve">Responder updated this value.</t>
      </text>
    </comment>
    <comment authorId="0" ref="BW215">
      <text>
        <t xml:space="preserve">Responder updated this value.</t>
      </text>
    </comment>
    <comment authorId="0" ref="BQ216">
      <text>
        <t xml:space="preserve">Responder updated this value.</t>
      </text>
    </comment>
    <comment authorId="0" ref="BW216">
      <text>
        <t xml:space="preserve">Responder updated this value.</t>
      </text>
    </comment>
    <comment authorId="0" ref="S217">
      <text>
        <t xml:space="preserve">Responder updated this value.</t>
      </text>
    </comment>
    <comment authorId="0" ref="Z217">
      <text>
        <t xml:space="preserve">Responder updated this value.</t>
      </text>
    </comment>
    <comment authorId="0" ref="AA217">
      <text>
        <t xml:space="preserve">Responder updated this value.</t>
      </text>
    </comment>
    <comment authorId="0" ref="AL217">
      <text>
        <t xml:space="preserve">Responder updated this value.</t>
      </text>
    </comment>
    <comment authorId="0" ref="AM217">
      <text>
        <t xml:space="preserve">Responder updated this value.</t>
      </text>
    </comment>
    <comment authorId="0" ref="BJ217">
      <text>
        <t xml:space="preserve">Responder updated this value.</t>
      </text>
    </comment>
    <comment authorId="0" ref="BL217">
      <text>
        <t xml:space="preserve">Responder updated this value.</t>
      </text>
    </comment>
    <comment authorId="0" ref="BM217">
      <text>
        <t xml:space="preserve">Responder updated this value.</t>
      </text>
    </comment>
    <comment authorId="0" ref="BQ217">
      <text>
        <t xml:space="preserve">Responder updated this value.</t>
      </text>
    </comment>
    <comment authorId="0" ref="BS217">
      <text>
        <t xml:space="preserve">Responder updated this value.</t>
      </text>
    </comment>
    <comment authorId="0" ref="BU217">
      <text>
        <t xml:space="preserve">Responder updated this value.</t>
      </text>
    </comment>
    <comment authorId="0" ref="BV217">
      <text>
        <t xml:space="preserve">Responder updated this value.</t>
      </text>
    </comment>
    <comment authorId="0" ref="BW217">
      <text>
        <t xml:space="preserve">Responder updated this value.</t>
      </text>
    </comment>
    <comment authorId="0" ref="BQ218">
      <text>
        <t xml:space="preserve">Responder updated this value.</t>
      </text>
    </comment>
    <comment authorId="0" ref="AQ219">
      <text>
        <t xml:space="preserve">Responder updated this value.</t>
      </text>
    </comment>
    <comment authorId="0" ref="BA219">
      <text>
        <t xml:space="preserve">Responder updated this value.</t>
      </text>
    </comment>
    <comment authorId="0" ref="BQ219">
      <text>
        <t xml:space="preserve">Responder updated this value.</t>
      </text>
    </comment>
    <comment authorId="0" ref="BT219">
      <text>
        <t xml:space="preserve">Responder updated this value.</t>
      </text>
    </comment>
    <comment authorId="0" ref="BW219">
      <text>
        <t xml:space="preserve">Responder updated this value.</t>
      </text>
    </comment>
    <comment authorId="0" ref="BJ220">
      <text>
        <t xml:space="preserve">Responder updated this value.</t>
      </text>
    </comment>
    <comment authorId="0" ref="BL220">
      <text>
        <t xml:space="preserve">Responder updated this value.</t>
      </text>
    </comment>
    <comment authorId="0" ref="BM220">
      <text>
        <t xml:space="preserve">Responder updated this value.</t>
      </text>
    </comment>
    <comment authorId="0" ref="BQ220">
      <text>
        <t xml:space="preserve">Responder updated this value.</t>
      </text>
    </comment>
    <comment authorId="0" ref="BW220">
      <text>
        <t xml:space="preserve">Responder updated this value.</t>
      </text>
    </comment>
    <comment authorId="0" ref="L221">
      <text>
        <t xml:space="preserve">Responder updated this value.</t>
      </text>
    </comment>
    <comment authorId="0" ref="N221">
      <text>
        <t xml:space="preserve">Responder updated this value.</t>
      </text>
    </comment>
    <comment authorId="0" ref="O221">
      <text>
        <t xml:space="preserve">Responder updated this value.</t>
      </text>
    </comment>
    <comment authorId="0" ref="P221">
      <text>
        <t xml:space="preserve">Responder updated this value.</t>
      </text>
    </comment>
    <comment authorId="0" ref="Q221">
      <text>
        <t xml:space="preserve">Responder updated this value.</t>
      </text>
    </comment>
    <comment authorId="0" ref="R221">
      <text>
        <t xml:space="preserve">Responder updated this value.</t>
      </text>
    </comment>
    <comment authorId="0" ref="S221">
      <text>
        <t xml:space="preserve">Responder updated this value.</t>
      </text>
    </comment>
    <comment authorId="0" ref="T221">
      <text>
        <t xml:space="preserve">Responder updated this value.</t>
      </text>
    </comment>
    <comment authorId="0" ref="U221">
      <text>
        <t xml:space="preserve">Responder updated this value.</t>
      </text>
    </comment>
    <comment authorId="0" ref="V221">
      <text>
        <t xml:space="preserve">Responder updated this value.</t>
      </text>
    </comment>
    <comment authorId="0" ref="X221">
      <text>
        <t xml:space="preserve">Responder updated this value.</t>
      </text>
    </comment>
    <comment authorId="0" ref="Y221">
      <text>
        <t xml:space="preserve">Responder updated this value.</t>
      </text>
    </comment>
    <comment authorId="0" ref="Z221">
      <text>
        <t xml:space="preserve">Responder updated this value.</t>
      </text>
    </comment>
    <comment authorId="0" ref="AA221">
      <text>
        <t xml:space="preserve">Responder updated this value.</t>
      </text>
    </comment>
    <comment authorId="0" ref="AB221">
      <text>
        <t xml:space="preserve">Responder updated this value.</t>
      </text>
    </comment>
    <comment authorId="0" ref="AC221">
      <text>
        <t xml:space="preserve">Responder updated this value.</t>
      </text>
    </comment>
    <comment authorId="0" ref="AD221">
      <text>
        <t xml:space="preserve">Responder updated this value.</t>
      </text>
    </comment>
    <comment authorId="0" ref="AE221">
      <text>
        <t xml:space="preserve">Responder updated this value.</t>
      </text>
    </comment>
    <comment authorId="0" ref="AI221">
      <text>
        <t xml:space="preserve">Responder updated this value.</t>
      </text>
    </comment>
    <comment authorId="0" ref="AJ221">
      <text>
        <t xml:space="preserve">Responder updated this value.</t>
      </text>
    </comment>
    <comment authorId="0" ref="AK221">
      <text>
        <t xml:space="preserve">Responder updated this value.</t>
      </text>
    </comment>
    <comment authorId="0" ref="AL221">
      <text>
        <t xml:space="preserve">Responder updated this value.</t>
      </text>
    </comment>
    <comment authorId="0" ref="AM221">
      <text>
        <t xml:space="preserve">Responder updated this value.</t>
      </text>
    </comment>
    <comment authorId="0" ref="AN221">
      <text>
        <t xml:space="preserve">Responder updated this value.</t>
      </text>
    </comment>
    <comment authorId="0" ref="AO221">
      <text>
        <t xml:space="preserve">Responder updated this value.</t>
      </text>
    </comment>
    <comment authorId="0" ref="AP221">
      <text>
        <t xml:space="preserve">Responder updated this value.</t>
      </text>
    </comment>
    <comment authorId="0" ref="AQ221">
      <text>
        <t xml:space="preserve">Responder updated this value.</t>
      </text>
    </comment>
    <comment authorId="0" ref="AW221">
      <text>
        <t xml:space="preserve">Responder updated this value.</t>
      </text>
    </comment>
    <comment authorId="0" ref="AY221">
      <text>
        <t xml:space="preserve">Responder updated this value.</t>
      </text>
    </comment>
    <comment authorId="0" ref="AZ221">
      <text>
        <t xml:space="preserve">Responder updated this value.</t>
      </text>
    </comment>
    <comment authorId="0" ref="BA221">
      <text>
        <t xml:space="preserve">Responder updated this value.</t>
      </text>
    </comment>
    <comment authorId="0" ref="BB221">
      <text>
        <t xml:space="preserve">Responder updated this value.</t>
      </text>
    </comment>
    <comment authorId="0" ref="BC221">
      <text>
        <t xml:space="preserve">Responder updated this value.</t>
      </text>
    </comment>
    <comment authorId="0" ref="BD221">
      <text>
        <t xml:space="preserve">Responder updated this value.</t>
      </text>
    </comment>
    <comment authorId="0" ref="BE221">
      <text>
        <t xml:space="preserve">Responder updated this value.</t>
      </text>
    </comment>
    <comment authorId="0" ref="BJ221">
      <text>
        <t xml:space="preserve">Responder updated this value.</t>
      </text>
    </comment>
    <comment authorId="0" ref="BK221">
      <text>
        <t xml:space="preserve">Responder updated this value.</t>
      </text>
    </comment>
    <comment authorId="0" ref="BL221">
      <text>
        <t xml:space="preserve">Responder updated this value.</t>
      </text>
    </comment>
    <comment authorId="0" ref="BM221">
      <text>
        <t xml:space="preserve">Responder updated this value.</t>
      </text>
    </comment>
    <comment authorId="0" ref="BO221">
      <text>
        <t xml:space="preserve">Responder updated this value.</t>
      </text>
    </comment>
    <comment authorId="0" ref="BP221">
      <text>
        <t xml:space="preserve">Responder updated this value.</t>
      </text>
    </comment>
    <comment authorId="0" ref="BW221">
      <text>
        <t xml:space="preserve">Responder updated this value.</t>
      </text>
    </comment>
    <comment authorId="0" ref="S222">
      <text>
        <t xml:space="preserve">Responder updated this value.</t>
      </text>
    </comment>
    <comment authorId="0" ref="BN222">
      <text>
        <t xml:space="preserve">Responder updated this value.</t>
      </text>
    </comment>
    <comment authorId="0" ref="BW222">
      <text>
        <t xml:space="preserve">Responder updated this value.</t>
      </text>
    </comment>
    <comment authorId="0" ref="BJ223">
      <text>
        <t xml:space="preserve">Responder updated this value.</t>
      </text>
    </comment>
    <comment authorId="0" ref="BW223">
      <text>
        <t xml:space="preserve">Responder updated this value.</t>
      </text>
    </comment>
    <comment authorId="0" ref="P226">
      <text>
        <t xml:space="preserve">Responder updated this value.</t>
      </text>
    </comment>
    <comment authorId="0" ref="AL226">
      <text>
        <t xml:space="preserve">Responder updated this value.</t>
      </text>
    </comment>
    <comment authorId="0" ref="BJ226">
      <text>
        <t xml:space="preserve">Responder updated this value.</t>
      </text>
    </comment>
    <comment authorId="0" ref="BQ226">
      <text>
        <t xml:space="preserve">Responder updated this value.</t>
      </text>
    </comment>
    <comment authorId="0" ref="BW226">
      <text>
        <t xml:space="preserve">Responder updated this value.</t>
      </text>
    </comment>
    <comment authorId="0" ref="P227">
      <text>
        <t xml:space="preserve">Responder updated this value.</t>
      </text>
    </comment>
    <comment authorId="0" ref="W227">
      <text>
        <t xml:space="preserve">Responder updated this value.</t>
      </text>
    </comment>
    <comment authorId="0" ref="AO227">
      <text>
        <t xml:space="preserve">Responder updated this value.</t>
      </text>
    </comment>
    <comment authorId="0" ref="AP227">
      <text>
        <t xml:space="preserve">Responder updated this value.</t>
      </text>
    </comment>
    <comment authorId="0" ref="AQ227">
      <text>
        <t xml:space="preserve">Responder updated this value.</t>
      </text>
    </comment>
    <comment authorId="0" ref="AS227">
      <text>
        <t xml:space="preserve">Responder updated this value.</t>
      </text>
    </comment>
    <comment authorId="0" ref="AW227">
      <text>
        <t xml:space="preserve">Responder updated this value.</t>
      </text>
    </comment>
    <comment authorId="0" ref="BJ227">
      <text>
        <t xml:space="preserve">Responder updated this value.</t>
      </text>
    </comment>
    <comment authorId="0" ref="BM227">
      <text>
        <t xml:space="preserve">Responder updated this value.</t>
      </text>
    </comment>
    <comment authorId="0" ref="BQ227">
      <text>
        <t xml:space="preserve">Responder updated this value.</t>
      </text>
    </comment>
    <comment authorId="0" ref="BW227">
      <text>
        <t xml:space="preserve">Responder updated this value.</t>
      </text>
    </comment>
    <comment authorId="0" ref="P228">
      <text>
        <t xml:space="preserve">Responder updated this value.</t>
      </text>
    </comment>
    <comment authorId="0" ref="Z228">
      <text>
        <t xml:space="preserve">Responder updated this value.</t>
      </text>
    </comment>
    <comment authorId="0" ref="AB228">
      <text>
        <t xml:space="preserve">Responder updated this value.</t>
      </text>
    </comment>
    <comment authorId="0" ref="AC228">
      <text>
        <t xml:space="preserve">Responder updated this value.</t>
      </text>
    </comment>
    <comment authorId="0" ref="AN228">
      <text>
        <t xml:space="preserve">Responder updated this value.</t>
      </text>
    </comment>
    <comment authorId="0" ref="AP228">
      <text>
        <t xml:space="preserve">Responder updated this value.</t>
      </text>
    </comment>
    <comment authorId="0" ref="AW228">
      <text>
        <t xml:space="preserve">Responder updated this value.</t>
      </text>
    </comment>
    <comment authorId="0" ref="BC228">
      <text>
        <t xml:space="preserve">Responder updated this value.</t>
      </text>
    </comment>
    <comment authorId="0" ref="BJ228">
      <text>
        <t xml:space="preserve">Responder updated this value.</t>
      </text>
    </comment>
    <comment authorId="0" ref="BQ228">
      <text>
        <t xml:space="preserve">Responder updated this value.</t>
      </text>
    </comment>
    <comment authorId="0" ref="BV228">
      <text>
        <t xml:space="preserve">Responder updated this value.</t>
      </text>
    </comment>
    <comment authorId="0" ref="BW228">
      <text>
        <t xml:space="preserve">Responder updated this value.</t>
      </text>
    </comment>
    <comment authorId="0" ref="P229">
      <text>
        <t xml:space="preserve">Responder updated this value.</t>
      </text>
    </comment>
    <comment authorId="0" ref="W229">
      <text>
        <t xml:space="preserve">Responder updated this value.</t>
      </text>
    </comment>
    <comment authorId="0" ref="AH229">
      <text>
        <t xml:space="preserve">Responder updated this value.</t>
      </text>
    </comment>
    <comment authorId="0" ref="AM229">
      <text>
        <t xml:space="preserve">Responder updated this value.</t>
      </text>
    </comment>
    <comment authorId="0" ref="BM229">
      <text>
        <t xml:space="preserve">Responder updated this value.</t>
      </text>
    </comment>
    <comment authorId="0" ref="BP229">
      <text>
        <t xml:space="preserve">Responder updated this value.</t>
      </text>
    </comment>
    <comment authorId="0" ref="BQ229">
      <text>
        <t xml:space="preserve">Responder updated this value.</t>
      </text>
    </comment>
    <comment authorId="0" ref="BT229">
      <text>
        <t xml:space="preserve">Responder updated this value.</t>
      </text>
    </comment>
    <comment authorId="0" ref="BW229">
      <text>
        <t xml:space="preserve">Responder updated this value.</t>
      </text>
    </comment>
    <comment authorId="0" ref="P230">
      <text>
        <t xml:space="preserve">Responder updated this value.</t>
      </text>
    </comment>
    <comment authorId="0" ref="AW230">
      <text>
        <t xml:space="preserve">Responder updated this value.</t>
      </text>
    </comment>
    <comment authorId="0" ref="BB230">
      <text>
        <t xml:space="preserve">Responder updated this value.</t>
      </text>
    </comment>
    <comment authorId="0" ref="BQ230">
      <text>
        <t xml:space="preserve">Responder updated this value.</t>
      </text>
    </comment>
    <comment authorId="0" ref="BW230">
      <text>
        <t xml:space="preserve">Responder updated this value.</t>
      </text>
    </comment>
    <comment authorId="0" ref="P231">
      <text>
        <t xml:space="preserve">Responder updated this value.</t>
      </text>
    </comment>
    <comment authorId="0" ref="AM231">
      <text>
        <t xml:space="preserve">Responder updated this value.</t>
      </text>
    </comment>
    <comment authorId="0" ref="AN231">
      <text>
        <t xml:space="preserve">Responder updated this value.</t>
      </text>
    </comment>
    <comment authorId="0" ref="AO231">
      <text>
        <t xml:space="preserve">Responder updated this value.</t>
      </text>
    </comment>
    <comment authorId="0" ref="BJ231">
      <text>
        <t xml:space="preserve">Responder updated this value.</t>
      </text>
    </comment>
    <comment authorId="0" ref="BL231">
      <text>
        <t xml:space="preserve">Responder updated this value.</t>
      </text>
    </comment>
    <comment authorId="0" ref="BQ231">
      <text>
        <t xml:space="preserve">Responder updated this value.</t>
      </text>
    </comment>
    <comment authorId="0" ref="BT231">
      <text>
        <t xml:space="preserve">Responder updated this value.</t>
      </text>
    </comment>
    <comment authorId="0" ref="BW231">
      <text>
        <t xml:space="preserve">Responder updated this value.</t>
      </text>
    </comment>
    <comment authorId="0" ref="P232">
      <text>
        <t xml:space="preserve">Responder updated this value.</t>
      </text>
    </comment>
    <comment authorId="0" ref="AQ232">
      <text>
        <t xml:space="preserve">Responder updated this value.</t>
      </text>
    </comment>
    <comment authorId="0" ref="AR232">
      <text>
        <t xml:space="preserve">Responder updated this value.</t>
      </text>
    </comment>
    <comment authorId="0" ref="AS232">
      <text>
        <t xml:space="preserve">Responder updated this value.</t>
      </text>
    </comment>
    <comment authorId="0" ref="AW232">
      <text>
        <t xml:space="preserve">Responder updated this value.</t>
      </text>
    </comment>
    <comment authorId="0" ref="AY232">
      <text>
        <t xml:space="preserve">Responder updated this value.</t>
      </text>
    </comment>
    <comment authorId="0" ref="BJ232">
      <text>
        <t xml:space="preserve">Responder updated this value.</t>
      </text>
    </comment>
    <comment authorId="0" ref="BQ232">
      <text>
        <t xml:space="preserve">Responder updated this value.</t>
      </text>
    </comment>
    <comment authorId="0" ref="P233">
      <text>
        <t xml:space="preserve">Responder updated this value.</t>
      </text>
    </comment>
    <comment authorId="0" ref="S233">
      <text>
        <t xml:space="preserve">Responder updated this value.</t>
      </text>
    </comment>
    <comment authorId="0" ref="AW233">
      <text>
        <t xml:space="preserve">Responder updated this value.</t>
      </text>
    </comment>
    <comment authorId="0" ref="BQ233">
      <text>
        <t xml:space="preserve">Responder updated this value.</t>
      </text>
    </comment>
    <comment authorId="0" ref="BU233">
      <text>
        <t xml:space="preserve">Responder updated this value.</t>
      </text>
    </comment>
    <comment authorId="0" ref="BV233">
      <text>
        <t xml:space="preserve">Responder updated this value.</t>
      </text>
    </comment>
    <comment authorId="0" ref="BW233">
      <text>
        <t xml:space="preserve">Responder updated this value.</t>
      </text>
    </comment>
    <comment authorId="0" ref="P234">
      <text>
        <t xml:space="preserve">Responder updated this value.</t>
      </text>
    </comment>
    <comment authorId="0" ref="AN234">
      <text>
        <t xml:space="preserve">Responder updated this value.</t>
      </text>
    </comment>
    <comment authorId="0" ref="AQ234">
      <text>
        <t xml:space="preserve">Responder updated this value.</t>
      </text>
    </comment>
    <comment authorId="0" ref="AW234">
      <text>
        <t xml:space="preserve">Responder updated this value.</t>
      </text>
    </comment>
    <comment authorId="0" ref="BB234">
      <text>
        <t xml:space="preserve">Responder updated this value.</t>
      </text>
    </comment>
    <comment authorId="0" ref="BH234">
      <text>
        <t xml:space="preserve">Responder updated this value.</t>
      </text>
    </comment>
    <comment authorId="0" ref="BQ234">
      <text>
        <t xml:space="preserve">Responder updated this value.</t>
      </text>
    </comment>
    <comment authorId="0" ref="BT234">
      <text>
        <t xml:space="preserve">Responder updated this value.</t>
      </text>
    </comment>
    <comment authorId="0" ref="BW234">
      <text>
        <t xml:space="preserve">Responder updated this value.</t>
      </text>
    </comment>
    <comment authorId="0" ref="P235">
      <text>
        <t xml:space="preserve">Responder updated this value.</t>
      </text>
    </comment>
    <comment authorId="0" ref="BQ235">
      <text>
        <t xml:space="preserve">Responder updated this value.</t>
      </text>
    </comment>
    <comment authorId="0" ref="BT235">
      <text>
        <t xml:space="preserve">Responder updated this value.</t>
      </text>
    </comment>
    <comment authorId="0" ref="BU235">
      <text>
        <t xml:space="preserve">Responder updated this value.</t>
      </text>
    </comment>
    <comment authorId="0" ref="BV235">
      <text>
        <t xml:space="preserve">Responder updated this value.</t>
      </text>
    </comment>
    <comment authorId="0" ref="BW235">
      <text>
        <t xml:space="preserve">Responder updated this value.</t>
      </text>
    </comment>
    <comment authorId="0" ref="P236">
      <text>
        <t xml:space="preserve">Responder updated this value.</t>
      </text>
    </comment>
    <comment authorId="0" ref="AS236">
      <text>
        <t xml:space="preserve">Responder updated this value.</t>
      </text>
    </comment>
    <comment authorId="0" ref="AW236">
      <text>
        <t xml:space="preserve">Responder updated this value.</t>
      </text>
    </comment>
    <comment authorId="0" ref="BQ236">
      <text>
        <t xml:space="preserve">Responder updated this value.</t>
      </text>
    </comment>
    <comment authorId="0" ref="BR236">
      <text>
        <t xml:space="preserve">Responder updated this value.</t>
      </text>
    </comment>
    <comment authorId="0" ref="BS236">
      <text>
        <t xml:space="preserve">Responder updated this value.</t>
      </text>
    </comment>
    <comment authorId="0" ref="BT236">
      <text>
        <t xml:space="preserve">Responder updated this value.</t>
      </text>
    </comment>
    <comment authorId="0" ref="BU236">
      <text>
        <t xml:space="preserve">Responder updated this value.</t>
      </text>
    </comment>
    <comment authorId="0" ref="BV236">
      <text>
        <t xml:space="preserve">Responder updated this value.</t>
      </text>
    </comment>
    <comment authorId="0" ref="BW236">
      <text>
        <t xml:space="preserve">Responder updated this value.</t>
      </text>
    </comment>
    <comment authorId="0" ref="P237">
      <text>
        <t xml:space="preserve">Responder updated this value.</t>
      </text>
    </comment>
    <comment authorId="0" ref="AW237">
      <text>
        <t xml:space="preserve">Responder updated this value.</t>
      </text>
    </comment>
    <comment authorId="0" ref="BB237">
      <text>
        <t xml:space="preserve">Responder updated this value.</t>
      </text>
    </comment>
    <comment authorId="0" ref="BD237">
      <text>
        <t xml:space="preserve">Responder updated this value.</t>
      </text>
    </comment>
    <comment authorId="0" ref="BI237">
      <text>
        <t xml:space="preserve">Responder updated this value.</t>
      </text>
    </comment>
    <comment authorId="0" ref="BJ237">
      <text>
        <t xml:space="preserve">Responder updated this value.</t>
      </text>
    </comment>
    <comment authorId="0" ref="BQ237">
      <text>
        <t xml:space="preserve">Responder updated this value.</t>
      </text>
    </comment>
    <comment authorId="0" ref="BT237">
      <text>
        <t xml:space="preserve">Responder updated this value.</t>
      </text>
    </comment>
    <comment authorId="0" ref="BW237">
      <text>
        <t xml:space="preserve">Responder updated this value.</t>
      </text>
    </comment>
    <comment authorId="0" ref="P238">
      <text>
        <t xml:space="preserve">Responder updated this value.</t>
      </text>
    </comment>
    <comment authorId="0" ref="V238">
      <text>
        <t xml:space="preserve">Responder updated this value.</t>
      </text>
    </comment>
    <comment authorId="0" ref="AQ238">
      <text>
        <t xml:space="preserve">Responder updated this value.</t>
      </text>
    </comment>
    <comment authorId="0" ref="AS238">
      <text>
        <t xml:space="preserve">Responder updated this value.</t>
      </text>
    </comment>
    <comment authorId="0" ref="AW238">
      <text>
        <t xml:space="preserve">Responder updated this value.</t>
      </text>
    </comment>
    <comment authorId="0" ref="BQ238">
      <text>
        <t xml:space="preserve">Responder updated this value.</t>
      </text>
    </comment>
    <comment authorId="0" ref="BR238">
      <text>
        <t xml:space="preserve">Responder updated this value.</t>
      </text>
    </comment>
    <comment authorId="0" ref="BS238">
      <text>
        <t xml:space="preserve">Responder updated this value.</t>
      </text>
    </comment>
    <comment authorId="0" ref="BT238">
      <text>
        <t xml:space="preserve">Responder updated this value.</t>
      </text>
    </comment>
    <comment authorId="0" ref="BU238">
      <text>
        <t xml:space="preserve">Responder updated this value.</t>
      </text>
    </comment>
    <comment authorId="0" ref="BV238">
      <text>
        <t xml:space="preserve">Responder updated this value.</t>
      </text>
    </comment>
    <comment authorId="0" ref="BW238">
      <text>
        <t xml:space="preserve">Responder updated this value.</t>
      </text>
    </comment>
    <comment authorId="0" ref="P239">
      <text>
        <t xml:space="preserve">Responder updated this value.</t>
      </text>
    </comment>
    <comment authorId="0" ref="AF239">
      <text>
        <t xml:space="preserve">Responder updated this value.</t>
      </text>
    </comment>
    <comment authorId="0" ref="AL239">
      <text>
        <t xml:space="preserve">Responder updated this value.</t>
      </text>
    </comment>
    <comment authorId="0" ref="AM239">
      <text>
        <t xml:space="preserve">Responder updated this value.</t>
      </text>
    </comment>
    <comment authorId="0" ref="AR239">
      <text>
        <t xml:space="preserve">Responder updated this value.</t>
      </text>
    </comment>
    <comment authorId="0" ref="AW239">
      <text>
        <t xml:space="preserve">Responder updated this value.</t>
      </text>
    </comment>
    <comment authorId="0" ref="BB239">
      <text>
        <t xml:space="preserve">Responder updated this value.</t>
      </text>
    </comment>
    <comment authorId="0" ref="BQ239">
      <text>
        <t xml:space="preserve">Responder updated this value.</t>
      </text>
    </comment>
    <comment authorId="0" ref="BU239">
      <text>
        <t xml:space="preserve">Responder updated this value.</t>
      </text>
    </comment>
    <comment authorId="0" ref="BV239">
      <text>
        <t xml:space="preserve">Responder updated this value.</t>
      </text>
    </comment>
    <comment authorId="0" ref="BW239">
      <text>
        <t xml:space="preserve">Responder updated this value.</t>
      </text>
    </comment>
    <comment authorId="0" ref="P240">
      <text>
        <t xml:space="preserve">Responder updated this value.</t>
      </text>
    </comment>
    <comment authorId="0" ref="W240">
      <text>
        <t xml:space="preserve">Responder updated this value.</t>
      </text>
    </comment>
    <comment authorId="0" ref="AL240">
      <text>
        <t xml:space="preserve">Responder updated this value.</t>
      </text>
    </comment>
    <comment authorId="0" ref="AM240">
      <text>
        <t xml:space="preserve">Responder updated this value.</t>
      </text>
    </comment>
    <comment authorId="0" ref="AQ240">
      <text>
        <t xml:space="preserve">Responder updated this value.</t>
      </text>
    </comment>
    <comment authorId="0" ref="AS240">
      <text>
        <t xml:space="preserve">Responder updated this value.</t>
      </text>
    </comment>
    <comment authorId="0" ref="AU240">
      <text>
        <t xml:space="preserve">Responder updated this value.</t>
      </text>
    </comment>
    <comment authorId="0" ref="BL240">
      <text>
        <t xml:space="preserve">Responder updated this value.</t>
      </text>
    </comment>
    <comment authorId="0" ref="BM240">
      <text>
        <t xml:space="preserve">Responder updated this value.</t>
      </text>
    </comment>
    <comment authorId="0" ref="BN240">
      <text>
        <t xml:space="preserve">Responder updated this value.</t>
      </text>
    </comment>
    <comment authorId="0" ref="BP240">
      <text>
        <t xml:space="preserve">Responder updated this value.</t>
      </text>
    </comment>
    <comment authorId="0" ref="BQ240">
      <text>
        <t xml:space="preserve">Responder updated this value.</t>
      </text>
    </comment>
    <comment authorId="0" ref="P241">
      <text>
        <t xml:space="preserve">Responder updated this value.</t>
      </text>
    </comment>
    <comment authorId="0" ref="BJ241">
      <text>
        <t xml:space="preserve">Responder updated this value.</t>
      </text>
    </comment>
    <comment authorId="0" ref="BQ241">
      <text>
        <t xml:space="preserve">Responder updated this value.</t>
      </text>
    </comment>
    <comment authorId="0" ref="BS241">
      <text>
        <t xml:space="preserve">Responder updated this value.</t>
      </text>
    </comment>
    <comment authorId="0" ref="BT241">
      <text>
        <t xml:space="preserve">Responder updated this value.</t>
      </text>
    </comment>
    <comment authorId="0" ref="BV241">
      <text>
        <t xml:space="preserve">Responder updated this value.</t>
      </text>
    </comment>
    <comment authorId="0" ref="BW241">
      <text>
        <t xml:space="preserve">Responder updated this value.</t>
      </text>
    </comment>
    <comment authorId="0" ref="P242">
      <text>
        <t xml:space="preserve">Responder updated this value.</t>
      </text>
    </comment>
    <comment authorId="0" ref="BQ242">
      <text>
        <t xml:space="preserve">Responder updated this value.</t>
      </text>
    </comment>
    <comment authorId="0" ref="BU242">
      <text>
        <t xml:space="preserve">Responder updated this value.</t>
      </text>
    </comment>
    <comment authorId="0" ref="BV242">
      <text>
        <t xml:space="preserve">Responder updated this value.</t>
      </text>
    </comment>
    <comment authorId="0" ref="BW242">
      <text>
        <t xml:space="preserve">Responder updated this value.</t>
      </text>
    </comment>
    <comment authorId="0" ref="H243">
      <text>
        <t xml:space="preserve">Responder updated this value.</t>
      </text>
    </comment>
    <comment authorId="0" ref="J243">
      <text>
        <t xml:space="preserve">Responder updated this value.</t>
      </text>
    </comment>
    <comment authorId="0" ref="P243">
      <text>
        <t xml:space="preserve">Responder updated this value.</t>
      </text>
    </comment>
    <comment authorId="0" ref="AM243">
      <text>
        <t xml:space="preserve">Responder updated this value.</t>
      </text>
    </comment>
    <comment authorId="0" ref="BQ243">
      <text>
        <t xml:space="preserve">Responder updated this value.</t>
      </text>
    </comment>
    <comment authorId="0" ref="P244">
      <text>
        <t xml:space="preserve">Responder updated this value.</t>
      </text>
    </comment>
    <comment authorId="0" ref="AQ244">
      <text>
        <t xml:space="preserve">Responder updated this value.</t>
      </text>
    </comment>
    <comment authorId="0" ref="AS244">
      <text>
        <t xml:space="preserve">Responder updated this value.</t>
      </text>
    </comment>
    <comment authorId="0" ref="AW244">
      <text>
        <t xml:space="preserve">Responder updated this value.</t>
      </text>
    </comment>
    <comment authorId="0" ref="BC244">
      <text>
        <t xml:space="preserve">Responder updated this value.</t>
      </text>
    </comment>
    <comment authorId="0" ref="BJ244">
      <text>
        <t xml:space="preserve">Responder updated this value.</t>
      </text>
    </comment>
    <comment authorId="0" ref="BQ244">
      <text>
        <t xml:space="preserve">Responder updated this value.</t>
      </text>
    </comment>
    <comment authorId="0" ref="BT244">
      <text>
        <t xml:space="preserve">Responder updated this value.</t>
      </text>
    </comment>
    <comment authorId="0" ref="BU244">
      <text>
        <t xml:space="preserve">Responder updated this value.</t>
      </text>
    </comment>
    <comment authorId="0" ref="BV244">
      <text>
        <t xml:space="preserve">Responder updated this value.</t>
      </text>
    </comment>
    <comment authorId="0" ref="BW244">
      <text>
        <t xml:space="preserve">Responder updated this value.</t>
      </text>
    </comment>
    <comment authorId="0" ref="P245">
      <text>
        <t xml:space="preserve">Responder updated this value.</t>
      </text>
    </comment>
    <comment authorId="0" ref="W245">
      <text>
        <t xml:space="preserve">Responder updated this value.</t>
      </text>
    </comment>
    <comment authorId="0" ref="AR245">
      <text>
        <t xml:space="preserve">Responder updated this value.</t>
      </text>
    </comment>
    <comment authorId="0" ref="AS245">
      <text>
        <t xml:space="preserve">Responder updated this value.</t>
      </text>
    </comment>
    <comment authorId="0" ref="AW245">
      <text>
        <t xml:space="preserve">Responder updated this value.</t>
      </text>
    </comment>
    <comment authorId="0" ref="BJ245">
      <text>
        <t xml:space="preserve">Responder updated this value.</t>
      </text>
    </comment>
    <comment authorId="0" ref="BL245">
      <text>
        <t xml:space="preserve">Responder updated this value.</t>
      </text>
    </comment>
    <comment authorId="0" ref="BQ245">
      <text>
        <t xml:space="preserve">Responder updated this value.</t>
      </text>
    </comment>
    <comment authorId="0" ref="P246">
      <text>
        <t xml:space="preserve">Responder updated this value.</t>
      </text>
    </comment>
    <comment authorId="0" ref="AW246">
      <text>
        <t xml:space="preserve">Responder updated this value.</t>
      </text>
    </comment>
    <comment authorId="0" ref="BL246">
      <text>
        <t xml:space="preserve">Responder updated this value.</t>
      </text>
    </comment>
    <comment authorId="0" ref="BM246">
      <text>
        <t xml:space="preserve">Responder updated this value.</t>
      </text>
    </comment>
    <comment authorId="0" ref="BQ246">
      <text>
        <t xml:space="preserve">Responder updated this value.</t>
      </text>
    </comment>
    <comment authorId="0" ref="P247">
      <text>
        <t xml:space="preserve">Responder updated this value.</t>
      </text>
    </comment>
    <comment authorId="0" ref="BN247">
      <text>
        <t xml:space="preserve">Responder updated this value.</t>
      </text>
    </comment>
    <comment authorId="0" ref="BQ247">
      <text>
        <t xml:space="preserve">Responder updated this value.</t>
      </text>
    </comment>
    <comment authorId="0" ref="P248">
      <text>
        <t xml:space="preserve">Responder updated this value.</t>
      </text>
    </comment>
    <comment authorId="0" ref="AN248">
      <text>
        <t xml:space="preserve">Responder updated this value.</t>
      </text>
    </comment>
    <comment authorId="0" ref="AP248">
      <text>
        <t xml:space="preserve">Responder updated this value.</t>
      </text>
    </comment>
    <comment authorId="0" ref="AW248">
      <text>
        <t xml:space="preserve">Responder updated this value.</t>
      </text>
    </comment>
    <comment authorId="0" ref="AY248">
      <text>
        <t xml:space="preserve">Responder updated this value.</t>
      </text>
    </comment>
    <comment authorId="0" ref="BE248">
      <text>
        <t xml:space="preserve">Responder updated this value.</t>
      </text>
    </comment>
    <comment authorId="0" ref="BL248">
      <text>
        <t xml:space="preserve">Responder updated this value.</t>
      </text>
    </comment>
    <comment authorId="0" ref="BM248">
      <text>
        <t xml:space="preserve">Responder updated this value.</t>
      </text>
    </comment>
    <comment authorId="0" ref="BQ248">
      <text>
        <t xml:space="preserve">Responder updated this value.</t>
      </text>
    </comment>
    <comment authorId="0" ref="BW248">
      <text>
        <t xml:space="preserve">Responder updated this value.</t>
      </text>
    </comment>
    <comment authorId="0" ref="P249">
      <text>
        <t xml:space="preserve">Responder updated this value.</t>
      </text>
    </comment>
    <comment authorId="0" ref="AV249">
      <text>
        <t xml:space="preserve">Responder updated this value.</t>
      </text>
    </comment>
    <comment authorId="0" ref="AW249">
      <text>
        <t xml:space="preserve">Responder updated this value.</t>
      </text>
    </comment>
    <comment authorId="0" ref="BJ249">
      <text>
        <t xml:space="preserve">Responder updated this value.</t>
      </text>
    </comment>
    <comment authorId="0" ref="BQ249">
      <text>
        <t xml:space="preserve">Responder updated this value.</t>
      </text>
    </comment>
    <comment authorId="0" ref="BW249">
      <text>
        <t xml:space="preserve">Responder updated this value.</t>
      </text>
    </comment>
    <comment authorId="0" ref="P250">
      <text>
        <t xml:space="preserve">Responder updated this value.</t>
      </text>
    </comment>
    <comment authorId="0" ref="S250">
      <text>
        <t xml:space="preserve">Responder updated this value.</t>
      </text>
    </comment>
    <comment authorId="0" ref="AL250">
      <text>
        <t xml:space="preserve">Responder updated this value.</t>
      </text>
    </comment>
    <comment authorId="0" ref="AM250">
      <text>
        <t xml:space="preserve">Responder updated this value.</t>
      </text>
    </comment>
    <comment authorId="0" ref="AR250">
      <text>
        <t xml:space="preserve">Responder updated this value.</t>
      </text>
    </comment>
    <comment authorId="0" ref="AV250">
      <text>
        <t xml:space="preserve">Responder updated this value.</t>
      </text>
    </comment>
    <comment authorId="0" ref="AW250">
      <text>
        <t xml:space="preserve">Responder updated this value.</t>
      </text>
    </comment>
    <comment authorId="0" ref="BB250">
      <text>
        <t xml:space="preserve">Responder updated this value.</t>
      </text>
    </comment>
    <comment authorId="0" ref="BC250">
      <text>
        <t xml:space="preserve">Responder updated this value.</t>
      </text>
    </comment>
    <comment authorId="0" ref="BI250">
      <text>
        <t xml:space="preserve">Responder updated this value.</t>
      </text>
    </comment>
    <comment authorId="0" ref="BJ250">
      <text>
        <t xml:space="preserve">Responder updated this value.</t>
      </text>
    </comment>
    <comment authorId="0" ref="BL250">
      <text>
        <t xml:space="preserve">Responder updated this value.</t>
      </text>
    </comment>
    <comment authorId="0" ref="BM250">
      <text>
        <t xml:space="preserve">Responder updated this value.</t>
      </text>
    </comment>
    <comment authorId="0" ref="BQ250">
      <text>
        <t xml:space="preserve">Responder updated this value.</t>
      </text>
    </comment>
    <comment authorId="0" ref="BT250">
      <text>
        <t xml:space="preserve">Responder updated this value.</t>
      </text>
    </comment>
    <comment authorId="0" ref="BW250">
      <text>
        <t xml:space="preserve">Responder updated this value.</t>
      </text>
    </comment>
    <comment authorId="0" ref="P251">
      <text>
        <t xml:space="preserve">Responder updated this value.</t>
      </text>
    </comment>
    <comment authorId="0" ref="AW251">
      <text>
        <t xml:space="preserve">Responder updated this value.</t>
      </text>
    </comment>
    <comment authorId="0" ref="BQ251">
      <text>
        <t xml:space="preserve">Responder updated this value.</t>
      </text>
    </comment>
    <comment authorId="0" ref="P252">
      <text>
        <t xml:space="preserve">Responder updated this value.</t>
      </text>
    </comment>
    <comment authorId="0" ref="AS252">
      <text>
        <t xml:space="preserve">Responder updated this value.</t>
      </text>
    </comment>
    <comment authorId="0" ref="AW252">
      <text>
        <t xml:space="preserve">Responder updated this value.</t>
      </text>
    </comment>
    <comment authorId="0" ref="BH252">
      <text>
        <t xml:space="preserve">Responder updated this value.</t>
      </text>
    </comment>
    <comment authorId="0" ref="BQ252">
      <text>
        <t xml:space="preserve">Responder updated this value.</t>
      </text>
    </comment>
    <comment authorId="0" ref="BU252">
      <text>
        <t xml:space="preserve">Responder updated this value.</t>
      </text>
    </comment>
    <comment authorId="0" ref="BV252">
      <text>
        <t xml:space="preserve">Responder updated this value.</t>
      </text>
    </comment>
    <comment authorId="0" ref="BW252">
      <text>
        <t xml:space="preserve">Responder updated this value.</t>
      </text>
    </comment>
    <comment authorId="0" ref="P253">
      <text>
        <t xml:space="preserve">Responder updated this value.</t>
      </text>
    </comment>
    <comment authorId="0" ref="BD253">
      <text>
        <t xml:space="preserve">Responder updated this value.</t>
      </text>
    </comment>
    <comment authorId="0" ref="BJ253">
      <text>
        <t xml:space="preserve">Responder updated this value.</t>
      </text>
    </comment>
    <comment authorId="0" ref="BQ253">
      <text>
        <t xml:space="preserve">Responder updated this value.</t>
      </text>
    </comment>
    <comment authorId="0" ref="P254">
      <text>
        <t xml:space="preserve">Responder updated this value.</t>
      </text>
    </comment>
    <comment authorId="0" ref="AQ254">
      <text>
        <t xml:space="preserve">Responder updated this value.</t>
      </text>
    </comment>
    <comment authorId="0" ref="AW254">
      <text>
        <t xml:space="preserve">Responder updated this value.</t>
      </text>
    </comment>
    <comment authorId="0" ref="BB254">
      <text>
        <t xml:space="preserve">Responder updated this value.</t>
      </text>
    </comment>
    <comment authorId="0" ref="BJ254">
      <text>
        <t xml:space="preserve">Responder updated this value.</t>
      </text>
    </comment>
    <comment authorId="0" ref="BL254">
      <text>
        <t xml:space="preserve">Responder updated this value.</t>
      </text>
    </comment>
    <comment authorId="0" ref="BM254">
      <text>
        <t xml:space="preserve">Responder updated this value.</t>
      </text>
    </comment>
    <comment authorId="0" ref="BQ254">
      <text>
        <t xml:space="preserve">Responder updated this value.</t>
      </text>
    </comment>
    <comment authorId="0" ref="P255">
      <text>
        <t xml:space="preserve">Responder updated this value.</t>
      </text>
    </comment>
    <comment authorId="0" ref="V255">
      <text>
        <t xml:space="preserve">Responder updated this value.</t>
      </text>
    </comment>
    <comment authorId="0" ref="AL255">
      <text>
        <t xml:space="preserve">Responder updated this value.</t>
      </text>
    </comment>
    <comment authorId="0" ref="AM255">
      <text>
        <t xml:space="preserve">Responder updated this value.</t>
      </text>
    </comment>
    <comment authorId="0" ref="AQ255">
      <text>
        <t xml:space="preserve">Responder updated this value.</t>
      </text>
    </comment>
    <comment authorId="0" ref="AS255">
      <text>
        <t xml:space="preserve">Responder updated this value.</t>
      </text>
    </comment>
    <comment authorId="0" ref="AW255">
      <text>
        <t xml:space="preserve">Responder updated this value.</t>
      </text>
    </comment>
    <comment authorId="0" ref="BJ255">
      <text>
        <t xml:space="preserve">Responder updated this value.</t>
      </text>
    </comment>
    <comment authorId="0" ref="BL255">
      <text>
        <t xml:space="preserve">Responder updated this value.</t>
      </text>
    </comment>
    <comment authorId="0" ref="BP255">
      <text>
        <t xml:space="preserve">Responder updated this value.</t>
      </text>
    </comment>
    <comment authorId="0" ref="BQ255">
      <text>
        <t xml:space="preserve">Responder updated this value.</t>
      </text>
    </comment>
    <comment authorId="0" ref="BT255">
      <text>
        <t xml:space="preserve">Responder updated this value.</t>
      </text>
    </comment>
    <comment authorId="0" ref="BW255">
      <text>
        <t xml:space="preserve">Responder updated this value.</t>
      </text>
    </comment>
    <comment authorId="0" ref="AL256">
      <text>
        <t xml:space="preserve">Responder updated this value.</t>
      </text>
    </comment>
    <comment authorId="0" ref="AM256">
      <text>
        <t xml:space="preserve">Responder updated this value.</t>
      </text>
    </comment>
    <comment authorId="0" ref="AW256">
      <text>
        <t xml:space="preserve">Responder updated this value.</t>
      </text>
    </comment>
    <comment authorId="0" ref="BJ256">
      <text>
        <t xml:space="preserve">Responder updated this value.</t>
      </text>
    </comment>
    <comment authorId="0" ref="BL256">
      <text>
        <t xml:space="preserve">Responder updated this value.</t>
      </text>
    </comment>
    <comment authorId="0" ref="BM256">
      <text>
        <t xml:space="preserve">Responder updated this value.</t>
      </text>
    </comment>
    <comment authorId="0" ref="BQ256">
      <text>
        <t xml:space="preserve">Responder updated this value.</t>
      </text>
    </comment>
    <comment authorId="0" ref="BW256">
      <text>
        <t xml:space="preserve">Responder updated this value.</t>
      </text>
    </comment>
    <comment authorId="0" ref="AL257">
      <text>
        <t xml:space="preserve">Responder updated this value.</t>
      </text>
    </comment>
    <comment authorId="0" ref="AM257">
      <text>
        <t xml:space="preserve">Responder updated this value.</t>
      </text>
    </comment>
    <comment authorId="0" ref="BA257">
      <text>
        <t xml:space="preserve">Responder updated this value.</t>
      </text>
    </comment>
    <comment authorId="0" ref="BC257">
      <text>
        <t xml:space="preserve">Responder updated this value.</t>
      </text>
    </comment>
    <comment authorId="0" ref="BJ257">
      <text>
        <t xml:space="preserve">Responder updated this value.</t>
      </text>
    </comment>
    <comment authorId="0" ref="BQ257">
      <text>
        <t xml:space="preserve">Responder updated this value.</t>
      </text>
    </comment>
    <comment authorId="0" ref="BT257">
      <text>
        <t xml:space="preserve">Responder updated this value.</t>
      </text>
    </comment>
    <comment authorId="0" ref="BU257">
      <text>
        <t xml:space="preserve">Responder updated this value.</t>
      </text>
    </comment>
    <comment authorId="0" ref="BW257">
      <text>
        <t xml:space="preserve">Responder updated this value.</t>
      </text>
    </comment>
    <comment authorId="0" ref="AW258">
      <text>
        <t xml:space="preserve">Responder updated this value.</t>
      </text>
    </comment>
    <comment authorId="0" ref="BJ258">
      <text>
        <t xml:space="preserve">Responder updated this value.</t>
      </text>
    </comment>
    <comment authorId="0" ref="BQ258">
      <text>
        <t xml:space="preserve">Responder updated this value.</t>
      </text>
    </comment>
    <comment authorId="0" ref="AC259">
      <text>
        <t xml:space="preserve">Responder updated this value.</t>
      </text>
    </comment>
    <comment authorId="0" ref="AQ259">
      <text>
        <t xml:space="preserve">Responder updated this value.</t>
      </text>
    </comment>
    <comment authorId="0" ref="AR259">
      <text>
        <t xml:space="preserve">Responder updated this value.</t>
      </text>
    </comment>
    <comment authorId="0" ref="BE259">
      <text>
        <t xml:space="preserve">Responder updated this value.</t>
      </text>
    </comment>
    <comment authorId="0" ref="BL259">
      <text>
        <t xml:space="preserve">Responder updated this value.</t>
      </text>
    </comment>
    <comment authorId="0" ref="BM259">
      <text>
        <t xml:space="preserve">Responder updated this value.</t>
      </text>
    </comment>
    <comment authorId="0" ref="BQ259">
      <text>
        <t xml:space="preserve">Responder updated this value.</t>
      </text>
    </comment>
    <comment authorId="0" ref="BW259">
      <text>
        <t xml:space="preserve">Responder updated this value.</t>
      </text>
    </comment>
    <comment authorId="0" ref="W260">
      <text>
        <t xml:space="preserve">Responder updated this value.</t>
      </text>
    </comment>
    <comment authorId="0" ref="AL260">
      <text>
        <t xml:space="preserve">Responder updated this value.</t>
      </text>
    </comment>
    <comment authorId="0" ref="AR260">
      <text>
        <t xml:space="preserve">Responder updated this value.</t>
      </text>
    </comment>
    <comment authorId="0" ref="AS260">
      <text>
        <t xml:space="preserve">Responder updated this value.</t>
      </text>
    </comment>
    <comment authorId="0" ref="BQ260">
      <text>
        <t xml:space="preserve">Responder updated this value.</t>
      </text>
    </comment>
    <comment authorId="0" ref="BT260">
      <text>
        <t xml:space="preserve">Responder updated this value.</t>
      </text>
    </comment>
    <comment authorId="0" ref="BU260">
      <text>
        <t xml:space="preserve">Responder updated this value.</t>
      </text>
    </comment>
    <comment authorId="0" ref="BW260">
      <text>
        <t xml:space="preserve">Responder updated this value.</t>
      </text>
    </comment>
    <comment authorId="0" ref="P261">
      <text>
        <t xml:space="preserve">Responder updated this value.</t>
      </text>
    </comment>
    <comment authorId="0" ref="AS261">
      <text>
        <t xml:space="preserve">Responder updated this value.</t>
      </text>
    </comment>
    <comment authorId="0" ref="AW261">
      <text>
        <t xml:space="preserve">Responder updated this value.</t>
      </text>
    </comment>
    <comment authorId="0" ref="AY261">
      <text>
        <t xml:space="preserve">Responder updated this value.</t>
      </text>
    </comment>
    <comment authorId="0" ref="BB261">
      <text>
        <t xml:space="preserve">Responder updated this value.</t>
      </text>
    </comment>
    <comment authorId="0" ref="BI261">
      <text>
        <t xml:space="preserve">Responder updated this value.</t>
      </text>
    </comment>
    <comment authorId="0" ref="BQ261">
      <text>
        <t xml:space="preserve">Responder updated this value.</t>
      </text>
    </comment>
    <comment authorId="0" ref="AL262">
      <text>
        <t xml:space="preserve">Responder updated this value.</t>
      </text>
    </comment>
    <comment authorId="0" ref="AM262">
      <text>
        <t xml:space="preserve">Responder updated this value.</t>
      </text>
    </comment>
    <comment authorId="0" ref="AN262">
      <text>
        <t xml:space="preserve">Responder updated this value.</t>
      </text>
    </comment>
    <comment authorId="0" ref="AO262">
      <text>
        <t xml:space="preserve">Responder updated this value.</t>
      </text>
    </comment>
    <comment authorId="0" ref="AP262">
      <text>
        <t xml:space="preserve">Responder updated this value.</t>
      </text>
    </comment>
    <comment authorId="0" ref="AS262">
      <text>
        <t xml:space="preserve">Responder updated this value.</t>
      </text>
    </comment>
    <comment authorId="0" ref="BJ262">
      <text>
        <t xml:space="preserve">Responder updated this value.</t>
      </text>
    </comment>
    <comment authorId="0" ref="BL262">
      <text>
        <t xml:space="preserve">Responder updated this value.</t>
      </text>
    </comment>
    <comment authorId="0" ref="BQ262">
      <text>
        <t xml:space="preserve">Responder updated this value.</t>
      </text>
    </comment>
    <comment authorId="0" ref="BS262">
      <text>
        <t xml:space="preserve">Responder updated this value.</t>
      </text>
    </comment>
    <comment authorId="0" ref="BT262">
      <text>
        <t xml:space="preserve">Responder updated this value.</t>
      </text>
    </comment>
    <comment authorId="0" ref="BU262">
      <text>
        <t xml:space="preserve">Responder updated this value.</t>
      </text>
    </comment>
    <comment authorId="0" ref="BV262">
      <text>
        <t xml:space="preserve">Responder updated this value.</t>
      </text>
    </comment>
    <comment authorId="0" ref="BW262">
      <text>
        <t xml:space="preserve">Responder updated this value.</t>
      </text>
    </comment>
    <comment authorId="0" ref="BD263">
      <text>
        <t xml:space="preserve">Responder updated this value.</t>
      </text>
    </comment>
    <comment authorId="0" ref="BQ263">
      <text>
        <t xml:space="preserve">Responder updated this value.</t>
      </text>
    </comment>
    <comment authorId="0" ref="BW263">
      <text>
        <t xml:space="preserve">Responder updated this value.</t>
      </text>
    </comment>
    <comment authorId="0" ref="AN264">
      <text>
        <t xml:space="preserve">Responder updated this value.</t>
      </text>
    </comment>
    <comment authorId="0" ref="AP264">
      <text>
        <t xml:space="preserve">Responder updated this value.</t>
      </text>
    </comment>
    <comment authorId="0" ref="AW264">
      <text>
        <t xml:space="preserve">Responder updated this value.</t>
      </text>
    </comment>
    <comment authorId="0" ref="BQ264">
      <text>
        <t xml:space="preserve">Responder updated this value.</t>
      </text>
    </comment>
    <comment authorId="0" ref="BQ265">
      <text>
        <t xml:space="preserve">Responder updated this value.</t>
      </text>
    </comment>
    <comment authorId="0" ref="BW265">
      <text>
        <t xml:space="preserve">Responder updated this value.</t>
      </text>
    </comment>
    <comment authorId="0" ref="AW266">
      <text>
        <t xml:space="preserve">Responder updated this value.</t>
      </text>
    </comment>
    <comment authorId="0" ref="BB266">
      <text>
        <t xml:space="preserve">Responder updated this value.</t>
      </text>
    </comment>
    <comment authorId="0" ref="BJ266">
      <text>
        <t xml:space="preserve">Responder updated this value.</t>
      </text>
    </comment>
    <comment authorId="0" ref="BQ266">
      <text>
        <t xml:space="preserve">Responder updated this value.</t>
      </text>
    </comment>
    <comment authorId="0" ref="AQ267">
      <text>
        <t xml:space="preserve">Responder updated this value.</t>
      </text>
    </comment>
    <comment authorId="0" ref="AR267">
      <text>
        <t xml:space="preserve">Responder updated this value.</t>
      </text>
    </comment>
    <comment authorId="0" ref="AW267">
      <text>
        <t xml:space="preserve">Responder updated this value.</t>
      </text>
    </comment>
    <comment authorId="0" ref="BQ267">
      <text>
        <t xml:space="preserve">Responder updated this value.</t>
      </text>
    </comment>
    <comment authorId="0" ref="BT267">
      <text>
        <t xml:space="preserve">Responder updated this value.</t>
      </text>
    </comment>
    <comment authorId="0" ref="BU267">
      <text>
        <t xml:space="preserve">Responder updated this value.</t>
      </text>
    </comment>
    <comment authorId="0" ref="BV267">
      <text>
        <t xml:space="preserve">Responder updated this value.</t>
      </text>
    </comment>
    <comment authorId="0" ref="BW267">
      <text>
        <t xml:space="preserve">Responder updated this value.</t>
      </text>
    </comment>
    <comment authorId="0" ref="AQ268">
      <text>
        <t xml:space="preserve">Responder updated this value.</t>
      </text>
    </comment>
    <comment authorId="0" ref="AS268">
      <text>
        <t xml:space="preserve">Responder updated this value.</t>
      </text>
    </comment>
    <comment authorId="0" ref="AW268">
      <text>
        <t xml:space="preserve">Responder updated this value.</t>
      </text>
    </comment>
    <comment authorId="0" ref="BB268">
      <text>
        <t xml:space="preserve">Responder updated this value.</t>
      </text>
    </comment>
    <comment authorId="0" ref="BL268">
      <text>
        <t xml:space="preserve">Responder updated this value.</t>
      </text>
    </comment>
    <comment authorId="0" ref="BM268">
      <text>
        <t xml:space="preserve">Responder updated this value.</t>
      </text>
    </comment>
    <comment authorId="0" ref="BQ268">
      <text>
        <t xml:space="preserve">Responder updated this value.</t>
      </text>
    </comment>
    <comment authorId="0" ref="BS268">
      <text>
        <t xml:space="preserve">Responder updated this value.</t>
      </text>
    </comment>
    <comment authorId="0" ref="BT268">
      <text>
        <t xml:space="preserve">Responder updated this value.</t>
      </text>
    </comment>
    <comment authorId="0" ref="BU268">
      <text>
        <t xml:space="preserve">Responder updated this value.</t>
      </text>
    </comment>
    <comment authorId="0" ref="BV268">
      <text>
        <t xml:space="preserve">Responder updated this value.</t>
      </text>
    </comment>
    <comment authorId="0" ref="BW268">
      <text>
        <t xml:space="preserve">Responder updated this value.</t>
      </text>
    </comment>
    <comment authorId="0" ref="AW269">
      <text>
        <t xml:space="preserve">Responder updated this value.</t>
      </text>
    </comment>
    <comment authorId="0" ref="BQ269">
      <text>
        <t xml:space="preserve">Responder updated this value.</t>
      </text>
    </comment>
    <comment authorId="0" ref="BS269">
      <text>
        <t xml:space="preserve">Responder updated this value.</t>
      </text>
    </comment>
    <comment authorId="0" ref="BW269">
      <text>
        <t xml:space="preserve">Responder updated this value.</t>
      </text>
    </comment>
    <comment authorId="0" ref="AW270">
      <text>
        <t xml:space="preserve">Responder updated this value.</t>
      </text>
    </comment>
    <comment authorId="0" ref="BL270">
      <text>
        <t xml:space="preserve">Responder updated this value.</t>
      </text>
    </comment>
    <comment authorId="0" ref="BM270">
      <text>
        <t xml:space="preserve">Responder updated this value.</t>
      </text>
    </comment>
    <comment authorId="0" ref="BQ270">
      <text>
        <t xml:space="preserve">Responder updated this value.</t>
      </text>
    </comment>
    <comment authorId="0" ref="BT270">
      <text>
        <t xml:space="preserve">Responder updated this value.</t>
      </text>
    </comment>
    <comment authorId="0" ref="BW270">
      <text>
        <t xml:space="preserve">Responder updated this value.</t>
      </text>
    </comment>
    <comment authorId="0" ref="BC271">
      <text>
        <t xml:space="preserve">Responder updated this value.</t>
      </text>
    </comment>
    <comment authorId="0" ref="BJ271">
      <text>
        <t xml:space="preserve">Responder updated this value.</t>
      </text>
    </comment>
    <comment authorId="0" ref="BQ271">
      <text>
        <t xml:space="preserve">Responder updated this value.</t>
      </text>
    </comment>
    <comment authorId="0" ref="AP272">
      <text>
        <t xml:space="preserve">Responder updated this value.</t>
      </text>
    </comment>
    <comment authorId="0" ref="BL272">
      <text>
        <t xml:space="preserve">Responder updated this value.</t>
      </text>
    </comment>
    <comment authorId="0" ref="BM272">
      <text>
        <t xml:space="preserve">Responder updated this value.</t>
      </text>
    </comment>
    <comment authorId="0" ref="BQ272">
      <text>
        <t xml:space="preserve">Responder updated this value.</t>
      </text>
    </comment>
    <comment authorId="0" ref="W273">
      <text>
        <t xml:space="preserve">Responder updated this value.</t>
      </text>
    </comment>
    <comment authorId="0" ref="AW273">
      <text>
        <t xml:space="preserve">Responder updated this value.</t>
      </text>
    </comment>
    <comment authorId="0" ref="BA273">
      <text>
        <t xml:space="preserve">Responder updated this value.</t>
      </text>
    </comment>
    <comment authorId="0" ref="BJ273">
      <text>
        <t xml:space="preserve">Responder updated this value.</t>
      </text>
    </comment>
    <comment authorId="0" ref="BL273">
      <text>
        <t xml:space="preserve">Responder updated this value.</t>
      </text>
    </comment>
    <comment authorId="0" ref="BM273">
      <text>
        <t xml:space="preserve">Responder updated this value.</t>
      </text>
    </comment>
    <comment authorId="0" ref="BQ273">
      <text>
        <t xml:space="preserve">Responder updated this value.</t>
      </text>
    </comment>
    <comment authorId="0" ref="BR273">
      <text>
        <t xml:space="preserve">Responder updated this value.</t>
      </text>
    </comment>
    <comment authorId="0" ref="BT273">
      <text>
        <t xml:space="preserve">Responder updated this value.</t>
      </text>
    </comment>
    <comment authorId="0" ref="BU273">
      <text>
        <t xml:space="preserve">Responder updated this value.</t>
      </text>
    </comment>
    <comment authorId="0" ref="BV273">
      <text>
        <t xml:space="preserve">Responder updated this value.</t>
      </text>
    </comment>
    <comment authorId="0" ref="BW273">
      <text>
        <t xml:space="preserve">Responder updated this value.</t>
      </text>
    </comment>
    <comment authorId="0" ref="BJ274">
      <text>
        <t xml:space="preserve">Responder updated this value.</t>
      </text>
    </comment>
    <comment authorId="0" ref="BQ274">
      <text>
        <t xml:space="preserve">Responder updated this value.</t>
      </text>
    </comment>
    <comment authorId="0" ref="BW274">
      <text>
        <t xml:space="preserve">Responder updated this value.</t>
      </text>
    </comment>
    <comment authorId="0" ref="AW275">
      <text>
        <t xml:space="preserve">Responder updated this value.</t>
      </text>
    </comment>
    <comment authorId="0" ref="BQ275">
      <text>
        <t xml:space="preserve">Responder updated this value.</t>
      </text>
    </comment>
    <comment authorId="0" ref="BU275">
      <text>
        <t xml:space="preserve">Responder updated this value.</t>
      </text>
    </comment>
    <comment authorId="0" ref="BV275">
      <text>
        <t xml:space="preserve">Responder updated this value.</t>
      </text>
    </comment>
    <comment authorId="0" ref="BW275">
      <text>
        <t xml:space="preserve">Responder updated this value.</t>
      </text>
    </comment>
    <comment authorId="0" ref="BJ276">
      <text>
        <t xml:space="preserve">Responder updated this value.</t>
      </text>
    </comment>
    <comment authorId="0" ref="BQ276">
      <text>
        <t xml:space="preserve">Responder updated this value.</t>
      </text>
    </comment>
    <comment authorId="0" ref="AW277">
      <text>
        <t xml:space="preserve">Responder updated this value.</t>
      </text>
    </comment>
    <comment authorId="0" ref="AX277">
      <text>
        <t xml:space="preserve">Responder updated this value.</t>
      </text>
    </comment>
    <comment authorId="0" ref="BI277">
      <text>
        <t xml:space="preserve">Responder updated this value.</t>
      </text>
    </comment>
    <comment authorId="0" ref="BL277">
      <text>
        <t xml:space="preserve">Responder updated this value.</t>
      </text>
    </comment>
    <comment authorId="0" ref="BM277">
      <text>
        <t xml:space="preserve">Responder updated this value.</t>
      </text>
    </comment>
    <comment authorId="0" ref="BQ277">
      <text>
        <t xml:space="preserve">Responder updated this value.</t>
      </text>
    </comment>
    <comment authorId="0" ref="BU277">
      <text>
        <t xml:space="preserve">Responder updated this value.</t>
      </text>
    </comment>
    <comment authorId="0" ref="BV277">
      <text>
        <t xml:space="preserve">Responder updated this value.</t>
      </text>
    </comment>
    <comment authorId="0" ref="BW277">
      <text>
        <t xml:space="preserve">Responder updated this value.</t>
      </text>
    </comment>
    <comment authorId="0" ref="AW278">
      <text>
        <t xml:space="preserve">Responder updated this value.</t>
      </text>
    </comment>
    <comment authorId="0" ref="BQ278">
      <text>
        <t xml:space="preserve">Responder updated this value.</t>
      </text>
    </comment>
    <comment authorId="0" ref="AQ279">
      <text>
        <t xml:space="preserve">Responder updated this value.</t>
      </text>
    </comment>
    <comment authorId="0" ref="AW279">
      <text>
        <t xml:space="preserve">Responder updated this value.</t>
      </text>
    </comment>
    <comment authorId="0" ref="BE279">
      <text>
        <t xml:space="preserve">Responder updated this value.</t>
      </text>
    </comment>
    <comment authorId="0" ref="BJ279">
      <text>
        <t xml:space="preserve">Responder updated this value.</t>
      </text>
    </comment>
    <comment authorId="0" ref="BQ279">
      <text>
        <t xml:space="preserve">Responder updated this value.</t>
      </text>
    </comment>
    <comment authorId="0" ref="BR279">
      <text>
        <t xml:space="preserve">Responder updated this value.</t>
      </text>
    </comment>
    <comment authorId="0" ref="BS279">
      <text>
        <t xml:space="preserve">Responder updated this value.</t>
      </text>
    </comment>
    <comment authorId="0" ref="BT279">
      <text>
        <t xml:space="preserve">Responder updated this value.</t>
      </text>
    </comment>
    <comment authorId="0" ref="BU279">
      <text>
        <t xml:space="preserve">Responder updated this value.</t>
      </text>
    </comment>
    <comment authorId="0" ref="BV279">
      <text>
        <t xml:space="preserve">Responder updated this value.</t>
      </text>
    </comment>
    <comment authorId="0" ref="BW279">
      <text>
        <t xml:space="preserve">Responder updated this value.</t>
      </text>
    </comment>
    <comment authorId="0" ref="AL280">
      <text>
        <t xml:space="preserve">Responder updated this value.</t>
      </text>
    </comment>
    <comment authorId="0" ref="AW280">
      <text>
        <t xml:space="preserve">Responder updated this value.</t>
      </text>
    </comment>
    <comment authorId="0" ref="BJ280">
      <text>
        <t xml:space="preserve">Responder updated this value.</t>
      </text>
    </comment>
    <comment authorId="0" ref="BL280">
      <text>
        <t xml:space="preserve">Responder updated this value.</t>
      </text>
    </comment>
    <comment authorId="0" ref="BQ280">
      <text>
        <t xml:space="preserve">Responder updated this value.</t>
      </text>
    </comment>
    <comment authorId="0" ref="BW280">
      <text>
        <t xml:space="preserve">Responder updated this value.</t>
      </text>
    </comment>
    <comment authorId="0" ref="BQ281">
      <text>
        <t xml:space="preserve">Responder updated this value.</t>
      </text>
    </comment>
    <comment authorId="0" ref="BU281">
      <text>
        <t xml:space="preserve">Responder updated this value.</t>
      </text>
    </comment>
    <comment authorId="0" ref="BV281">
      <text>
        <t xml:space="preserve">Responder updated this value.</t>
      </text>
    </comment>
    <comment authorId="0" ref="BW281">
      <text>
        <t xml:space="preserve">Responder updated this value.</t>
      </text>
    </comment>
    <comment authorId="0" ref="AV282">
      <text>
        <t xml:space="preserve">Responder updated this value.</t>
      </text>
    </comment>
    <comment authorId="0" ref="AW282">
      <text>
        <t xml:space="preserve">Responder updated this value.</t>
      </text>
    </comment>
    <comment authorId="0" ref="BJ282">
      <text>
        <t xml:space="preserve">Responder updated this value.</t>
      </text>
    </comment>
    <comment authorId="0" ref="BQ282">
      <text>
        <t xml:space="preserve">Responder updated this value.</t>
      </text>
    </comment>
    <comment authorId="0" ref="AL283">
      <text>
        <t xml:space="preserve">Responder updated this value.</t>
      </text>
    </comment>
    <comment authorId="0" ref="AM283">
      <text>
        <t xml:space="preserve">Responder updated this value.</t>
      </text>
    </comment>
    <comment authorId="0" ref="BA283">
      <text>
        <t xml:space="preserve">Responder updated this value.</t>
      </text>
    </comment>
    <comment authorId="0" ref="BJ283">
      <text>
        <t xml:space="preserve">Responder updated this value.</t>
      </text>
    </comment>
    <comment authorId="0" ref="BL283">
      <text>
        <t xml:space="preserve">Responder updated this value.</t>
      </text>
    </comment>
    <comment authorId="0" ref="BM283">
      <text>
        <t xml:space="preserve">Responder updated this value.</t>
      </text>
    </comment>
    <comment authorId="0" ref="BQ283">
      <text>
        <t xml:space="preserve">Responder updated this value.</t>
      </text>
    </comment>
    <comment authorId="0" ref="BW283">
      <text>
        <t xml:space="preserve">Responder updated this value.</t>
      </text>
    </comment>
    <comment authorId="0" ref="AM284">
      <text>
        <t xml:space="preserve">Responder updated this value.</t>
      </text>
    </comment>
    <comment authorId="0" ref="AS284">
      <text>
        <t xml:space="preserve">Responder updated this value.</t>
      </text>
    </comment>
    <comment authorId="0" ref="BJ284">
      <text>
        <t xml:space="preserve">Responder updated this value.</t>
      </text>
    </comment>
    <comment authorId="0" ref="BQ284">
      <text>
        <t xml:space="preserve">Responder updated this value.</t>
      </text>
    </comment>
    <comment authorId="0" ref="BS284">
      <text>
        <t xml:space="preserve">Responder updated this value.</t>
      </text>
    </comment>
    <comment authorId="0" ref="BT284">
      <text>
        <t xml:space="preserve">Responder updated this value.</t>
      </text>
    </comment>
    <comment authorId="0" ref="BU284">
      <text>
        <t xml:space="preserve">Responder updated this value.</t>
      </text>
    </comment>
    <comment authorId="0" ref="BV284">
      <text>
        <t xml:space="preserve">Responder updated this value.</t>
      </text>
    </comment>
    <comment authorId="0" ref="BW284">
      <text>
        <t xml:space="preserve">Responder updated this value.</t>
      </text>
    </comment>
    <comment authorId="0" ref="P285">
      <text>
        <t xml:space="preserve">Responder updated this value.</t>
      </text>
    </comment>
    <comment authorId="0" ref="AQ285">
      <text>
        <t xml:space="preserve">Responder updated this value.</t>
      </text>
    </comment>
    <comment authorId="0" ref="AR285">
      <text>
        <t xml:space="preserve">Responder updated this value.</t>
      </text>
    </comment>
    <comment authorId="0" ref="AS285">
      <text>
        <t xml:space="preserve">Responder updated this value.</t>
      </text>
    </comment>
    <comment authorId="0" ref="AW285">
      <text>
        <t xml:space="preserve">Responder updated this value.</t>
      </text>
    </comment>
    <comment authorId="0" ref="BI285">
      <text>
        <t xml:space="preserve">Responder updated this value.</t>
      </text>
    </comment>
    <comment authorId="0" ref="BL285">
      <text>
        <t xml:space="preserve">Responder updated this value.</t>
      </text>
    </comment>
    <comment authorId="0" ref="BM285">
      <text>
        <t xml:space="preserve">Responder updated this value.</t>
      </text>
    </comment>
    <comment authorId="0" ref="BQ285">
      <text>
        <t xml:space="preserve">Responder updated this value.</t>
      </text>
    </comment>
    <comment authorId="0" ref="BT285">
      <text>
        <t xml:space="preserve">Responder updated this value.</t>
      </text>
    </comment>
    <comment authorId="0" ref="BW285">
      <text>
        <t xml:space="preserve">Responder updated this value.</t>
      </text>
    </comment>
    <comment authorId="0" ref="W286">
      <text>
        <t xml:space="preserve">Responder updated this value.</t>
      </text>
    </comment>
    <comment authorId="0" ref="AW286">
      <text>
        <t xml:space="preserve">Responder updated this value.</t>
      </text>
    </comment>
    <comment authorId="0" ref="BB286">
      <text>
        <t xml:space="preserve">Responder updated this value.</t>
      </text>
    </comment>
    <comment authorId="0" ref="BQ286">
      <text>
        <t xml:space="preserve">Responder updated this value.</t>
      </text>
    </comment>
    <comment authorId="0" ref="BJ287">
      <text>
        <t xml:space="preserve">Responder updated this value.</t>
      </text>
    </comment>
    <comment authorId="0" ref="BQ287">
      <text>
        <t xml:space="preserve">Responder updated this value.</t>
      </text>
    </comment>
    <comment authorId="0" ref="BA288">
      <text>
        <t xml:space="preserve">Responder updated this value.</t>
      </text>
    </comment>
    <comment authorId="0" ref="BB288">
      <text>
        <t xml:space="preserve">Responder updated this value.</t>
      </text>
    </comment>
    <comment authorId="0" ref="BI288">
      <text>
        <t xml:space="preserve">Responder updated this value.</t>
      </text>
    </comment>
    <comment authorId="0" ref="BJ288">
      <text>
        <t xml:space="preserve">Responder updated this value.</t>
      </text>
    </comment>
    <comment authorId="0" ref="BQ288">
      <text>
        <t xml:space="preserve">Responder updated this value.</t>
      </text>
    </comment>
    <comment authorId="0" ref="BU288">
      <text>
        <t xml:space="preserve">Responder updated this value.</t>
      </text>
    </comment>
    <comment authorId="0" ref="BV288">
      <text>
        <t xml:space="preserve">Responder updated this value.</t>
      </text>
    </comment>
    <comment authorId="0" ref="BW288">
      <text>
        <t xml:space="preserve">Responder updated this value.</t>
      </text>
    </comment>
    <comment authorId="0" ref="BJ289">
      <text>
        <t xml:space="preserve">Responder updated this value.</t>
      </text>
    </comment>
    <comment authorId="0" ref="BQ289">
      <text>
        <t xml:space="preserve">Responder updated this value.</t>
      </text>
    </comment>
    <comment authorId="0" ref="BW289">
      <text>
        <t xml:space="preserve">Responder updated this value.</t>
      </text>
    </comment>
    <comment authorId="0" ref="AL290">
      <text>
        <t xml:space="preserve">Responder updated this value.</t>
      </text>
    </comment>
    <comment authorId="0" ref="AM290">
      <text>
        <t xml:space="preserve">Responder updated this value.</t>
      </text>
    </comment>
    <comment authorId="0" ref="AW290">
      <text>
        <t xml:space="preserve">Responder updated this value.</t>
      </text>
    </comment>
    <comment authorId="0" ref="BL290">
      <text>
        <t xml:space="preserve">Responder updated this value.</t>
      </text>
    </comment>
    <comment authorId="0" ref="BM290">
      <text>
        <t xml:space="preserve">Responder updated this value.</t>
      </text>
    </comment>
    <comment authorId="0" ref="BN290">
      <text>
        <t xml:space="preserve">Responder updated this value.</t>
      </text>
    </comment>
    <comment authorId="0" ref="BQ290">
      <text>
        <t xml:space="preserve">Responder updated this value.</t>
      </text>
    </comment>
    <comment authorId="0" ref="BT290">
      <text>
        <t xml:space="preserve">Responder updated this value.</t>
      </text>
    </comment>
    <comment authorId="0" ref="BW290">
      <text>
        <t xml:space="preserve">Responder updated this value.</t>
      </text>
    </comment>
    <comment authorId="0" ref="AL291">
      <text>
        <t xml:space="preserve">Responder updated this value.</t>
      </text>
    </comment>
    <comment authorId="0" ref="AY291">
      <text>
        <t xml:space="preserve">Responder updated this value.</t>
      </text>
    </comment>
    <comment authorId="0" ref="BJ291">
      <text>
        <t xml:space="preserve">Responder updated this value.</t>
      </text>
    </comment>
    <comment authorId="0" ref="BL291">
      <text>
        <t xml:space="preserve">Responder updated this value.</t>
      </text>
    </comment>
    <comment authorId="0" ref="BP291">
      <text>
        <t xml:space="preserve">Responder updated this value.</t>
      </text>
    </comment>
    <comment authorId="0" ref="BQ291">
      <text>
        <t xml:space="preserve">Responder updated this value.</t>
      </text>
    </comment>
    <comment authorId="0" ref="BT291">
      <text>
        <t xml:space="preserve">Responder updated this value.</t>
      </text>
    </comment>
    <comment authorId="0" ref="BW291">
      <text>
        <t xml:space="preserve">Responder updated this value.</t>
      </text>
    </comment>
    <comment authorId="0" ref="AW292">
      <text>
        <t xml:space="preserve">Responder updated this value.</t>
      </text>
    </comment>
    <comment authorId="0" ref="BL292">
      <text>
        <t xml:space="preserve">Responder updated this value.</t>
      </text>
    </comment>
    <comment authorId="0" ref="BM292">
      <text>
        <t xml:space="preserve">Responder updated this value.</t>
      </text>
    </comment>
    <comment authorId="0" ref="BQ292">
      <text>
        <t xml:space="preserve">Responder updated this value.</t>
      </text>
    </comment>
    <comment authorId="0" ref="BW292">
      <text>
        <t xml:space="preserve">Responder updated this value.</t>
      </text>
    </comment>
    <comment authorId="0" ref="BJ293">
      <text>
        <t xml:space="preserve">Responder updated this value.</t>
      </text>
    </comment>
    <comment authorId="0" ref="BL293">
      <text>
        <t xml:space="preserve">Responder updated this value.</t>
      </text>
    </comment>
    <comment authorId="0" ref="BM293">
      <text>
        <t xml:space="preserve">Responder updated this value.</t>
      </text>
    </comment>
    <comment authorId="0" ref="BQ293">
      <text>
        <t xml:space="preserve">Responder updated this value.</t>
      </text>
    </comment>
    <comment authorId="0" ref="BT293">
      <text>
        <t xml:space="preserve">Responder updated this value.</t>
      </text>
    </comment>
    <comment authorId="0" ref="BW293">
      <text>
        <t xml:space="preserve">Responder updated this value.</t>
      </text>
    </comment>
    <comment authorId="0" ref="BQ294">
      <text>
        <t xml:space="preserve">Responder updated this value.</t>
      </text>
    </comment>
    <comment authorId="0" ref="AL295">
      <text>
        <t xml:space="preserve">Responder updated this value.</t>
      </text>
    </comment>
    <comment authorId="0" ref="AO295">
      <text>
        <t xml:space="preserve">Responder updated this value.</t>
      </text>
    </comment>
    <comment authorId="0" ref="AS295">
      <text>
        <t xml:space="preserve">Responder updated this value.</t>
      </text>
    </comment>
    <comment authorId="0" ref="AW295">
      <text>
        <t xml:space="preserve">Responder updated this value.</t>
      </text>
    </comment>
    <comment authorId="0" ref="BC295">
      <text>
        <t xml:space="preserve">Responder updated this value.</t>
      </text>
    </comment>
    <comment authorId="0" ref="BE295">
      <text>
        <t xml:space="preserve">Responder updated this value.</t>
      </text>
    </comment>
    <comment authorId="0" ref="BJ295">
      <text>
        <t xml:space="preserve">Responder updated this value.</t>
      </text>
    </comment>
    <comment authorId="0" ref="BQ295">
      <text>
        <t xml:space="preserve">Responder updated this value.</t>
      </text>
    </comment>
    <comment authorId="0" ref="BU295">
      <text>
        <t xml:space="preserve">Responder updated this value.</t>
      </text>
    </comment>
    <comment authorId="0" ref="BV295">
      <text>
        <t xml:space="preserve">Responder updated this value.</t>
      </text>
    </comment>
    <comment authorId="0" ref="BW295">
      <text>
        <t xml:space="preserve">Responder updated this value.</t>
      </text>
    </comment>
    <comment authorId="0" ref="V296">
      <text>
        <t xml:space="preserve">Responder updated this value.</t>
      </text>
    </comment>
    <comment authorId="0" ref="AW296">
      <text>
        <t xml:space="preserve">Responder updated this value.</t>
      </text>
    </comment>
    <comment authorId="0" ref="BL296">
      <text>
        <t xml:space="preserve">Responder updated this value.</t>
      </text>
    </comment>
    <comment authorId="0" ref="BM296">
      <text>
        <t xml:space="preserve">Responder updated this value.</t>
      </text>
    </comment>
    <comment authorId="0" ref="BQ296">
      <text>
        <t xml:space="preserve">Responder updated this value.</t>
      </text>
    </comment>
    <comment authorId="0" ref="BT296">
      <text>
        <t xml:space="preserve">Responder updated this value.</t>
      </text>
    </comment>
    <comment authorId="0" ref="BW296">
      <text>
        <t xml:space="preserve">Responder updated this value.</t>
      </text>
    </comment>
    <comment authorId="0" ref="V297">
      <text>
        <t xml:space="preserve">Responder updated this value.</t>
      </text>
    </comment>
    <comment authorId="0" ref="BJ297">
      <text>
        <t xml:space="preserve">Responder updated this value.</t>
      </text>
    </comment>
    <comment authorId="0" ref="BL297">
      <text>
        <t xml:space="preserve">Responder updated this value.</t>
      </text>
    </comment>
    <comment authorId="0" ref="BM297">
      <text>
        <t xml:space="preserve">Responder updated this value.</t>
      </text>
    </comment>
    <comment authorId="0" ref="BQ297">
      <text>
        <t xml:space="preserve">Responder updated this value.</t>
      </text>
    </comment>
    <comment authorId="0" ref="AO298">
      <text>
        <t xml:space="preserve">Responder updated this value.</t>
      </text>
    </comment>
    <comment authorId="0" ref="AP298">
      <text>
        <t xml:space="preserve">Responder updated this value.</t>
      </text>
    </comment>
    <comment authorId="0" ref="BA298">
      <text>
        <t xml:space="preserve">Responder updated this value.</t>
      </text>
    </comment>
    <comment authorId="0" ref="BB298">
      <text>
        <t xml:space="preserve">Responder updated this value.</t>
      </text>
    </comment>
    <comment authorId="0" ref="BN298">
      <text>
        <t xml:space="preserve">Responder updated this value.</t>
      </text>
    </comment>
    <comment authorId="0" ref="BQ298">
      <text>
        <t xml:space="preserve">Responder updated this value.</t>
      </text>
    </comment>
    <comment authorId="0" ref="BT298">
      <text>
        <t xml:space="preserve">Responder updated this value.</t>
      </text>
    </comment>
    <comment authorId="0" ref="BW298">
      <text>
        <t xml:space="preserve">Responder updated this value.</t>
      </text>
    </comment>
    <comment authorId="0" ref="BQ299">
      <text>
        <t xml:space="preserve">Responder updated this value.</t>
      </text>
    </comment>
    <comment authorId="0" ref="BT299">
      <text>
        <t xml:space="preserve">Responder updated this value.</t>
      </text>
    </comment>
    <comment authorId="0" ref="BW299">
      <text>
        <t xml:space="preserve">Responder updated this value.</t>
      </text>
    </comment>
    <comment authorId="0" ref="AW300">
      <text>
        <t xml:space="preserve">Responder updated this value.</t>
      </text>
    </comment>
    <comment authorId="0" ref="BQ300">
      <text>
        <t xml:space="preserve">Responder updated this value.</t>
      </text>
    </comment>
    <comment authorId="0" ref="BB301">
      <text>
        <t xml:space="preserve">Responder updated this value.</t>
      </text>
    </comment>
    <comment authorId="0" ref="BQ301">
      <text>
        <t xml:space="preserve">Responder updated this value.</t>
      </text>
    </comment>
    <comment authorId="0" ref="T302">
      <text>
        <t xml:space="preserve">Responder updated this value.</t>
      </text>
    </comment>
    <comment authorId="0" ref="U302">
      <text>
        <t xml:space="preserve">Responder updated this value.</t>
      </text>
    </comment>
    <comment authorId="0" ref="V302">
      <text>
        <t xml:space="preserve">Responder updated this value.</t>
      </text>
    </comment>
    <comment authorId="0" ref="W302">
      <text>
        <t xml:space="preserve">Responder updated this value.</t>
      </text>
    </comment>
    <comment authorId="0" ref="AP302">
      <text>
        <t xml:space="preserve">Responder updated this value.</t>
      </text>
    </comment>
    <comment authorId="0" ref="AT302">
      <text>
        <t xml:space="preserve">Responder updated this value.</t>
      </text>
    </comment>
    <comment authorId="0" ref="AW302">
      <text>
        <t xml:space="preserve">Responder updated this value.</t>
      </text>
    </comment>
    <comment authorId="0" ref="AX302">
      <text>
        <t xml:space="preserve">Responder updated this value.</t>
      </text>
    </comment>
    <comment authorId="0" ref="AY302">
      <text>
        <t xml:space="preserve">Responder updated this value.</t>
      </text>
    </comment>
    <comment authorId="0" ref="BA302">
      <text>
        <t xml:space="preserve">Responder updated this value.</t>
      </text>
    </comment>
    <comment authorId="0" ref="BB302">
      <text>
        <t xml:space="preserve">Responder updated this value.</t>
      </text>
    </comment>
    <comment authorId="0" ref="BC302">
      <text>
        <t xml:space="preserve">Responder updated this value.</t>
      </text>
    </comment>
    <comment authorId="0" ref="BF302">
      <text>
        <t xml:space="preserve">Responder updated this value.</t>
      </text>
    </comment>
    <comment authorId="0" ref="BG302">
      <text>
        <t xml:space="preserve">Responder updated this value.</t>
      </text>
    </comment>
    <comment authorId="0" ref="BJ302">
      <text>
        <t xml:space="preserve">Responder updated this value.</t>
      </text>
    </comment>
    <comment authorId="0" ref="BN302">
      <text>
        <t xml:space="preserve">Responder updated this value.</t>
      </text>
    </comment>
    <comment authorId="0" ref="BQ302">
      <text>
        <t xml:space="preserve">Responder updated this value.</t>
      </text>
    </comment>
    <comment authorId="0" ref="BI303">
      <text>
        <t xml:space="preserve">Responder updated this value.</t>
      </text>
    </comment>
    <comment authorId="0" ref="BP303">
      <text>
        <t xml:space="preserve">Responder updated this value.</t>
      </text>
    </comment>
    <comment authorId="0" ref="BQ303">
      <text>
        <t xml:space="preserve">Responder updated this value.</t>
      </text>
    </comment>
    <comment authorId="0" ref="BR303">
      <text>
        <t xml:space="preserve">Responder updated this value.</t>
      </text>
    </comment>
    <comment authorId="0" ref="BS303">
      <text>
        <t xml:space="preserve">Responder updated this value.</t>
      </text>
    </comment>
    <comment authorId="0" ref="BT303">
      <text>
        <t xml:space="preserve">Responder updated this value.</t>
      </text>
    </comment>
    <comment authorId="0" ref="BU303">
      <text>
        <t xml:space="preserve">Responder updated this value.</t>
      </text>
    </comment>
    <comment authorId="0" ref="BV303">
      <text>
        <t xml:space="preserve">Responder updated this value.</t>
      </text>
    </comment>
    <comment authorId="0" ref="BW303">
      <text>
        <t xml:space="preserve">Responder updated this value.</t>
      </text>
    </comment>
    <comment authorId="0" ref="AB304">
      <text>
        <t xml:space="preserve">Responder updated this value.</t>
      </text>
    </comment>
    <comment authorId="0" ref="AC304">
      <text>
        <t xml:space="preserve">Responder updated this value.</t>
      </text>
    </comment>
    <comment authorId="0" ref="AW304">
      <text>
        <t xml:space="preserve">Responder updated this value.</t>
      </text>
    </comment>
    <comment authorId="0" ref="BA304">
      <text>
        <t xml:space="preserve">Responder updated this value.</t>
      </text>
    </comment>
    <comment authorId="0" ref="BB304">
      <text>
        <t xml:space="preserve">Responder updated this value.</t>
      </text>
    </comment>
    <comment authorId="0" ref="BQ304">
      <text>
        <t xml:space="preserve">Responder updated this value.</t>
      </text>
    </comment>
    <comment authorId="0" ref="BU304">
      <text>
        <t xml:space="preserve">Responder updated this value.</t>
      </text>
    </comment>
    <comment authorId="0" ref="BV304">
      <text>
        <t xml:space="preserve">Responder updated this value.</t>
      </text>
    </comment>
    <comment authorId="0" ref="BW304">
      <text>
        <t xml:space="preserve">Responder updated this value.</t>
      </text>
    </comment>
    <comment authorId="0" ref="AS305">
      <text>
        <t xml:space="preserve">Responder updated this value.</t>
      </text>
    </comment>
    <comment authorId="0" ref="AT305">
      <text>
        <t xml:space="preserve">Responder updated this value.</t>
      </text>
    </comment>
    <comment authorId="0" ref="BE305">
      <text>
        <t xml:space="preserve">Responder updated this value.</t>
      </text>
    </comment>
    <comment authorId="0" ref="BH305">
      <text>
        <t xml:space="preserve">Responder updated this value.</t>
      </text>
    </comment>
    <comment authorId="0" ref="BJ305">
      <text>
        <t xml:space="preserve">Responder updated this value.</t>
      </text>
    </comment>
    <comment authorId="0" ref="BL305">
      <text>
        <t xml:space="preserve">Responder updated this value.</t>
      </text>
    </comment>
    <comment authorId="0" ref="BM305">
      <text>
        <t xml:space="preserve">Responder updated this value.</t>
      </text>
    </comment>
    <comment authorId="0" ref="BN305">
      <text>
        <t xml:space="preserve">Responder updated this value.</t>
      </text>
    </comment>
    <comment authorId="0" ref="BP305">
      <text>
        <t xml:space="preserve">Responder updated this value.</t>
      </text>
    </comment>
    <comment authorId="0" ref="BQ305">
      <text>
        <t xml:space="preserve">Responder updated this value.</t>
      </text>
    </comment>
    <comment authorId="0" ref="BS305">
      <text>
        <t xml:space="preserve">Responder updated this value.</t>
      </text>
    </comment>
    <comment authorId="0" ref="BW305">
      <text>
        <t xml:space="preserve">Responder updated this value.</t>
      </text>
    </comment>
    <comment authorId="0" ref="AS306">
      <text>
        <t xml:space="preserve">Responder updated this value.</t>
      </text>
    </comment>
    <comment authorId="0" ref="BJ306">
      <text>
        <t xml:space="preserve">Responder updated this value.</t>
      </text>
    </comment>
    <comment authorId="0" ref="BQ306">
      <text>
        <t xml:space="preserve">Responder updated this value.</t>
      </text>
    </comment>
    <comment authorId="0" ref="N307">
      <text>
        <t xml:space="preserve">Responder updated this value.</t>
      </text>
    </comment>
    <comment authorId="0" ref="AX307">
      <text>
        <t xml:space="preserve">Responder updated this value.</t>
      </text>
    </comment>
    <comment authorId="0" ref="BJ307">
      <text>
        <t xml:space="preserve">Responder updated this value.</t>
      </text>
    </comment>
    <comment authorId="0" ref="BL307">
      <text>
        <t xml:space="preserve">Responder updated this value.</t>
      </text>
    </comment>
    <comment authorId="0" ref="BM307">
      <text>
        <t xml:space="preserve">Responder updated this value.</t>
      </text>
    </comment>
    <comment authorId="0" ref="BQ307">
      <text>
        <t xml:space="preserve">Responder updated this value.</t>
      </text>
    </comment>
    <comment authorId="0" ref="BU307">
      <text>
        <t xml:space="preserve">Responder updated this value.</t>
      </text>
    </comment>
    <comment authorId="0" ref="BV307">
      <text>
        <t xml:space="preserve">Responder updated this value.</t>
      </text>
    </comment>
    <comment authorId="0" ref="BW307">
      <text>
        <t xml:space="preserve">Responder updated this value.</t>
      </text>
    </comment>
    <comment authorId="0" ref="AU308">
      <text>
        <t xml:space="preserve">Responder updated this value.</t>
      </text>
    </comment>
    <comment authorId="0" ref="AV308">
      <text>
        <t xml:space="preserve">Responder updated this value.</t>
      </text>
    </comment>
    <comment authorId="0" ref="AW308">
      <text>
        <t xml:space="preserve">Responder updated this value.</t>
      </text>
    </comment>
    <comment authorId="0" ref="AX308">
      <text>
        <t xml:space="preserve">Responder updated this value.</t>
      </text>
    </comment>
    <comment authorId="0" ref="BL308">
      <text>
        <t xml:space="preserve">Responder updated this value.</t>
      </text>
    </comment>
    <comment authorId="0" ref="BM308">
      <text>
        <t xml:space="preserve">Responder updated this value.</t>
      </text>
    </comment>
    <comment authorId="0" ref="BN308">
      <text>
        <t xml:space="preserve">Responder updated this value.</t>
      </text>
    </comment>
    <comment authorId="0" ref="BQ308">
      <text>
        <t xml:space="preserve">Responder updated this value.</t>
      </text>
    </comment>
    <comment authorId="0" ref="BS308">
      <text>
        <t xml:space="preserve">Responder updated this value.</t>
      </text>
    </comment>
    <comment authorId="0" ref="BT308">
      <text>
        <t xml:space="preserve">Responder updated this value.</t>
      </text>
    </comment>
    <comment authorId="0" ref="BU308">
      <text>
        <t xml:space="preserve">Responder updated this value.</t>
      </text>
    </comment>
    <comment authorId="0" ref="BV308">
      <text>
        <t xml:space="preserve">Responder updated this value.</t>
      </text>
    </comment>
    <comment authorId="0" ref="BW308">
      <text>
        <t xml:space="preserve">Responder updated this value.</t>
      </text>
    </comment>
    <comment authorId="0" ref="AL309">
      <text>
        <t xml:space="preserve">Responder updated this value.</t>
      </text>
    </comment>
    <comment authorId="0" ref="AM309">
      <text>
        <t xml:space="preserve">Responder updated this value.</t>
      </text>
    </comment>
    <comment authorId="0" ref="AQ309">
      <text>
        <t xml:space="preserve">Responder updated this value.</t>
      </text>
    </comment>
    <comment authorId="0" ref="AS309">
      <text>
        <t xml:space="preserve">Responder updated this value.</t>
      </text>
    </comment>
    <comment authorId="0" ref="BA309">
      <text>
        <t xml:space="preserve">Responder updated this value.</t>
      </text>
    </comment>
    <comment authorId="0" ref="BL309">
      <text>
        <t xml:space="preserve">Responder updated this value.</t>
      </text>
    </comment>
    <comment authorId="0" ref="BM309">
      <text>
        <t xml:space="preserve">Responder updated this value.</t>
      </text>
    </comment>
    <comment authorId="0" ref="BQ309">
      <text>
        <t xml:space="preserve">Responder updated this value.</t>
      </text>
    </comment>
    <comment authorId="0" ref="BW309">
      <text>
        <t xml:space="preserve">Responder updated this value.</t>
      </text>
    </comment>
    <comment authorId="0" ref="AQ310">
      <text>
        <t xml:space="preserve">Responder updated this value.</t>
      </text>
    </comment>
    <comment authorId="0" ref="AS310">
      <text>
        <t xml:space="preserve">Responder updated this value.</t>
      </text>
    </comment>
    <comment authorId="0" ref="AW310">
      <text>
        <t xml:space="preserve">Responder updated this value.</t>
      </text>
    </comment>
    <comment authorId="0" ref="BA310">
      <text>
        <t xml:space="preserve">Responder updated this value.</t>
      </text>
    </comment>
    <comment authorId="0" ref="BJ310">
      <text>
        <t xml:space="preserve">Responder updated this value.</t>
      </text>
    </comment>
    <comment authorId="0" ref="BQ310">
      <text>
        <t xml:space="preserve">Responder updated this value.</t>
      </text>
    </comment>
    <comment authorId="0" ref="BU310">
      <text>
        <t xml:space="preserve">Responder updated this value.</t>
      </text>
    </comment>
    <comment authorId="0" ref="BV310">
      <text>
        <t xml:space="preserve">Responder updated this value.</t>
      </text>
    </comment>
    <comment authorId="0" ref="BW310">
      <text>
        <t xml:space="preserve">Responder updated this value.</t>
      </text>
    </comment>
    <comment authorId="0" ref="AA311">
      <text>
        <t xml:space="preserve">Responder updated this value.</t>
      </text>
    </comment>
    <comment authorId="0" ref="AW312">
      <text>
        <t xml:space="preserve">Responder updated this value.</t>
      </text>
    </comment>
    <comment authorId="0" ref="BQ312">
      <text>
        <t xml:space="preserve">Responder updated this value.</t>
      </text>
    </comment>
    <comment authorId="0" ref="BW312">
      <text>
        <t xml:space="preserve">Responder updated this value.</t>
      </text>
    </comment>
    <comment authorId="0" ref="BQ313">
      <text>
        <t xml:space="preserve">Responder updated this value.</t>
      </text>
    </comment>
    <comment authorId="0" ref="BD314">
      <text>
        <t xml:space="preserve">Responder updated this value.</t>
      </text>
    </comment>
    <comment authorId="0" ref="BM314">
      <text>
        <t xml:space="preserve">Responder updated this value.</t>
      </text>
    </comment>
    <comment authorId="0" ref="BQ314">
      <text>
        <t xml:space="preserve">Responder updated this value.</t>
      </text>
    </comment>
    <comment authorId="0" ref="W315">
      <text>
        <t xml:space="preserve">Responder updated this value.</t>
      </text>
    </comment>
    <comment authorId="0" ref="Z315">
      <text>
        <t xml:space="preserve">Responder updated this value.</t>
      </text>
    </comment>
    <comment authorId="0" ref="AJ315">
      <text>
        <t xml:space="preserve">Responder updated this value.</t>
      </text>
    </comment>
    <comment authorId="0" ref="AL315">
      <text>
        <t xml:space="preserve">Responder updated this value.</t>
      </text>
    </comment>
    <comment authorId="0" ref="AM315">
      <text>
        <t xml:space="preserve">Responder updated this value.</t>
      </text>
    </comment>
    <comment authorId="0" ref="AN315">
      <text>
        <t xml:space="preserve">Responder updated this value.</t>
      </text>
    </comment>
    <comment authorId="0" ref="AO315">
      <text>
        <t xml:space="preserve">Responder updated this value.</t>
      </text>
    </comment>
    <comment authorId="0" ref="AQ315">
      <text>
        <t xml:space="preserve">Responder updated this value.</t>
      </text>
    </comment>
    <comment authorId="0" ref="AU315">
      <text>
        <t xml:space="preserve">Responder updated this value.</t>
      </text>
    </comment>
    <comment authorId="0" ref="AV315">
      <text>
        <t xml:space="preserve">Responder updated this value.</t>
      </text>
    </comment>
    <comment authorId="0" ref="AW315">
      <text>
        <t xml:space="preserve">Responder updated this value.</t>
      </text>
    </comment>
    <comment authorId="0" ref="AY315">
      <text>
        <t xml:space="preserve">Responder updated this value.</t>
      </text>
    </comment>
    <comment authorId="0" ref="BA315">
      <text>
        <t xml:space="preserve">Responder updated this value.</t>
      </text>
    </comment>
    <comment authorId="0" ref="BC315">
      <text>
        <t xml:space="preserve">Responder updated this value.</t>
      </text>
    </comment>
    <comment authorId="0" ref="BE315">
      <text>
        <t xml:space="preserve">Responder updated this value.</t>
      </text>
    </comment>
    <comment authorId="0" ref="BG315">
      <text>
        <t xml:space="preserve">Responder updated this value.</t>
      </text>
    </comment>
    <comment authorId="0" ref="BJ315">
      <text>
        <t xml:space="preserve">Responder updated this value.</t>
      </text>
    </comment>
    <comment authorId="0" ref="BL315">
      <text>
        <t xml:space="preserve">Responder updated this value.</t>
      </text>
    </comment>
    <comment authorId="0" ref="BM315">
      <text>
        <t xml:space="preserve">Responder updated this value.</t>
      </text>
    </comment>
    <comment authorId="0" ref="BQ315">
      <text>
        <t xml:space="preserve">Responder updated this value.</t>
      </text>
    </comment>
    <comment authorId="0" ref="BU315">
      <text>
        <t xml:space="preserve">Responder updated this value.</t>
      </text>
    </comment>
    <comment authorId="0" ref="BV315">
      <text>
        <t xml:space="preserve">Responder updated this value.</t>
      </text>
    </comment>
    <comment authorId="0" ref="BW315">
      <text>
        <t xml:space="preserve">Responder updated this value.</t>
      </text>
    </comment>
    <comment authorId="0" ref="AA316">
      <text>
        <t xml:space="preserve">Responder updated this value.</t>
      </text>
    </comment>
    <comment authorId="0" ref="AL316">
      <text>
        <t xml:space="preserve">Responder updated this value.</t>
      </text>
    </comment>
    <comment authorId="0" ref="AM316">
      <text>
        <t xml:space="preserve">Responder updated this value.</t>
      </text>
    </comment>
    <comment authorId="0" ref="AW316">
      <text>
        <t xml:space="preserve">Responder updated this value.</t>
      </text>
    </comment>
    <comment authorId="0" ref="BJ316">
      <text>
        <t xml:space="preserve">Responder updated this value.</t>
      </text>
    </comment>
    <comment authorId="0" ref="BL316">
      <text>
        <t xml:space="preserve">Responder updated this value.</t>
      </text>
    </comment>
    <comment authorId="0" ref="BM316">
      <text>
        <t xml:space="preserve">Responder updated this value.</t>
      </text>
    </comment>
    <comment authorId="0" ref="BN316">
      <text>
        <t xml:space="preserve">Responder updated this value.</t>
      </text>
    </comment>
    <comment authorId="0" ref="BP316">
      <text>
        <t xml:space="preserve">Responder updated this value.</t>
      </text>
    </comment>
    <comment authorId="0" ref="BQ316">
      <text>
        <t xml:space="preserve">Responder updated this value.</t>
      </text>
    </comment>
    <comment authorId="0" ref="BW316">
      <text>
        <t xml:space="preserve">Responder updated this value.</t>
      </text>
    </comment>
    <comment authorId="0" ref="X317">
      <text>
        <t xml:space="preserve">Responder updated this value.</t>
      </text>
    </comment>
    <comment authorId="0" ref="AA317">
      <text>
        <t xml:space="preserve">Responder updated this value.</t>
      </text>
    </comment>
    <comment authorId="0" ref="AB317">
      <text>
        <t xml:space="preserve">Responder updated this value.</t>
      </text>
    </comment>
    <comment authorId="0" ref="AC317">
      <text>
        <t xml:space="preserve">Responder updated this value.</t>
      </text>
    </comment>
    <comment authorId="0" ref="AI317">
      <text>
        <t xml:space="preserve">Responder updated this value.</t>
      </text>
    </comment>
    <comment authorId="0" ref="AL317">
      <text>
        <t xml:space="preserve">Responder updated this value.</t>
      </text>
    </comment>
    <comment authorId="0" ref="AM317">
      <text>
        <t xml:space="preserve">Responder updated this value.</t>
      </text>
    </comment>
    <comment authorId="0" ref="AQ317">
      <text>
        <t xml:space="preserve">Responder updated this value.</t>
      </text>
    </comment>
    <comment authorId="0" ref="AR317">
      <text>
        <t xml:space="preserve">Responder updated this value.</t>
      </text>
    </comment>
    <comment authorId="0" ref="AS317">
      <text>
        <t xml:space="preserve">Responder updated this value.</t>
      </text>
    </comment>
    <comment authorId="0" ref="AU317">
      <text>
        <t xml:space="preserve">Responder updated this value.</t>
      </text>
    </comment>
    <comment authorId="0" ref="AV317">
      <text>
        <t xml:space="preserve">Responder updated this value.</t>
      </text>
    </comment>
    <comment authorId="0" ref="AW317">
      <text>
        <t xml:space="preserve">Responder updated this value.</t>
      </text>
    </comment>
    <comment authorId="0" ref="AX317">
      <text>
        <t xml:space="preserve">Responder updated this value.</t>
      </text>
    </comment>
    <comment authorId="0" ref="BF317">
      <text>
        <t xml:space="preserve">Responder updated this value.</t>
      </text>
    </comment>
    <comment authorId="0" ref="BH317">
      <text>
        <t xml:space="preserve">Responder updated this value.</t>
      </text>
    </comment>
    <comment authorId="0" ref="BL317">
      <text>
        <t xml:space="preserve">Responder updated this value.</t>
      </text>
    </comment>
    <comment authorId="0" ref="BM317">
      <text>
        <t xml:space="preserve">Responder updated this value.</t>
      </text>
    </comment>
    <comment authorId="0" ref="BP317">
      <text>
        <t xml:space="preserve">Responder updated this value.</t>
      </text>
    </comment>
    <comment authorId="0" ref="BQ317">
      <text>
        <t xml:space="preserve">Responder updated this value.</t>
      </text>
    </comment>
    <comment authorId="0" ref="BT317">
      <text>
        <t xml:space="preserve">Responder updated this value.</t>
      </text>
    </comment>
    <comment authorId="0" ref="BU317">
      <text>
        <t xml:space="preserve">Responder updated this value.</t>
      </text>
    </comment>
    <comment authorId="0" ref="BV317">
      <text>
        <t xml:space="preserve">Responder updated this value.</t>
      </text>
    </comment>
    <comment authorId="0" ref="BW317">
      <text>
        <t xml:space="preserve">Responder updated this value.</t>
      </text>
    </comment>
    <comment authorId="0" ref="AL318">
      <text>
        <t xml:space="preserve">Responder updated this value.</t>
      </text>
    </comment>
    <comment authorId="0" ref="AM318">
      <text>
        <t xml:space="preserve">Responder updated this value.</t>
      </text>
    </comment>
    <comment authorId="0" ref="AW318">
      <text>
        <t xml:space="preserve">Responder updated this value.</t>
      </text>
    </comment>
    <comment authorId="0" ref="BA318">
      <text>
        <t xml:space="preserve">Responder updated this value.</t>
      </text>
    </comment>
    <comment authorId="0" ref="BF318">
      <text>
        <t xml:space="preserve">Responder updated this value.</t>
      </text>
    </comment>
    <comment authorId="0" ref="BJ318">
      <text>
        <t xml:space="preserve">Responder updated this value.</t>
      </text>
    </comment>
    <comment authorId="0" ref="BL318">
      <text>
        <t xml:space="preserve">Responder updated this value.</t>
      </text>
    </comment>
    <comment authorId="0" ref="BM318">
      <text>
        <t xml:space="preserve">Responder updated this value.</t>
      </text>
    </comment>
    <comment authorId="0" ref="BN318">
      <text>
        <t xml:space="preserve">Responder updated this value.</t>
      </text>
    </comment>
    <comment authorId="0" ref="BQ318">
      <text>
        <t xml:space="preserve">Responder updated this value.</t>
      </text>
    </comment>
    <comment authorId="0" ref="BW318">
      <text>
        <t xml:space="preserve">Responder updated this value.</t>
      </text>
    </comment>
    <comment authorId="0" ref="BQ319">
      <text>
        <t xml:space="preserve">Responder updated this value.</t>
      </text>
    </comment>
    <comment authorId="0" ref="AW320">
      <text>
        <t xml:space="preserve">Responder updated this value.</t>
      </text>
    </comment>
    <comment authorId="0" ref="BQ320">
      <text>
        <t xml:space="preserve">Responder updated this value.</t>
      </text>
    </comment>
    <comment authorId="0" ref="N321">
      <text>
        <t xml:space="preserve">Responder updated this value.</t>
      </text>
    </comment>
    <comment authorId="0" ref="AL321">
      <text>
        <t xml:space="preserve">Responder updated this value.</t>
      </text>
    </comment>
    <comment authorId="0" ref="AM321">
      <text>
        <t xml:space="preserve">Responder updated this value.</t>
      </text>
    </comment>
    <comment authorId="0" ref="AO321">
      <text>
        <t xml:space="preserve">Responder updated this value.</t>
      </text>
    </comment>
    <comment authorId="0" ref="AP321">
      <text>
        <t xml:space="preserve">Responder updated this value.</t>
      </text>
    </comment>
    <comment authorId="0" ref="BB321">
      <text>
        <t xml:space="preserve">Responder updated this value.</t>
      </text>
    </comment>
    <comment authorId="0" ref="BC321">
      <text>
        <t xml:space="preserve">Responder updated this value.</t>
      </text>
    </comment>
    <comment authorId="0" ref="BE321">
      <text>
        <t xml:space="preserve">Responder updated this value.</t>
      </text>
    </comment>
    <comment authorId="0" ref="BJ321">
      <text>
        <t xml:space="preserve">Responder updated this value.</t>
      </text>
    </comment>
    <comment authorId="0" ref="BL321">
      <text>
        <t xml:space="preserve">Responder updated this value.</t>
      </text>
    </comment>
    <comment authorId="0" ref="BM321">
      <text>
        <t xml:space="preserve">Responder updated this value.</t>
      </text>
    </comment>
    <comment authorId="0" ref="BQ321">
      <text>
        <t xml:space="preserve">Responder updated this value.</t>
      </text>
    </comment>
    <comment authorId="0" ref="BW321">
      <text>
        <t xml:space="preserve">Responder updated this value.</t>
      </text>
    </comment>
    <comment authorId="0" ref="AO322">
      <text>
        <t xml:space="preserve">Responder updated this value.</t>
      </text>
    </comment>
    <comment authorId="0" ref="AP322">
      <text>
        <t xml:space="preserve">Responder updated this value.</t>
      </text>
    </comment>
    <comment authorId="0" ref="AU322">
      <text>
        <t xml:space="preserve">Responder updated this value.</t>
      </text>
    </comment>
    <comment authorId="0" ref="AV322">
      <text>
        <t xml:space="preserve">Responder updated this value.</t>
      </text>
    </comment>
    <comment authorId="0" ref="AX322">
      <text>
        <t xml:space="preserve">Responder updated this value.</t>
      </text>
    </comment>
    <comment authorId="0" ref="BF322">
      <text>
        <t xml:space="preserve">Responder updated this value.</t>
      </text>
    </comment>
    <comment authorId="0" ref="BG322">
      <text>
        <t xml:space="preserve">Responder updated this value.</t>
      </text>
    </comment>
    <comment authorId="0" ref="BH322">
      <text>
        <t xml:space="preserve">Responder updated this value.</t>
      </text>
    </comment>
    <comment authorId="0" ref="BI322">
      <text>
        <t xml:space="preserve">Responder updated this value.</t>
      </text>
    </comment>
    <comment authorId="0" ref="BQ322">
      <text>
        <t xml:space="preserve">Responder updated this value.</t>
      </text>
    </comment>
    <comment authorId="0" ref="BR322">
      <text>
        <t xml:space="preserve">Responder updated this value.</t>
      </text>
    </comment>
    <comment authorId="0" ref="BS322">
      <text>
        <t xml:space="preserve">Responder updated this value.</t>
      </text>
    </comment>
    <comment authorId="0" ref="BT322">
      <text>
        <t xml:space="preserve">Responder updated this value.</t>
      </text>
    </comment>
    <comment authorId="0" ref="BU322">
      <text>
        <t xml:space="preserve">Responder updated this value.</t>
      </text>
    </comment>
    <comment authorId="0" ref="BV322">
      <text>
        <t xml:space="preserve">Responder updated this value.</t>
      </text>
    </comment>
    <comment authorId="0" ref="BW322">
      <text>
        <t xml:space="preserve">Responder updated this value.</t>
      </text>
    </comment>
    <comment authorId="0" ref="AO323">
      <text>
        <t xml:space="preserve">Responder updated this value.</t>
      </text>
    </comment>
    <comment authorId="0" ref="AP323">
      <text>
        <t xml:space="preserve">Responder updated this value.</t>
      </text>
    </comment>
    <comment authorId="0" ref="BJ323">
      <text>
        <t xml:space="preserve">Responder updated this value.</t>
      </text>
    </comment>
    <comment authorId="0" ref="BM323">
      <text>
        <t xml:space="preserve">Responder updated this value.</t>
      </text>
    </comment>
    <comment authorId="0" ref="BQ323">
      <text>
        <t xml:space="preserve">Responder updated this value.</t>
      </text>
    </comment>
    <comment authorId="0" ref="BS323">
      <text>
        <t xml:space="preserve">Responder updated this value.</t>
      </text>
    </comment>
    <comment authorId="0" ref="BT323">
      <text>
        <t xml:space="preserve">Responder updated this value.</t>
      </text>
    </comment>
    <comment authorId="0" ref="BV323">
      <text>
        <t xml:space="preserve">Responder updated this value.</t>
      </text>
    </comment>
    <comment authorId="0" ref="BW323">
      <text>
        <t xml:space="preserve">Responder updated this value.</t>
      </text>
    </comment>
    <comment authorId="0" ref="BQ324">
      <text>
        <t xml:space="preserve">Responder updated this value.</t>
      </text>
    </comment>
    <comment authorId="0" ref="BW324">
      <text>
        <t xml:space="preserve">Responder updated this value.</t>
      </text>
    </comment>
    <comment authorId="0" ref="AL325">
      <text>
        <t xml:space="preserve">Responder updated this value.</t>
      </text>
    </comment>
    <comment authorId="0" ref="AR325">
      <text>
        <t xml:space="preserve">Responder updated this value.</t>
      </text>
    </comment>
    <comment authorId="0" ref="BQ325">
      <text>
        <t xml:space="preserve">Responder updated this value.</t>
      </text>
    </comment>
    <comment authorId="0" ref="BT325">
      <text>
        <t xml:space="preserve">Responder updated this value.</t>
      </text>
    </comment>
    <comment authorId="0" ref="BW325">
      <text>
        <t xml:space="preserve">Responder updated this value.</t>
      </text>
    </comment>
    <comment authorId="0" ref="AO326">
      <text>
        <t xml:space="preserve">Responder updated this value.</t>
      </text>
    </comment>
    <comment authorId="0" ref="AP326">
      <text>
        <t xml:space="preserve">Responder updated this value.</t>
      </text>
    </comment>
    <comment authorId="0" ref="AW326">
      <text>
        <t xml:space="preserve">Responder updated this value.</t>
      </text>
    </comment>
    <comment authorId="0" ref="BQ326">
      <text>
        <t xml:space="preserve">Responder updated this value.</t>
      </text>
    </comment>
    <comment authorId="0" ref="W327">
      <text>
        <t xml:space="preserve">Responder updated this value.</t>
      </text>
    </comment>
    <comment authorId="0" ref="BQ327">
      <text>
        <t xml:space="preserve">Responder updated this value.</t>
      </text>
    </comment>
    <comment authorId="0" ref="AP328">
      <text>
        <t xml:space="preserve">Responder updated this value.</t>
      </text>
    </comment>
    <comment authorId="0" ref="AQ328">
      <text>
        <t xml:space="preserve">Responder updated this value.</t>
      </text>
    </comment>
    <comment authorId="0" ref="AS328">
      <text>
        <t xml:space="preserve">Responder updated this value.</t>
      </text>
    </comment>
    <comment authorId="0" ref="AW328">
      <text>
        <t xml:space="preserve">Responder updated this value.</t>
      </text>
    </comment>
    <comment authorId="0" ref="BB328">
      <text>
        <t xml:space="preserve">Responder updated this value.</t>
      </text>
    </comment>
    <comment authorId="0" ref="BC328">
      <text>
        <t xml:space="preserve">Responder updated this value.</t>
      </text>
    </comment>
    <comment authorId="0" ref="BD328">
      <text>
        <t xml:space="preserve">Responder updated this value.</t>
      </text>
    </comment>
    <comment authorId="0" ref="BJ328">
      <text>
        <t xml:space="preserve">Responder updated this value.</t>
      </text>
    </comment>
    <comment authorId="0" ref="BQ328">
      <text>
        <t xml:space="preserve">Responder updated this value.</t>
      </text>
    </comment>
    <comment authorId="0" ref="BT328">
      <text>
        <t xml:space="preserve">Responder updated this value.</t>
      </text>
    </comment>
    <comment authorId="0" ref="BU328">
      <text>
        <t xml:space="preserve">Responder updated this value.</t>
      </text>
    </comment>
    <comment authorId="0" ref="BV328">
      <text>
        <t xml:space="preserve">Responder updated this value.</t>
      </text>
    </comment>
    <comment authorId="0" ref="BW328">
      <text>
        <t xml:space="preserve">Responder updated this value.</t>
      </text>
    </comment>
    <comment authorId="0" ref="I337">
      <text>
        <t xml:space="preserve">Responder updated this value.</t>
      </text>
    </comment>
    <comment authorId="0" ref="P337">
      <text>
        <t xml:space="preserve">Responder updated this value.</t>
      </text>
    </comment>
    <comment authorId="0" ref="AO337">
      <text>
        <t xml:space="preserve">Responder updated this value.</t>
      </text>
    </comment>
    <comment authorId="0" ref="AP337">
      <text>
        <t xml:space="preserve">Responder updated this value.</t>
      </text>
    </comment>
    <comment authorId="0" ref="AQ337">
      <text>
        <t xml:space="preserve">Responder updated this value.</t>
      </text>
    </comment>
    <comment authorId="0" ref="AR337">
      <text>
        <t xml:space="preserve">Responder updated this value.</t>
      </text>
    </comment>
    <comment authorId="0" ref="AS337">
      <text>
        <t xml:space="preserve">Responder updated this value.</t>
      </text>
    </comment>
    <comment authorId="0" ref="AW337">
      <text>
        <t xml:space="preserve">Responder updated this value.</t>
      </text>
    </comment>
    <comment authorId="0" ref="BJ337">
      <text>
        <t xml:space="preserve">Responder updated this value.</t>
      </text>
    </comment>
    <comment authorId="0" ref="BQ337">
      <text>
        <t xml:space="preserve">Responder updated this value.</t>
      </text>
    </comment>
    <comment authorId="0" ref="P338">
      <text>
        <t xml:space="preserve">Responder updated this value.</t>
      </text>
    </comment>
    <comment authorId="0" ref="AW338">
      <text>
        <t xml:space="preserve">Responder updated this value.</t>
      </text>
    </comment>
    <comment authorId="0" ref="BQ338">
      <text>
        <t xml:space="preserve">Responder updated this value.</t>
      </text>
    </comment>
    <comment authorId="0" ref="AL339">
      <text>
        <t xml:space="preserve">Responder updated this value.</t>
      </text>
    </comment>
    <comment authorId="0" ref="AM339">
      <text>
        <t xml:space="preserve">Responder updated this value.</t>
      </text>
    </comment>
    <comment authorId="0" ref="BJ339">
      <text>
        <t xml:space="preserve">Responder updated this value.</t>
      </text>
    </comment>
    <comment authorId="0" ref="BQ339">
      <text>
        <t xml:space="preserve">Responder updated this value.</t>
      </text>
    </comment>
    <comment authorId="0" ref="BT339">
      <text>
        <t xml:space="preserve">Responder updated this value.</t>
      </text>
    </comment>
    <comment authorId="0" ref="BU339">
      <text>
        <t xml:space="preserve">Responder updated this value.</t>
      </text>
    </comment>
    <comment authorId="0" ref="BV339">
      <text>
        <t xml:space="preserve">Responder updated this value.</t>
      </text>
    </comment>
    <comment authorId="0" ref="BW339">
      <text>
        <t xml:space="preserve">Responder updated this value.</t>
      </text>
    </comment>
    <comment authorId="0" ref="AW340">
      <text>
        <t xml:space="preserve">Responder updated this value.</t>
      </text>
    </comment>
    <comment authorId="0" ref="AX340">
      <text>
        <t xml:space="preserve">Responder updated this value.</t>
      </text>
    </comment>
    <comment authorId="0" ref="BQ340">
      <text>
        <t xml:space="preserve">Responder updated this value.</t>
      </text>
    </comment>
    <comment authorId="0" ref="AL341">
      <text>
        <t xml:space="preserve">Responder updated this value.</t>
      </text>
    </comment>
    <comment authorId="0" ref="AM341">
      <text>
        <t xml:space="preserve">Responder updated this value.</t>
      </text>
    </comment>
    <comment authorId="0" ref="BB341">
      <text>
        <t xml:space="preserve">Responder updated this value.</t>
      </text>
    </comment>
    <comment authorId="0" ref="BJ341">
      <text>
        <t xml:space="preserve">Responder updated this value.</t>
      </text>
    </comment>
    <comment authorId="0" ref="BL341">
      <text>
        <t xml:space="preserve">Responder updated this value.</t>
      </text>
    </comment>
    <comment authorId="0" ref="BP341">
      <text>
        <t xml:space="preserve">Responder updated this value.</t>
      </text>
    </comment>
    <comment authorId="0" ref="BQ341">
      <text>
        <t xml:space="preserve">Responder updated this value.</t>
      </text>
    </comment>
    <comment authorId="0" ref="BT341">
      <text>
        <t xml:space="preserve">Responder updated this value.</t>
      </text>
    </comment>
    <comment authorId="0" ref="BW341">
      <text>
        <t xml:space="preserve">Responder updated this value.</t>
      </text>
    </comment>
    <comment authorId="0" ref="AL342">
      <text>
        <t xml:space="preserve">Responder updated this value.</t>
      </text>
    </comment>
    <comment authorId="0" ref="AM342">
      <text>
        <t xml:space="preserve">Responder updated this value.</t>
      </text>
    </comment>
    <comment authorId="0" ref="AN342">
      <text>
        <t xml:space="preserve">Responder updated this value.</t>
      </text>
    </comment>
    <comment authorId="0" ref="AO342">
      <text>
        <t xml:space="preserve">Responder updated this value.</t>
      </text>
    </comment>
    <comment authorId="0" ref="AP342">
      <text>
        <t xml:space="preserve">Responder updated this value.</t>
      </text>
    </comment>
    <comment authorId="0" ref="AQ342">
      <text>
        <t xml:space="preserve">Responder updated this value.</t>
      </text>
    </comment>
    <comment authorId="0" ref="AR342">
      <text>
        <t xml:space="preserve">Responder updated this value.</t>
      </text>
    </comment>
    <comment authorId="0" ref="AS342">
      <text>
        <t xml:space="preserve">Responder updated this value.</t>
      </text>
    </comment>
    <comment authorId="0" ref="AT342">
      <text>
        <t xml:space="preserve">Responder updated this value.</t>
      </text>
    </comment>
    <comment authorId="0" ref="AW342">
      <text>
        <t xml:space="preserve">Responder updated this value.</t>
      </text>
    </comment>
    <comment authorId="0" ref="BB342">
      <text>
        <t xml:space="preserve">Responder updated this value.</t>
      </text>
    </comment>
    <comment authorId="0" ref="BC342">
      <text>
        <t xml:space="preserve">Responder updated this value.</t>
      </text>
    </comment>
    <comment authorId="0" ref="BG342">
      <text>
        <t xml:space="preserve">Responder updated this value.</t>
      </text>
    </comment>
    <comment authorId="0" ref="BJ342">
      <text>
        <t xml:space="preserve">Responder updated this value.</t>
      </text>
    </comment>
    <comment authorId="0" ref="BM342">
      <text>
        <t xml:space="preserve">Responder updated this value.</t>
      </text>
    </comment>
    <comment authorId="0" ref="BQ342">
      <text>
        <t xml:space="preserve">Responder updated this value.</t>
      </text>
    </comment>
    <comment authorId="0" ref="BT342">
      <text>
        <t xml:space="preserve">Responder updated this value.</t>
      </text>
    </comment>
    <comment authorId="0" ref="BW342">
      <text>
        <t xml:space="preserve">Responder updated this value.</t>
      </text>
    </comment>
    <comment authorId="0" ref="AQ343">
      <text>
        <t xml:space="preserve">Responder updated this value.</t>
      </text>
    </comment>
    <comment authorId="0" ref="AR343">
      <text>
        <t xml:space="preserve">Responder updated this value.</t>
      </text>
    </comment>
    <comment authorId="0" ref="AS343">
      <text>
        <t xml:space="preserve">Responder updated this value.</t>
      </text>
    </comment>
    <comment authorId="0" ref="BL343">
      <text>
        <t xml:space="preserve">Responder updated this value.</t>
      </text>
    </comment>
    <comment authorId="0" ref="BM343">
      <text>
        <t xml:space="preserve">Responder updated this value.</t>
      </text>
    </comment>
    <comment authorId="0" ref="BQ343">
      <text>
        <t xml:space="preserve">Responder updated this value.</t>
      </text>
    </comment>
    <comment authorId="0" ref="BR343">
      <text>
        <t xml:space="preserve">Responder updated this value.</t>
      </text>
    </comment>
    <comment authorId="0" ref="BS343">
      <text>
        <t xml:space="preserve">Responder updated this value.</t>
      </text>
    </comment>
    <comment authorId="0" ref="BT343">
      <text>
        <t xml:space="preserve">Responder updated this value.</t>
      </text>
    </comment>
    <comment authorId="0" ref="BU343">
      <text>
        <t xml:space="preserve">Responder updated this value.</t>
      </text>
    </comment>
    <comment authorId="0" ref="BV343">
      <text>
        <t xml:space="preserve">Responder updated this value.</t>
      </text>
    </comment>
    <comment authorId="0" ref="BW343">
      <text>
        <t xml:space="preserve">Responder updated this value.</t>
      </text>
    </comment>
    <comment authorId="0" ref="AW344">
      <text>
        <t xml:space="preserve">Responder updated this value.</t>
      </text>
    </comment>
    <comment authorId="0" ref="BJ344">
      <text>
        <t xml:space="preserve">Responder updated this value.</t>
      </text>
    </comment>
    <comment authorId="0" ref="BL344">
      <text>
        <t xml:space="preserve">Responder updated this value.</t>
      </text>
    </comment>
    <comment authorId="0" ref="BM344">
      <text>
        <t xml:space="preserve">Responder updated this value.</t>
      </text>
    </comment>
    <comment authorId="0" ref="BQ344">
      <text>
        <t xml:space="preserve">Responder updated this value.</t>
      </text>
    </comment>
    <comment authorId="0" ref="AN345">
      <text>
        <t xml:space="preserve">Responder updated this value.</t>
      </text>
    </comment>
    <comment authorId="0" ref="AW345">
      <text>
        <t xml:space="preserve">Responder updated this value.</t>
      </text>
    </comment>
    <comment authorId="0" ref="AX345">
      <text>
        <t xml:space="preserve">Responder updated this value.</t>
      </text>
    </comment>
    <comment authorId="0" ref="BJ345">
      <text>
        <t xml:space="preserve">Responder updated this value.</t>
      </text>
    </comment>
    <comment authorId="0" ref="BQ345">
      <text>
        <t xml:space="preserve">Responder updated this value.</t>
      </text>
    </comment>
    <comment authorId="0" ref="BR345">
      <text>
        <t xml:space="preserve">Responder updated this value.</t>
      </text>
    </comment>
    <comment authorId="0" ref="BW345">
      <text>
        <t xml:space="preserve">Responder updated this value.</t>
      </text>
    </comment>
    <comment authorId="0" ref="AW346">
      <text>
        <t xml:space="preserve">Responder updated this value.</t>
      </text>
    </comment>
    <comment authorId="0" ref="BJ346">
      <text>
        <t xml:space="preserve">Responder updated this value.</t>
      </text>
    </comment>
    <comment authorId="0" ref="BQ346">
      <text>
        <t xml:space="preserve">Responder updated this value.</t>
      </text>
    </comment>
    <comment authorId="0" ref="BR346">
      <text>
        <t xml:space="preserve">Responder updated this value.</t>
      </text>
    </comment>
    <comment authorId="0" ref="BT346">
      <text>
        <t xml:space="preserve">Responder updated this value.</t>
      </text>
    </comment>
    <comment authorId="0" ref="BW346">
      <text>
        <t xml:space="preserve">Responder updated this value.</t>
      </text>
    </comment>
    <comment authorId="0" ref="Z347">
      <text>
        <t xml:space="preserve">Responder updated this value.</t>
      </text>
    </comment>
    <comment authorId="0" ref="AA347">
      <text>
        <t xml:space="preserve">Responder updated this value.</t>
      </text>
    </comment>
    <comment authorId="0" ref="AF347">
      <text>
        <t xml:space="preserve">Responder updated this value.</t>
      </text>
    </comment>
    <comment authorId="0" ref="AG347">
      <text>
        <t xml:space="preserve">Responder updated this value.</t>
      </text>
    </comment>
    <comment authorId="0" ref="AQ347">
      <text>
        <t xml:space="preserve">Responder updated this value.</t>
      </text>
    </comment>
    <comment authorId="0" ref="AR347">
      <text>
        <t xml:space="preserve">Responder updated this value.</t>
      </text>
    </comment>
    <comment authorId="0" ref="BE347">
      <text>
        <t xml:space="preserve">Responder updated this value.</t>
      </text>
    </comment>
    <comment authorId="0" ref="BH347">
      <text>
        <t xml:space="preserve">Responder updated this value.</t>
      </text>
    </comment>
    <comment authorId="0" ref="BI347">
      <text>
        <t xml:space="preserve">Responder updated this value.</t>
      </text>
    </comment>
    <comment authorId="0" ref="BL347">
      <text>
        <t xml:space="preserve">Responder updated this value.</t>
      </text>
    </comment>
    <comment authorId="0" ref="BM347">
      <text>
        <t xml:space="preserve">Responder updated this value.</t>
      </text>
    </comment>
    <comment authorId="0" ref="BQ347">
      <text>
        <t xml:space="preserve">Responder updated this value.</t>
      </text>
    </comment>
    <comment authorId="0" ref="BW347">
      <text>
        <t xml:space="preserve">Responder updated this value.</t>
      </text>
    </comment>
    <comment authorId="0" ref="BJ348">
      <text>
        <t xml:space="preserve">Responder updated this value.</t>
      </text>
    </comment>
    <comment authorId="0" ref="BN348">
      <text>
        <t xml:space="preserve">Responder updated this value.</t>
      </text>
    </comment>
    <comment authorId="0" ref="BQ348">
      <text>
        <t xml:space="preserve">Responder updated this value.</t>
      </text>
    </comment>
    <comment authorId="0" ref="BT348">
      <text>
        <t xml:space="preserve">Responder updated this value.</t>
      </text>
    </comment>
    <comment authorId="0" ref="BU348">
      <text>
        <t xml:space="preserve">Responder updated this value.</t>
      </text>
    </comment>
    <comment authorId="0" ref="BV348">
      <text>
        <t xml:space="preserve">Responder updated this value.</t>
      </text>
    </comment>
    <comment authorId="0" ref="BW348">
      <text>
        <t xml:space="preserve">Responder updated this value.</t>
      </text>
    </comment>
    <comment authorId="0" ref="AL349">
      <text>
        <t xml:space="preserve">Responder updated this value.</t>
      </text>
    </comment>
    <comment authorId="0" ref="AM349">
      <text>
        <t xml:space="preserve">Responder updated this value.</t>
      </text>
    </comment>
    <comment authorId="0" ref="AU349">
      <text>
        <t xml:space="preserve">Responder updated this value.</t>
      </text>
    </comment>
    <comment authorId="0" ref="BJ349">
      <text>
        <t xml:space="preserve">Responder updated this value.</t>
      </text>
    </comment>
    <comment authorId="0" ref="BL349">
      <text>
        <t xml:space="preserve">Responder updated this value.</t>
      </text>
    </comment>
    <comment authorId="0" ref="BM349">
      <text>
        <t xml:space="preserve">Responder updated this value.</t>
      </text>
    </comment>
    <comment authorId="0" ref="BQ349">
      <text>
        <t xml:space="preserve">Responder updated this value.</t>
      </text>
    </comment>
    <comment authorId="0" ref="BW349">
      <text>
        <t xml:space="preserve">Responder updated this value.</t>
      </text>
    </comment>
    <comment authorId="0" ref="AO350">
      <text>
        <t xml:space="preserve">Responder updated this value.</t>
      </text>
    </comment>
    <comment authorId="0" ref="AR350">
      <text>
        <t xml:space="preserve">Responder updated this value.</t>
      </text>
    </comment>
    <comment authorId="0" ref="AS350">
      <text>
        <t xml:space="preserve">Responder updated this value.</t>
      </text>
    </comment>
    <comment authorId="0" ref="AT350">
      <text>
        <t xml:space="preserve">Responder updated this value.</t>
      </text>
    </comment>
    <comment authorId="0" ref="AW350">
      <text>
        <t xml:space="preserve">Responder updated this value.</t>
      </text>
    </comment>
    <comment authorId="0" ref="BA350">
      <text>
        <t xml:space="preserve">Responder updated this value.</t>
      </text>
    </comment>
    <comment authorId="0" ref="BG350">
      <text>
        <t xml:space="preserve">Responder updated this value.</t>
      </text>
    </comment>
    <comment authorId="0" ref="BI350">
      <text>
        <t xml:space="preserve">Responder updated this value.</t>
      </text>
    </comment>
    <comment authorId="0" ref="BN350">
      <text>
        <t xml:space="preserve">Responder updated this value.</t>
      </text>
    </comment>
    <comment authorId="0" ref="BQ350">
      <text>
        <t xml:space="preserve">Responder updated this value.</t>
      </text>
    </comment>
    <comment authorId="0" ref="BS350">
      <text>
        <t xml:space="preserve">Responder updated this value.</t>
      </text>
    </comment>
    <comment authorId="0" ref="BT350">
      <text>
        <t xml:space="preserve">Responder updated this value.</t>
      </text>
    </comment>
    <comment authorId="0" ref="BV350">
      <text>
        <t xml:space="preserve">Responder updated this value.</t>
      </text>
    </comment>
    <comment authorId="0" ref="BW350">
      <text>
        <t xml:space="preserve">Responder updated this value.</t>
      </text>
    </comment>
    <comment authorId="0" ref="AF351">
      <text>
        <t xml:space="preserve">Responder updated this value.</t>
      </text>
    </comment>
    <comment authorId="0" ref="AG351">
      <text>
        <t xml:space="preserve">Responder updated this value.</t>
      </text>
    </comment>
    <comment authorId="0" ref="AS351">
      <text>
        <t xml:space="preserve">Responder updated this value.</t>
      </text>
    </comment>
    <comment authorId="0" ref="AU351">
      <text>
        <t xml:space="preserve">Responder updated this value.</t>
      </text>
    </comment>
    <comment authorId="0" ref="AV351">
      <text>
        <t xml:space="preserve">Responder updated this value.</t>
      </text>
    </comment>
    <comment authorId="0" ref="AW351">
      <text>
        <t xml:space="preserve">Responder updated this value.</t>
      </text>
    </comment>
    <comment authorId="0" ref="BN351">
      <text>
        <t xml:space="preserve">Responder updated this value.</t>
      </text>
    </comment>
    <comment authorId="0" ref="BP351">
      <text>
        <t xml:space="preserve">Responder updated this value.</t>
      </text>
    </comment>
    <comment authorId="0" ref="BQ351">
      <text>
        <t xml:space="preserve">Responder updated this value.</t>
      </text>
    </comment>
    <comment authorId="0" ref="BS351">
      <text>
        <t xml:space="preserve">Responder updated this value.</t>
      </text>
    </comment>
    <comment authorId="0" ref="BW351">
      <text>
        <t xml:space="preserve">Responder updated this value.</t>
      </text>
    </comment>
    <comment authorId="0" ref="AQ352">
      <text>
        <t xml:space="preserve">Responder updated this value.</t>
      </text>
    </comment>
    <comment authorId="0" ref="AS352">
      <text>
        <t xml:space="preserve">Responder updated this value.</t>
      </text>
    </comment>
    <comment authorId="0" ref="BQ352">
      <text>
        <t xml:space="preserve">Responder updated this value.</t>
      </text>
    </comment>
    <comment authorId="0" ref="BR352">
      <text>
        <t xml:space="preserve">Responder updated this value.</t>
      </text>
    </comment>
    <comment authorId="0" ref="BT352">
      <text>
        <t xml:space="preserve">Responder updated this value.</t>
      </text>
    </comment>
    <comment authorId="0" ref="BW352">
      <text>
        <t xml:space="preserve">Responder updated this value.</t>
      </text>
    </comment>
    <comment authorId="0" ref="AL353">
      <text>
        <t xml:space="preserve">Responder updated this value.</t>
      </text>
    </comment>
    <comment authorId="0" ref="AM353">
      <text>
        <t xml:space="preserve">Responder updated this value.</t>
      </text>
    </comment>
    <comment authorId="0" ref="AV353">
      <text>
        <t xml:space="preserve">Responder updated this value.</t>
      </text>
    </comment>
    <comment authorId="0" ref="AW353">
      <text>
        <t xml:space="preserve">Responder updated this value.</t>
      </text>
    </comment>
    <comment authorId="0" ref="BJ353">
      <text>
        <t xml:space="preserve">Responder updated this value.</t>
      </text>
    </comment>
    <comment authorId="0" ref="BL353">
      <text>
        <t xml:space="preserve">Responder updated this value.</t>
      </text>
    </comment>
    <comment authorId="0" ref="BM353">
      <text>
        <t xml:space="preserve">Responder updated this value.</t>
      </text>
    </comment>
    <comment authorId="0" ref="BN353">
      <text>
        <t xml:space="preserve">Responder updated this value.</t>
      </text>
    </comment>
    <comment authorId="0" ref="BP353">
      <text>
        <t xml:space="preserve">Responder updated this value.</t>
      </text>
    </comment>
    <comment authorId="0" ref="BQ353">
      <text>
        <t xml:space="preserve">Responder updated this value.</t>
      </text>
    </comment>
    <comment authorId="0" ref="BR353">
      <text>
        <t xml:space="preserve">Responder updated this value.</t>
      </text>
    </comment>
    <comment authorId="0" ref="BS353">
      <text>
        <t xml:space="preserve">Responder updated this value.</t>
      </text>
    </comment>
    <comment authorId="0" ref="BT353">
      <text>
        <t xml:space="preserve">Responder updated this value.</t>
      </text>
    </comment>
    <comment authorId="0" ref="BW353">
      <text>
        <t xml:space="preserve">Responder updated this value.</t>
      </text>
    </comment>
    <comment authorId="0" ref="BQ354">
      <text>
        <t xml:space="preserve">Responder updated this value.</t>
      </text>
    </comment>
    <comment authorId="0" ref="BQ355">
      <text>
        <t xml:space="preserve">Responder updated this value.</t>
      </text>
    </comment>
    <comment authorId="0" ref="BQ356">
      <text>
        <t xml:space="preserve">Responder updated this value.</t>
      </text>
    </comment>
    <comment authorId="0" ref="BJ357">
      <text>
        <t xml:space="preserve">Responder updated this value.</t>
      </text>
    </comment>
    <comment authorId="0" ref="BN357">
      <text>
        <t xml:space="preserve">Responder updated this value.</t>
      </text>
    </comment>
    <comment authorId="0" ref="BP357">
      <text>
        <t xml:space="preserve">Responder updated this value.</t>
      </text>
    </comment>
    <comment authorId="0" ref="BQ357">
      <text>
        <t xml:space="preserve">Responder updated this value.</t>
      </text>
    </comment>
    <comment authorId="0" ref="BW357">
      <text>
        <t xml:space="preserve">Responder updated this value.</t>
      </text>
    </comment>
    <comment authorId="0" ref="W358">
      <text>
        <t xml:space="preserve">Responder updated this value.</t>
      </text>
    </comment>
    <comment authorId="0" ref="AO358">
      <text>
        <t xml:space="preserve">Responder updated this value.</t>
      </text>
    </comment>
    <comment authorId="0" ref="AP358">
      <text>
        <t xml:space="preserve">Responder updated this value.</t>
      </text>
    </comment>
    <comment authorId="0" ref="BJ358">
      <text>
        <t xml:space="preserve">Responder updated this value.</t>
      </text>
    </comment>
    <comment authorId="0" ref="BW358">
      <text>
        <t xml:space="preserve">Responder updated this value.</t>
      </text>
    </comment>
    <comment authorId="0" ref="BI359">
      <text>
        <t xml:space="preserve">Responder updated this value.</t>
      </text>
    </comment>
    <comment authorId="0" ref="BQ359">
      <text>
        <t xml:space="preserve">Responder updated this value.</t>
      </text>
    </comment>
    <comment authorId="0" ref="BU359">
      <text>
        <t xml:space="preserve">Responder updated this value.</t>
      </text>
    </comment>
    <comment authorId="0" ref="BV359">
      <text>
        <t xml:space="preserve">Responder updated this value.</t>
      </text>
    </comment>
    <comment authorId="0" ref="BW359">
      <text>
        <t xml:space="preserve">Responder updated this value.</t>
      </text>
    </comment>
    <comment authorId="0" ref="AQ360">
      <text>
        <t xml:space="preserve">Responder updated this value.</t>
      </text>
    </comment>
    <comment authorId="0" ref="AW360">
      <text>
        <t xml:space="preserve">Responder updated this value.</t>
      </text>
    </comment>
    <comment authorId="0" ref="BJ360">
      <text>
        <t xml:space="preserve">Responder updated this value.</t>
      </text>
    </comment>
    <comment authorId="0" ref="BQ360">
      <text>
        <t xml:space="preserve">Responder updated this value.</t>
      </text>
    </comment>
    <comment authorId="0" ref="AS361">
      <text>
        <t xml:space="preserve">Responder updated this value.</t>
      </text>
    </comment>
    <comment authorId="0" ref="BA361">
      <text>
        <t xml:space="preserve">Responder updated this value.</t>
      </text>
    </comment>
    <comment authorId="0" ref="BB361">
      <text>
        <t xml:space="preserve">Responder updated this value.</t>
      </text>
    </comment>
    <comment authorId="0" ref="BC361">
      <text>
        <t xml:space="preserve">Responder updated this value.</t>
      </text>
    </comment>
    <comment authorId="0" ref="BJ361">
      <text>
        <t xml:space="preserve">Responder updated this value.</t>
      </text>
    </comment>
    <comment authorId="0" ref="BQ361">
      <text>
        <t xml:space="preserve">Responder updated this value.</t>
      </text>
    </comment>
    <comment authorId="0" ref="AP362">
      <text>
        <t xml:space="preserve">Responder updated this value.</t>
      </text>
    </comment>
    <comment authorId="0" ref="AQ362">
      <text>
        <t xml:space="preserve">Responder updated this value.</t>
      </text>
    </comment>
    <comment authorId="0" ref="AR362">
      <text>
        <t xml:space="preserve">Responder updated this value.</t>
      </text>
    </comment>
    <comment authorId="0" ref="AW362">
      <text>
        <t xml:space="preserve">Responder updated this value.</t>
      </text>
    </comment>
    <comment authorId="0" ref="AX362">
      <text>
        <t xml:space="preserve">Responder updated this value.</t>
      </text>
    </comment>
    <comment authorId="0" ref="BI362">
      <text>
        <t xml:space="preserve">Responder updated this value.</t>
      </text>
    </comment>
    <comment authorId="0" ref="BL362">
      <text>
        <t xml:space="preserve">Responder updated this value.</t>
      </text>
    </comment>
    <comment authorId="0" ref="BM362">
      <text>
        <t xml:space="preserve">Responder updated this value.</t>
      </text>
    </comment>
    <comment authorId="0" ref="BN362">
      <text>
        <t xml:space="preserve">Responder updated this value.</t>
      </text>
    </comment>
    <comment authorId="0" ref="BQ362">
      <text>
        <t xml:space="preserve">Responder updated this value.</t>
      </text>
    </comment>
    <comment authorId="0" ref="P363">
      <text>
        <t xml:space="preserve">Responder updated this value.</t>
      </text>
    </comment>
    <comment authorId="0" ref="Z363">
      <text>
        <t xml:space="preserve">Responder updated this value.</t>
      </text>
    </comment>
    <comment authorId="0" ref="AB363">
      <text>
        <t xml:space="preserve">Responder updated this value.</t>
      </text>
    </comment>
    <comment authorId="0" ref="AC363">
      <text>
        <t xml:space="preserve">Responder updated this value.</t>
      </text>
    </comment>
    <comment authorId="0" ref="AN363">
      <text>
        <t xml:space="preserve">Responder updated this value.</t>
      </text>
    </comment>
    <comment authorId="0" ref="AP363">
      <text>
        <t xml:space="preserve">Responder updated this value.</t>
      </text>
    </comment>
    <comment authorId="0" ref="AQ363">
      <text>
        <t xml:space="preserve">Responder updated this value.</t>
      </text>
    </comment>
    <comment authorId="0" ref="AR363">
      <text>
        <t xml:space="preserve">Responder updated this value.</t>
      </text>
    </comment>
    <comment authorId="0" ref="AS363">
      <text>
        <t xml:space="preserve">Responder updated this value.</t>
      </text>
    </comment>
    <comment authorId="0" ref="AU363">
      <text>
        <t xml:space="preserve">Responder updated this value.</t>
      </text>
    </comment>
    <comment authorId="0" ref="AV363">
      <text>
        <t xml:space="preserve">Responder updated this value.</t>
      </text>
    </comment>
    <comment authorId="0" ref="AW363">
      <text>
        <t xml:space="preserve">Responder updated this value.</t>
      </text>
    </comment>
    <comment authorId="0" ref="AY363">
      <text>
        <t xml:space="preserve">Responder updated this value.</t>
      </text>
    </comment>
    <comment authorId="0" ref="BB363">
      <text>
        <t xml:space="preserve">Responder updated this value.</t>
      </text>
    </comment>
    <comment authorId="0" ref="BC363">
      <text>
        <t xml:space="preserve">Responder updated this value.</t>
      </text>
    </comment>
    <comment authorId="0" ref="BE363">
      <text>
        <t xml:space="preserve">Responder updated this value.</t>
      </text>
    </comment>
    <comment authorId="0" ref="BH363">
      <text>
        <t xml:space="preserve">Responder updated this value.</t>
      </text>
    </comment>
    <comment authorId="0" ref="BI363">
      <text>
        <t xml:space="preserve">Responder updated this value.</t>
      </text>
    </comment>
    <comment authorId="0" ref="BJ363">
      <text>
        <t xml:space="preserve">Responder updated this value.</t>
      </text>
    </comment>
    <comment authorId="0" ref="BQ363">
      <text>
        <t xml:space="preserve">Responder updated this value.</t>
      </text>
    </comment>
    <comment authorId="0" ref="BR363">
      <text>
        <t xml:space="preserve">Responder updated this value.</t>
      </text>
    </comment>
    <comment authorId="0" ref="BT363">
      <text>
        <t xml:space="preserve">Responder updated this value.</t>
      </text>
    </comment>
    <comment authorId="0" ref="BV363">
      <text>
        <t xml:space="preserve">Responder updated this value.</t>
      </text>
    </comment>
    <comment authorId="0" ref="BW363">
      <text>
        <t xml:space="preserve">Responder updated this value.</t>
      </text>
    </comment>
    <comment authorId="0" ref="AL364">
      <text>
        <t xml:space="preserve">Responder updated this value.</t>
      </text>
    </comment>
    <comment authorId="0" ref="AM364">
      <text>
        <t xml:space="preserve">Responder updated this value.</t>
      </text>
    </comment>
    <comment authorId="0" ref="AV364">
      <text>
        <t xml:space="preserve">Responder updated this value.</t>
      </text>
    </comment>
    <comment authorId="0" ref="BB364">
      <text>
        <t xml:space="preserve">Responder updated this value.</t>
      </text>
    </comment>
    <comment authorId="0" ref="BJ364">
      <text>
        <t xml:space="preserve">Responder updated this value.</t>
      </text>
    </comment>
    <comment authorId="0" ref="BL364">
      <text>
        <t xml:space="preserve">Responder updated this value.</t>
      </text>
    </comment>
    <comment authorId="0" ref="BM364">
      <text>
        <t xml:space="preserve">Responder updated this value.</t>
      </text>
    </comment>
    <comment authorId="0" ref="BQ364">
      <text>
        <t xml:space="preserve">Responder updated this value.</t>
      </text>
    </comment>
    <comment authorId="0" ref="P365">
      <text>
        <t xml:space="preserve">Responder updated this value.</t>
      </text>
    </comment>
    <comment authorId="0" ref="AM365">
      <text>
        <t xml:space="preserve">Responder updated this value.</t>
      </text>
    </comment>
    <comment authorId="0" ref="AR365">
      <text>
        <t xml:space="preserve">Responder updated this value.</t>
      </text>
    </comment>
    <comment authorId="0" ref="AV365">
      <text>
        <t xml:space="preserve">Responder updated this value.</t>
      </text>
    </comment>
    <comment authorId="0" ref="BJ365">
      <text>
        <t xml:space="preserve">Responder updated this value.</t>
      </text>
    </comment>
    <comment authorId="0" ref="BQ365">
      <text>
        <t xml:space="preserve">Responder updated this value.</t>
      </text>
    </comment>
    <comment authorId="0" ref="BU365">
      <text>
        <t xml:space="preserve">Responder updated this value.</t>
      </text>
    </comment>
    <comment authorId="0" ref="BV365">
      <text>
        <t xml:space="preserve">Responder updated this value.</t>
      </text>
    </comment>
    <comment authorId="0" ref="BW365">
      <text>
        <t xml:space="preserve">Responder updated this value.</t>
      </text>
    </comment>
    <comment authorId="0" ref="AV366">
      <text>
        <t xml:space="preserve">Responder updated this value.</t>
      </text>
    </comment>
    <comment authorId="0" ref="BC366">
      <text>
        <t xml:space="preserve">Responder updated this value.</t>
      </text>
    </comment>
    <comment authorId="0" ref="BJ366">
      <text>
        <t xml:space="preserve">Responder updated this value.</t>
      </text>
    </comment>
    <comment authorId="0" ref="BL366">
      <text>
        <t xml:space="preserve">Responder updated this value.</t>
      </text>
    </comment>
    <comment authorId="0" ref="BM366">
      <text>
        <t xml:space="preserve">Responder updated this value.</t>
      </text>
    </comment>
    <comment authorId="0" ref="BQ366">
      <text>
        <t xml:space="preserve">Responder updated this value.</t>
      </text>
    </comment>
    <comment authorId="0" ref="BT366">
      <text>
        <t xml:space="preserve">Responder updated this value.</t>
      </text>
    </comment>
    <comment authorId="0" ref="BW366">
      <text>
        <t xml:space="preserve">Responder updated this value.</t>
      </text>
    </comment>
    <comment authorId="0" ref="AT367">
      <text>
        <t xml:space="preserve">Responder updated this value.</t>
      </text>
    </comment>
    <comment authorId="0" ref="BJ367">
      <text>
        <t xml:space="preserve">Responder updated this value.</t>
      </text>
    </comment>
    <comment authorId="0" ref="BL367">
      <text>
        <t xml:space="preserve">Responder updated this value.</t>
      </text>
    </comment>
    <comment authorId="0" ref="BM367">
      <text>
        <t xml:space="preserve">Responder updated this value.</t>
      </text>
    </comment>
    <comment authorId="0" ref="BQ367">
      <text>
        <t xml:space="preserve">Responder updated this value.</t>
      </text>
    </comment>
    <comment authorId="0" ref="BW367">
      <text>
        <t xml:space="preserve">Responder updated this value.</t>
      </text>
    </comment>
    <comment authorId="0" ref="BJ368">
      <text>
        <t xml:space="preserve">Responder updated this value.</t>
      </text>
    </comment>
    <comment authorId="0" ref="BQ368">
      <text>
        <t xml:space="preserve">Responder updated this value.</t>
      </text>
    </comment>
    <comment authorId="0" ref="AR369">
      <text>
        <t xml:space="preserve">Responder updated this value.</t>
      </text>
    </comment>
    <comment authorId="0" ref="AS369">
      <text>
        <t xml:space="preserve">Responder updated this value.</t>
      </text>
    </comment>
    <comment authorId="0" ref="BJ369">
      <text>
        <t xml:space="preserve">Responder updated this value.</t>
      </text>
    </comment>
    <comment authorId="0" ref="BQ369">
      <text>
        <t xml:space="preserve">Responder updated this value.</t>
      </text>
    </comment>
    <comment authorId="0" ref="BT369">
      <text>
        <t xml:space="preserve">Responder updated this value.</t>
      </text>
    </comment>
    <comment authorId="0" ref="BU369">
      <text>
        <t xml:space="preserve">Responder updated this value.</t>
      </text>
    </comment>
    <comment authorId="0" ref="BV369">
      <text>
        <t xml:space="preserve">Responder updated this value.</t>
      </text>
    </comment>
    <comment authorId="0" ref="BW369">
      <text>
        <t xml:space="preserve">Responder updated this value.</t>
      </text>
    </comment>
    <comment authorId="0" ref="AL370">
      <text>
        <t xml:space="preserve">Responder updated this value.</t>
      </text>
    </comment>
    <comment authorId="0" ref="AM370">
      <text>
        <t xml:space="preserve">Responder updated this value.</t>
      </text>
    </comment>
    <comment authorId="0" ref="AN370">
      <text>
        <t xml:space="preserve">Responder updated this value.</t>
      </text>
    </comment>
    <comment authorId="0" ref="AP370">
      <text>
        <t xml:space="preserve">Responder updated this value.</t>
      </text>
    </comment>
    <comment authorId="0" ref="BL370">
      <text>
        <t xml:space="preserve">Responder updated this value.</t>
      </text>
    </comment>
    <comment authorId="0" ref="BM370">
      <text>
        <t xml:space="preserve">Responder updated this value.</t>
      </text>
    </comment>
    <comment authorId="0" ref="BN370">
      <text>
        <t xml:space="preserve">Responder updated this value.</t>
      </text>
    </comment>
    <comment authorId="0" ref="BQ370">
      <text>
        <t xml:space="preserve">Responder updated this value.</t>
      </text>
    </comment>
    <comment authorId="0" ref="AL372">
      <text>
        <t xml:space="preserve">Responder updated this value.</t>
      </text>
    </comment>
    <comment authorId="0" ref="AM372">
      <text>
        <t xml:space="preserve">Responder updated this value.</t>
      </text>
    </comment>
    <comment authorId="0" ref="BF372">
      <text>
        <t xml:space="preserve">Responder updated this value.</t>
      </text>
    </comment>
    <comment authorId="0" ref="BG372">
      <text>
        <t xml:space="preserve">Responder updated this value.</t>
      </text>
    </comment>
    <comment authorId="0" ref="BJ372">
      <text>
        <t xml:space="preserve">Responder updated this value.</t>
      </text>
    </comment>
    <comment authorId="0" ref="BL372">
      <text>
        <t xml:space="preserve">Responder updated this value.</t>
      </text>
    </comment>
    <comment authorId="0" ref="BM372">
      <text>
        <t xml:space="preserve">Responder updated this value.</t>
      </text>
    </comment>
    <comment authorId="0" ref="BN372">
      <text>
        <t xml:space="preserve">Responder updated this value.</t>
      </text>
    </comment>
    <comment authorId="0" ref="BQ372">
      <text>
        <t xml:space="preserve">Responder updated this value.</t>
      </text>
    </comment>
    <comment authorId="0" ref="BT372">
      <text>
        <t xml:space="preserve">Responder updated this value.</t>
      </text>
    </comment>
    <comment authorId="0" ref="BU372">
      <text>
        <t xml:space="preserve">Responder updated this value.</t>
      </text>
    </comment>
    <comment authorId="0" ref="BV372">
      <text>
        <t xml:space="preserve">Responder updated this value.</t>
      </text>
    </comment>
    <comment authorId="0" ref="BW372">
      <text>
        <t xml:space="preserve">Responder updated this value.</t>
      </text>
    </comment>
    <comment authorId="0" ref="AF373">
      <text>
        <t xml:space="preserve">Responder updated this value.</t>
      </text>
    </comment>
    <comment authorId="0" ref="AG373">
      <text>
        <t xml:space="preserve">Responder updated this value.</t>
      </text>
    </comment>
    <comment authorId="0" ref="AU373">
      <text>
        <t xml:space="preserve">Responder updated this value.</t>
      </text>
    </comment>
    <comment authorId="0" ref="AW373">
      <text>
        <t xml:space="preserve">Responder updated this value.</t>
      </text>
    </comment>
    <comment authorId="0" ref="BC373">
      <text>
        <t xml:space="preserve">Responder updated this value.</t>
      </text>
    </comment>
    <comment authorId="0" ref="BE373">
      <text>
        <t xml:space="preserve">Responder updated this value.</t>
      </text>
    </comment>
    <comment authorId="0" ref="BH373">
      <text>
        <t xml:space="preserve">Responder updated this value.</t>
      </text>
    </comment>
    <comment authorId="0" ref="BI373">
      <text>
        <t xml:space="preserve">Responder updated this value.</t>
      </text>
    </comment>
    <comment authorId="0" ref="BJ373">
      <text>
        <t xml:space="preserve">Responder updated this value.</t>
      </text>
    </comment>
    <comment authorId="0" ref="BQ373">
      <text>
        <t xml:space="preserve">Responder updated this value.</t>
      </text>
    </comment>
    <comment authorId="0" ref="BU373">
      <text>
        <t xml:space="preserve">Responder updated this value.</t>
      </text>
    </comment>
    <comment authorId="0" ref="BW373">
      <text>
        <t xml:space="preserve">Responder updated this value.</t>
      </text>
    </comment>
    <comment authorId="0" ref="C374">
      <text>
        <t xml:space="preserve">Responder updated this value.</t>
      </text>
    </comment>
    <comment authorId="0" ref="E374">
      <text>
        <t xml:space="preserve">Responder updated this value.</t>
      </text>
    </comment>
    <comment authorId="0" ref="F374">
      <text>
        <t xml:space="preserve">Responder updated this value.</t>
      </text>
    </comment>
    <comment authorId="0" ref="G374">
      <text>
        <t xml:space="preserve">Responder updated this value.</t>
      </text>
    </comment>
    <comment authorId="0" ref="H374">
      <text>
        <t xml:space="preserve">Responder updated this value.</t>
      </text>
    </comment>
    <comment authorId="0" ref="I374">
      <text>
        <t xml:space="preserve">Responder updated this value.</t>
      </text>
    </comment>
    <comment authorId="0" ref="N374">
      <text>
        <t xml:space="preserve">Responder updated this value.</t>
      </text>
    </comment>
    <comment authorId="0" ref="O374">
      <text>
        <t xml:space="preserve">Responder updated this value.</t>
      </text>
    </comment>
    <comment authorId="0" ref="P374">
      <text>
        <t xml:space="preserve">Responder updated this value.</t>
      </text>
    </comment>
    <comment authorId="0" ref="Q374">
      <text>
        <t xml:space="preserve">Responder updated this value.</t>
      </text>
    </comment>
    <comment authorId="0" ref="R374">
      <text>
        <t xml:space="preserve">Responder updated this value.</t>
      </text>
    </comment>
    <comment authorId="0" ref="T374">
      <text>
        <t xml:space="preserve">Responder updated this value.</t>
      </text>
    </comment>
    <comment authorId="0" ref="U374">
      <text>
        <t xml:space="preserve">Responder updated this value.</t>
      </text>
    </comment>
    <comment authorId="0" ref="V374">
      <text>
        <t xml:space="preserve">Responder updated this value.</t>
      </text>
    </comment>
    <comment authorId="0" ref="X374">
      <text>
        <t xml:space="preserve">Responder updated this value.</t>
      </text>
    </comment>
    <comment authorId="0" ref="Z374">
      <text>
        <t xml:space="preserve">Responder updated this value.</t>
      </text>
    </comment>
    <comment authorId="0" ref="AA374">
      <text>
        <t xml:space="preserve">Responder updated this value.</t>
      </text>
    </comment>
    <comment authorId="0" ref="AF374">
      <text>
        <t xml:space="preserve">Responder updated this value.</t>
      </text>
    </comment>
    <comment authorId="0" ref="AG374">
      <text>
        <t xml:space="preserve">Responder updated this value.</t>
      </text>
    </comment>
    <comment authorId="0" ref="AH374">
      <text>
        <t xml:space="preserve">Responder updated this value.</t>
      </text>
    </comment>
    <comment authorId="0" ref="AN374">
      <text>
        <t xml:space="preserve">Responder updated this value.</t>
      </text>
    </comment>
    <comment authorId="0" ref="AO374">
      <text>
        <t xml:space="preserve">Responder updated this value.</t>
      </text>
    </comment>
    <comment authorId="0" ref="AP374">
      <text>
        <t xml:space="preserve">Responder updated this value.</t>
      </text>
    </comment>
    <comment authorId="0" ref="AQ374">
      <text>
        <t xml:space="preserve">Responder updated this value.</t>
      </text>
    </comment>
    <comment authorId="0" ref="AR374">
      <text>
        <t xml:space="preserve">Responder updated this value.</t>
      </text>
    </comment>
    <comment authorId="0" ref="AS374">
      <text>
        <t xml:space="preserve">Responder updated this value.</t>
      </text>
    </comment>
    <comment authorId="0" ref="AV374">
      <text>
        <t xml:space="preserve">Responder updated this value.</t>
      </text>
    </comment>
    <comment authorId="0" ref="AY374">
      <text>
        <t xml:space="preserve">Responder updated this value.</t>
      </text>
    </comment>
    <comment authorId="0" ref="AZ374">
      <text>
        <t xml:space="preserve">Responder updated this value.</t>
      </text>
    </comment>
    <comment authorId="0" ref="BA374">
      <text>
        <t xml:space="preserve">Responder updated this value.</t>
      </text>
    </comment>
    <comment authorId="0" ref="BB374">
      <text>
        <t xml:space="preserve">Responder updated this value.</t>
      </text>
    </comment>
    <comment authorId="0" ref="BC374">
      <text>
        <t xml:space="preserve">Responder updated this value.</t>
      </text>
    </comment>
    <comment authorId="0" ref="BE374">
      <text>
        <t xml:space="preserve">Responder updated this value.</t>
      </text>
    </comment>
    <comment authorId="0" ref="BH374">
      <text>
        <t xml:space="preserve">Responder updated this value.</t>
      </text>
    </comment>
    <comment authorId="0" ref="BI374">
      <text>
        <t xml:space="preserve">Responder updated this value.</t>
      </text>
    </comment>
    <comment authorId="0" ref="BJ374">
      <text>
        <t xml:space="preserve">Responder updated this value.</t>
      </text>
    </comment>
    <comment authorId="0" ref="BQ374">
      <text>
        <t xml:space="preserve">Responder updated this value.</t>
      </text>
    </comment>
    <comment authorId="0" ref="BT374">
      <text>
        <t xml:space="preserve">Responder updated this value.</t>
      </text>
    </comment>
    <comment authorId="0" ref="BW374">
      <text>
        <t xml:space="preserve">Responder updated this value.</t>
      </text>
    </comment>
    <comment authorId="0" ref="BJ375">
      <text>
        <t xml:space="preserve">Responder updated this value.</t>
      </text>
    </comment>
    <comment authorId="0" ref="BL375">
      <text>
        <t xml:space="preserve">Responder updated this value.</t>
      </text>
    </comment>
    <comment authorId="0" ref="BM375">
      <text>
        <t xml:space="preserve">Responder updated this value.</t>
      </text>
    </comment>
    <comment authorId="0" ref="BQ375">
      <text>
        <t xml:space="preserve">Responder updated this value.</t>
      </text>
    </comment>
    <comment authorId="0" ref="AW377">
      <text>
        <t xml:space="preserve">Responder updated this value.</t>
      </text>
    </comment>
    <comment authorId="0" ref="BA377">
      <text>
        <t xml:space="preserve">Responder updated this value.</t>
      </text>
    </comment>
    <comment authorId="0" ref="BB377">
      <text>
        <t xml:space="preserve">Responder updated this value.</t>
      </text>
    </comment>
    <comment authorId="0" ref="BJ377">
      <text>
        <t xml:space="preserve">Responder updated this value.</t>
      </text>
    </comment>
    <comment authorId="0" ref="BQ377">
      <text>
        <t xml:space="preserve">Responder updated this value.</t>
      </text>
    </comment>
    <comment authorId="0" ref="BR377">
      <text>
        <t xml:space="preserve">Responder updated this value.</t>
      </text>
    </comment>
    <comment authorId="0" ref="BS377">
      <text>
        <t xml:space="preserve">Responder updated this value.</t>
      </text>
    </comment>
    <comment authorId="0" ref="BT377">
      <text>
        <t xml:space="preserve">Responder updated this value.</t>
      </text>
    </comment>
    <comment authorId="0" ref="BU377">
      <text>
        <t xml:space="preserve">Responder updated this value.</t>
      </text>
    </comment>
    <comment authorId="0" ref="BV377">
      <text>
        <t xml:space="preserve">Responder updated this value.</t>
      </text>
    </comment>
    <comment authorId="0" ref="BW377">
      <text>
        <t xml:space="preserve">Responder updated this value.</t>
      </text>
    </comment>
    <comment authorId="0" ref="AQ378">
      <text>
        <t xml:space="preserve">Responder updated this value.</t>
      </text>
    </comment>
    <comment authorId="0" ref="AS378">
      <text>
        <t xml:space="preserve">Responder updated this value.</t>
      </text>
    </comment>
    <comment authorId="0" ref="AW378">
      <text>
        <t xml:space="preserve">Responder updated this value.</t>
      </text>
    </comment>
    <comment authorId="0" ref="BJ378">
      <text>
        <t xml:space="preserve">Responder updated this value.</t>
      </text>
    </comment>
    <comment authorId="0" ref="BL378">
      <text>
        <t xml:space="preserve">Responder updated this value.</t>
      </text>
    </comment>
    <comment authorId="0" ref="BM378">
      <text>
        <t xml:space="preserve">Responder updated this value.</t>
      </text>
    </comment>
    <comment authorId="0" ref="BN378">
      <text>
        <t xml:space="preserve">Responder updated this value.</t>
      </text>
    </comment>
    <comment authorId="0" ref="BQ378">
      <text>
        <t xml:space="preserve">Responder updated this value.</t>
      </text>
    </comment>
    <comment authorId="0" ref="BW378">
      <text>
        <t xml:space="preserve">Responder updated this value.</t>
      </text>
    </comment>
    <comment authorId="0" ref="AQ379">
      <text>
        <t xml:space="preserve">Responder updated this value.</t>
      </text>
    </comment>
    <comment authorId="0" ref="AS379">
      <text>
        <t xml:space="preserve">Responder updated this value.</t>
      </text>
    </comment>
    <comment authorId="0" ref="AW379">
      <text>
        <t xml:space="preserve">Responder updated this value.</t>
      </text>
    </comment>
    <comment authorId="0" ref="BM379">
      <text>
        <t xml:space="preserve">Responder updated this value.</t>
      </text>
    </comment>
    <comment authorId="0" ref="BQ379">
      <text>
        <t xml:space="preserve">Responder updated this value.</t>
      </text>
    </comment>
    <comment authorId="0" ref="BT379">
      <text>
        <t xml:space="preserve">Responder updated this value.</t>
      </text>
    </comment>
    <comment authorId="0" ref="BU379">
      <text>
        <t xml:space="preserve">Responder updated this value.</t>
      </text>
    </comment>
    <comment authorId="0" ref="BV379">
      <text>
        <t xml:space="preserve">Responder updated this value.</t>
      </text>
    </comment>
    <comment authorId="0" ref="BW379">
      <text>
        <t xml:space="preserve">Responder updated this value.</t>
      </text>
    </comment>
    <comment authorId="0" ref="AR380">
      <text>
        <t xml:space="preserve">Responder updated this value.</t>
      </text>
    </comment>
    <comment authorId="0" ref="BB380">
      <text>
        <t xml:space="preserve">Responder updated this value.</t>
      </text>
    </comment>
    <comment authorId="0" ref="BJ380">
      <text>
        <t xml:space="preserve">Responder updated this value.</t>
      </text>
    </comment>
    <comment authorId="0" ref="BL380">
      <text>
        <t xml:space="preserve">Responder updated this value.</t>
      </text>
    </comment>
    <comment authorId="0" ref="BM380">
      <text>
        <t xml:space="preserve">Responder updated this value.</t>
      </text>
    </comment>
    <comment authorId="0" ref="BQ380">
      <text>
        <t xml:space="preserve">Responder updated this value.</t>
      </text>
    </comment>
    <comment authorId="0" ref="BR380">
      <text>
        <t xml:space="preserve">Responder updated this value.</t>
      </text>
    </comment>
    <comment authorId="0" ref="BT380">
      <text>
        <t xml:space="preserve">Responder updated this value.</t>
      </text>
    </comment>
    <comment authorId="0" ref="BW380">
      <text>
        <t xml:space="preserve">Responder updated this value.</t>
      </text>
    </comment>
    <comment authorId="0" ref="AO381">
      <text>
        <t xml:space="preserve">Responder updated this value.</t>
      </text>
    </comment>
    <comment authorId="0" ref="AP381">
      <text>
        <t xml:space="preserve">Responder updated this value.</t>
      </text>
    </comment>
    <comment authorId="0" ref="BM381">
      <text>
        <t xml:space="preserve">Responder updated this value.</t>
      </text>
    </comment>
    <comment authorId="0" ref="BQ381">
      <text>
        <t xml:space="preserve">Responder updated this value.</t>
      </text>
    </comment>
    <comment authorId="0" ref="BW381">
      <text>
        <t xml:space="preserve">Responder updated this value.</t>
      </text>
    </comment>
    <comment authorId="0" ref="AO382">
      <text>
        <t xml:space="preserve">Responder updated this value.</t>
      </text>
    </comment>
    <comment authorId="0" ref="AP382">
      <text>
        <t xml:space="preserve">Responder updated this value.</t>
      </text>
    </comment>
    <comment authorId="0" ref="AQ382">
      <text>
        <t xml:space="preserve">Responder updated this value.</t>
      </text>
    </comment>
    <comment authorId="0" ref="AR382">
      <text>
        <t xml:space="preserve">Responder updated this value.</t>
      </text>
    </comment>
    <comment authorId="0" ref="AS382">
      <text>
        <t xml:space="preserve">Responder updated this value.</t>
      </text>
    </comment>
    <comment authorId="0" ref="BA382">
      <text>
        <t xml:space="preserve">Responder updated this value.</t>
      </text>
    </comment>
    <comment authorId="0" ref="BB382">
      <text>
        <t xml:space="preserve">Responder updated this value.</t>
      </text>
    </comment>
    <comment authorId="0" ref="BC382">
      <text>
        <t xml:space="preserve">Responder updated this value.</t>
      </text>
    </comment>
    <comment authorId="0" ref="BJ382">
      <text>
        <t xml:space="preserve">Responder updated this value.</t>
      </text>
    </comment>
    <comment authorId="0" ref="BL382">
      <text>
        <t xml:space="preserve">Responder updated this value.</t>
      </text>
    </comment>
    <comment authorId="0" ref="BM382">
      <text>
        <t xml:space="preserve">Responder updated this value.</t>
      </text>
    </comment>
    <comment authorId="0" ref="BQ382">
      <text>
        <t xml:space="preserve">Responder updated this value.</t>
      </text>
    </comment>
    <comment authorId="0" ref="BR382">
      <text>
        <t xml:space="preserve">Responder updated this value.</t>
      </text>
    </comment>
    <comment authorId="0" ref="BS382">
      <text>
        <t xml:space="preserve">Responder updated this value.</t>
      </text>
    </comment>
    <comment authorId="0" ref="BT382">
      <text>
        <t xml:space="preserve">Responder updated this value.</t>
      </text>
    </comment>
    <comment authorId="0" ref="BU382">
      <text>
        <t xml:space="preserve">Responder updated this value.</t>
      </text>
    </comment>
    <comment authorId="0" ref="BV382">
      <text>
        <t xml:space="preserve">Responder updated this value.</t>
      </text>
    </comment>
    <comment authorId="0" ref="BW382">
      <text>
        <t xml:space="preserve">Responder updated this value.</t>
      </text>
    </comment>
    <comment authorId="0" ref="AU383">
      <text>
        <t xml:space="preserve">Responder updated this value.</t>
      </text>
    </comment>
    <comment authorId="0" ref="AV383">
      <text>
        <t xml:space="preserve">Responder updated this value.</t>
      </text>
    </comment>
    <comment authorId="0" ref="BJ383">
      <text>
        <t xml:space="preserve">Responder updated this value.</t>
      </text>
    </comment>
    <comment authorId="0" ref="BL383">
      <text>
        <t xml:space="preserve">Responder updated this value.</t>
      </text>
    </comment>
    <comment authorId="0" ref="BM383">
      <text>
        <t xml:space="preserve">Responder updated this value.</t>
      </text>
    </comment>
    <comment authorId="0" ref="BP383">
      <text>
        <t xml:space="preserve">Responder updated this value.</t>
      </text>
    </comment>
    <comment authorId="0" ref="BQ383">
      <text>
        <t xml:space="preserve">Responder updated this value.</t>
      </text>
    </comment>
    <comment authorId="0" ref="AU384">
      <text>
        <t xml:space="preserve">Responder updated this value.</t>
      </text>
    </comment>
    <comment authorId="0" ref="AV384">
      <text>
        <t xml:space="preserve">Responder updated this value.</t>
      </text>
    </comment>
    <comment authorId="0" ref="BQ384">
      <text>
        <t xml:space="preserve">Responder updated this value.</t>
      </text>
    </comment>
    <comment authorId="0" ref="BR384">
      <text>
        <t xml:space="preserve">Responder updated this value.</t>
      </text>
    </comment>
    <comment authorId="0" ref="BU384">
      <text>
        <t xml:space="preserve">Responder updated this value.</t>
      </text>
    </comment>
    <comment authorId="0" ref="BV384">
      <text>
        <t xml:space="preserve">Responder updated this value.</t>
      </text>
    </comment>
    <comment authorId="0" ref="BW384">
      <text>
        <t xml:space="preserve">Responder updated this value.</t>
      </text>
    </comment>
    <comment authorId="0" ref="BJ385">
      <text>
        <t xml:space="preserve">Responder updated this value.</t>
      </text>
    </comment>
    <comment authorId="0" ref="BQ385">
      <text>
        <t xml:space="preserve">Responder updated this value.</t>
      </text>
    </comment>
    <comment authorId="0" ref="BJ386">
      <text>
        <t xml:space="preserve">Responder updated this value.</t>
      </text>
    </comment>
    <comment authorId="0" ref="BM386">
      <text>
        <t xml:space="preserve">Responder updated this value.</t>
      </text>
    </comment>
    <comment authorId="0" ref="BQ386">
      <text>
        <t xml:space="preserve">Responder updated this value.</t>
      </text>
    </comment>
    <comment authorId="0" ref="BV386">
      <text>
        <t xml:space="preserve">Responder updated this value.</t>
      </text>
    </comment>
    <comment authorId="0" ref="BW386">
      <text>
        <t xml:space="preserve">Responder updated this value.</t>
      </text>
    </comment>
    <comment authorId="0" ref="AM387">
      <text>
        <t xml:space="preserve">Responder updated this value.</t>
      </text>
    </comment>
    <comment authorId="0" ref="AR387">
      <text>
        <t xml:space="preserve">Responder updated this value.</t>
      </text>
    </comment>
    <comment authorId="0" ref="AS387">
      <text>
        <t xml:space="preserve">Responder updated this value.</t>
      </text>
    </comment>
    <comment authorId="0" ref="BE387">
      <text>
        <t xml:space="preserve">Responder updated this value.</t>
      </text>
    </comment>
    <comment authorId="0" ref="BJ387">
      <text>
        <t xml:space="preserve">Responder updated this value.</t>
      </text>
    </comment>
    <comment authorId="0" ref="BL387">
      <text>
        <t xml:space="preserve">Responder updated this value.</t>
      </text>
    </comment>
    <comment authorId="0" ref="BM387">
      <text>
        <t xml:space="preserve">Responder updated this value.</t>
      </text>
    </comment>
    <comment authorId="0" ref="BQ387">
      <text>
        <t xml:space="preserve">Responder updated this value.</t>
      </text>
    </comment>
    <comment authorId="0" ref="BT387">
      <text>
        <t xml:space="preserve">Responder updated this value.</t>
      </text>
    </comment>
    <comment authorId="0" ref="BW387">
      <text>
        <t xml:space="preserve">Responder updated this value.</t>
      </text>
    </comment>
    <comment authorId="0" ref="BJ388">
      <text>
        <t xml:space="preserve">Responder updated this value.</t>
      </text>
    </comment>
    <comment authorId="0" ref="BL388">
      <text>
        <t xml:space="preserve">Responder updated this value.</t>
      </text>
    </comment>
    <comment authorId="0" ref="BM388">
      <text>
        <t xml:space="preserve">Responder updated this value.</t>
      </text>
    </comment>
    <comment authorId="0" ref="BQ388">
      <text>
        <t xml:space="preserve">Responder updated this value.</t>
      </text>
    </comment>
    <comment authorId="0" ref="AL389">
      <text>
        <t xml:space="preserve">Responder updated this value.</t>
      </text>
    </comment>
    <comment authorId="0" ref="AM389">
      <text>
        <t xml:space="preserve">Responder updated this value.</t>
      </text>
    </comment>
    <comment authorId="0" ref="AQ389">
      <text>
        <t xml:space="preserve">Responder updated this value.</t>
      </text>
    </comment>
    <comment authorId="0" ref="AS389">
      <text>
        <t xml:space="preserve">Responder updated this value.</t>
      </text>
    </comment>
    <comment authorId="0" ref="AW389">
      <text>
        <t xml:space="preserve">Responder updated this value.</t>
      </text>
    </comment>
    <comment authorId="0" ref="AY389">
      <text>
        <t xml:space="preserve">Responder updated this value.</t>
      </text>
    </comment>
    <comment authorId="0" ref="BI389">
      <text>
        <t xml:space="preserve">Responder updated this value.</t>
      </text>
    </comment>
    <comment authorId="0" ref="BL389">
      <text>
        <t xml:space="preserve">Responder updated this value.</t>
      </text>
    </comment>
    <comment authorId="0" ref="BM389">
      <text>
        <t xml:space="preserve">Responder updated this value.</t>
      </text>
    </comment>
    <comment authorId="0" ref="BN389">
      <text>
        <t xml:space="preserve">Responder updated this value.</t>
      </text>
    </comment>
    <comment authorId="0" ref="BQ389">
      <text>
        <t xml:space="preserve">Responder updated this value.</t>
      </text>
    </comment>
    <comment authorId="0" ref="AB390">
      <text>
        <t xml:space="preserve">Responder updated this value.</t>
      </text>
    </comment>
    <comment authorId="0" ref="AC390">
      <text>
        <t xml:space="preserve">Responder updated this value.</t>
      </text>
    </comment>
    <comment authorId="0" ref="AY390">
      <text>
        <t xml:space="preserve">Responder updated this value.</t>
      </text>
    </comment>
    <comment authorId="0" ref="BJ390">
      <text>
        <t xml:space="preserve">Responder updated this value.</t>
      </text>
    </comment>
    <comment authorId="0" ref="BQ390">
      <text>
        <t xml:space="preserve">Responder updated this value.</t>
      </text>
    </comment>
    <comment authorId="0" ref="BW390">
      <text>
        <t xml:space="preserve">Responder updated this value.</t>
      </text>
    </comment>
    <comment authorId="0" ref="BQ391">
      <text>
        <t xml:space="preserve">Responder updated this value.</t>
      </text>
    </comment>
    <comment authorId="0" ref="AD392">
      <text>
        <t xml:space="preserve">Responder updated this value.</t>
      </text>
    </comment>
    <comment authorId="0" ref="AE392">
      <text>
        <t xml:space="preserve">Responder updated this value.</t>
      </text>
    </comment>
    <comment authorId="0" ref="AQ392">
      <text>
        <t xml:space="preserve">Responder updated this value.</t>
      </text>
    </comment>
    <comment authorId="0" ref="BJ392">
      <text>
        <t xml:space="preserve">Responder updated this value.</t>
      </text>
    </comment>
    <comment authorId="0" ref="BN392">
      <text>
        <t xml:space="preserve">Responder updated this value.</t>
      </text>
    </comment>
    <comment authorId="0" ref="BQ392">
      <text>
        <t xml:space="preserve">Responder updated this value.</t>
      </text>
    </comment>
    <comment authorId="0" ref="BW392">
      <text>
        <t xml:space="preserve">Responder updated this value.</t>
      </text>
    </comment>
    <comment authorId="0" ref="BL393">
      <text>
        <t xml:space="preserve">Responder updated this value.</t>
      </text>
    </comment>
    <comment authorId="0" ref="BM393">
      <text>
        <t xml:space="preserve">Responder updated this value.</t>
      </text>
    </comment>
    <comment authorId="0" ref="W394">
      <text>
        <t xml:space="preserve">Responder updated this value.</t>
      </text>
    </comment>
    <comment authorId="0" ref="AW394">
      <text>
        <t xml:space="preserve">Responder updated this value.</t>
      </text>
    </comment>
    <comment authorId="0" ref="BI394">
      <text>
        <t xml:space="preserve">Responder updated this value.</t>
      </text>
    </comment>
    <comment authorId="0" ref="BJ394">
      <text>
        <t xml:space="preserve">Responder updated this value.</t>
      </text>
    </comment>
    <comment authorId="0" ref="BQ394">
      <text>
        <t xml:space="preserve">Responder updated this value.</t>
      </text>
    </comment>
    <comment authorId="0" ref="N395">
      <text>
        <t xml:space="preserve">Responder updated this value.</t>
      </text>
    </comment>
    <comment authorId="0" ref="S395">
      <text>
        <t xml:space="preserve">Responder updated this value.</t>
      </text>
    </comment>
    <comment authorId="0" ref="AQ395">
      <text>
        <t xml:space="preserve">Responder updated this value.</t>
      </text>
    </comment>
    <comment authorId="0" ref="AS395">
      <text>
        <t xml:space="preserve">Responder updated this value.</t>
      </text>
    </comment>
    <comment authorId="0" ref="AV395">
      <text>
        <t xml:space="preserve">Responder updated this value.</t>
      </text>
    </comment>
    <comment authorId="0" ref="AW395">
      <text>
        <t xml:space="preserve">Responder updated this value.</t>
      </text>
    </comment>
    <comment authorId="0" ref="BQ395">
      <text>
        <t xml:space="preserve">Responder updated this value.</t>
      </text>
    </comment>
    <comment authorId="0" ref="BT395">
      <text>
        <t xml:space="preserve">Responder updated this value.</t>
      </text>
    </comment>
    <comment authorId="0" ref="BW395">
      <text>
        <t xml:space="preserve">Responder updated this value.</t>
      </text>
    </comment>
    <comment authorId="0" ref="AW396">
      <text>
        <t xml:space="preserve">Responder updated this value.</t>
      </text>
    </comment>
    <comment authorId="0" ref="BJ396">
      <text>
        <t xml:space="preserve">Responder updated this value.</t>
      </text>
    </comment>
    <comment authorId="0" ref="BQ396">
      <text>
        <t xml:space="preserve">Responder updated this value.</t>
      </text>
    </comment>
    <comment authorId="0" ref="AS397">
      <text>
        <t xml:space="preserve">Responder updated this value.</t>
      </text>
    </comment>
    <comment authorId="0" ref="AW397">
      <text>
        <t xml:space="preserve">Responder updated this value.</t>
      </text>
    </comment>
    <comment authorId="0" ref="BQ397">
      <text>
        <t xml:space="preserve">Responder updated this value.</t>
      </text>
    </comment>
    <comment authorId="0" ref="V398">
      <text>
        <t xml:space="preserve">Responder updated this value.</t>
      </text>
    </comment>
    <comment authorId="0" ref="AQ398">
      <text>
        <t xml:space="preserve">Responder updated this value.</t>
      </text>
    </comment>
    <comment authorId="0" ref="AW398">
      <text>
        <t xml:space="preserve">Responder updated this value.</t>
      </text>
    </comment>
    <comment authorId="0" ref="BA398">
      <text>
        <t xml:space="preserve">Responder updated this value.</t>
      </text>
    </comment>
    <comment authorId="0" ref="BB398">
      <text>
        <t xml:space="preserve">Responder updated this value.</t>
      </text>
    </comment>
    <comment authorId="0" ref="BN398">
      <text>
        <t xml:space="preserve">Responder updated this value.</t>
      </text>
    </comment>
    <comment authorId="0" ref="BP398">
      <text>
        <t xml:space="preserve">Responder updated this value.</t>
      </text>
    </comment>
    <comment authorId="0" ref="BQ398">
      <text>
        <t xml:space="preserve">Responder updated this value.</t>
      </text>
    </comment>
    <comment authorId="0" ref="O399">
      <text>
        <t xml:space="preserve">Responder updated this value.</t>
      </text>
    </comment>
    <comment authorId="0" ref="BE399">
      <text>
        <t xml:space="preserve">Responder updated this value.</t>
      </text>
    </comment>
    <comment authorId="0" ref="BJ399">
      <text>
        <t xml:space="preserve">Responder updated this value.</t>
      </text>
    </comment>
    <comment authorId="0" ref="BL399">
      <text>
        <t xml:space="preserve">Responder updated this value.</t>
      </text>
    </comment>
    <comment authorId="0" ref="BM399">
      <text>
        <t xml:space="preserve">Responder updated this value.</t>
      </text>
    </comment>
    <comment authorId="0" ref="BQ399">
      <text>
        <t xml:space="preserve">Responder updated this value.</t>
      </text>
    </comment>
    <comment authorId="0" ref="W400">
      <text>
        <t xml:space="preserve">Responder updated this value.</t>
      </text>
    </comment>
    <comment authorId="0" ref="AQ400">
      <text>
        <t xml:space="preserve">Responder updated this value.</t>
      </text>
    </comment>
    <comment authorId="0" ref="AR400">
      <text>
        <t xml:space="preserve">Responder updated this value.</t>
      </text>
    </comment>
    <comment authorId="0" ref="AV400">
      <text>
        <t xml:space="preserve">Responder updated this value.</t>
      </text>
    </comment>
    <comment authorId="0" ref="AW400">
      <text>
        <t xml:space="preserve">Responder updated this value.</t>
      </text>
    </comment>
    <comment authorId="0" ref="BE400">
      <text>
        <t xml:space="preserve">Responder updated this value.</t>
      </text>
    </comment>
    <comment authorId="0" ref="BJ400">
      <text>
        <t xml:space="preserve">Responder updated this value.</t>
      </text>
    </comment>
    <comment authorId="0" ref="BL400">
      <text>
        <t xml:space="preserve">Responder updated this value.</t>
      </text>
    </comment>
    <comment authorId="0" ref="BM400">
      <text>
        <t xml:space="preserve">Responder updated this value.</t>
      </text>
    </comment>
    <comment authorId="0" ref="BQ400">
      <text>
        <t xml:space="preserve">Responder updated this value.</t>
      </text>
    </comment>
    <comment authorId="0" ref="BW400">
      <text>
        <t xml:space="preserve">Responder updated this value.</t>
      </text>
    </comment>
    <comment authorId="0" ref="C401">
      <text>
        <t xml:space="preserve">Responder updated this value.</t>
      </text>
    </comment>
    <comment authorId="0" ref="BQ401">
      <text>
        <t xml:space="preserve">Responder updated this value.</t>
      </text>
    </comment>
    <comment authorId="0" ref="BA402">
      <text>
        <t xml:space="preserve">Responder updated this value.</t>
      </text>
    </comment>
    <comment authorId="0" ref="BJ402">
      <text>
        <t xml:space="preserve">Responder updated this value.</t>
      </text>
    </comment>
    <comment authorId="0" ref="BM402">
      <text>
        <t xml:space="preserve">Responder updated this value.</t>
      </text>
    </comment>
    <comment authorId="0" ref="BQ402">
      <text>
        <t xml:space="preserve">Responder updated this value.</t>
      </text>
    </comment>
    <comment authorId="0" ref="AB403">
      <text>
        <t xml:space="preserve">Responder updated this value.</t>
      </text>
    </comment>
    <comment authorId="0" ref="AC403">
      <text>
        <t xml:space="preserve">Responder updated this value.</t>
      </text>
    </comment>
    <comment authorId="0" ref="AQ403">
      <text>
        <t xml:space="preserve">Responder updated this value.</t>
      </text>
    </comment>
    <comment authorId="0" ref="AS403">
      <text>
        <t xml:space="preserve">Responder updated this value.</t>
      </text>
    </comment>
    <comment authorId="0" ref="BJ403">
      <text>
        <t xml:space="preserve">Responder updated this value.</t>
      </text>
    </comment>
    <comment authorId="0" ref="BQ403">
      <text>
        <t xml:space="preserve">Responder updated this value.</t>
      </text>
    </comment>
    <comment authorId="0" ref="BW403">
      <text>
        <t xml:space="preserve">Responder updated this value.</t>
      </text>
    </comment>
    <comment authorId="0" ref="BJ404">
      <text>
        <t xml:space="preserve">Responder updated this value.</t>
      </text>
    </comment>
    <comment authorId="0" ref="BN404">
      <text>
        <t xml:space="preserve">Responder updated this value.</t>
      </text>
    </comment>
    <comment authorId="0" ref="BQ404">
      <text>
        <t xml:space="preserve">Responder updated this value.</t>
      </text>
    </comment>
    <comment authorId="0" ref="BT404">
      <text>
        <t xml:space="preserve">Responder updated this value.</t>
      </text>
    </comment>
    <comment authorId="0" ref="BW404">
      <text>
        <t xml:space="preserve">Responder updated this value.</t>
      </text>
    </comment>
    <comment authorId="0" ref="AB405">
      <text>
        <t xml:space="preserve">Responder updated this value.</t>
      </text>
    </comment>
    <comment authorId="0" ref="AC405">
      <text>
        <t xml:space="preserve">Responder updated this value.</t>
      </text>
    </comment>
    <comment authorId="0" ref="BL405">
      <text>
        <t xml:space="preserve">Responder updated this value.</t>
      </text>
    </comment>
    <comment authorId="0" ref="BM405">
      <text>
        <t xml:space="preserve">Responder updated this value.</t>
      </text>
    </comment>
    <comment authorId="0" ref="BQ405">
      <text>
        <t xml:space="preserve">Responder updated this value.</t>
      </text>
    </comment>
    <comment authorId="0" ref="AL406">
      <text>
        <t xml:space="preserve">Responder updated this value.</t>
      </text>
    </comment>
    <comment authorId="0" ref="AM406">
      <text>
        <t xml:space="preserve">Responder updated this value.</t>
      </text>
    </comment>
    <comment authorId="0" ref="AQ406">
      <text>
        <t xml:space="preserve">Responder updated this value.</t>
      </text>
    </comment>
    <comment authorId="0" ref="AR406">
      <text>
        <t xml:space="preserve">Responder updated this value.</t>
      </text>
    </comment>
    <comment authorId="0" ref="AS406">
      <text>
        <t xml:space="preserve">Responder updated this value.</t>
      </text>
    </comment>
    <comment authorId="0" ref="AW406">
      <text>
        <t xml:space="preserve">Responder updated this value.</t>
      </text>
    </comment>
    <comment authorId="0" ref="AZ406">
      <text>
        <t xml:space="preserve">Responder updated this value.</t>
      </text>
    </comment>
    <comment authorId="0" ref="BC406">
      <text>
        <t xml:space="preserve">Responder updated this value.</t>
      </text>
    </comment>
    <comment authorId="0" ref="BJ406">
      <text>
        <t xml:space="preserve">Responder updated this value.</t>
      </text>
    </comment>
    <comment authorId="0" ref="BM406">
      <text>
        <t xml:space="preserve">Responder updated this value.</t>
      </text>
    </comment>
    <comment authorId="0" ref="BQ406">
      <text>
        <t xml:space="preserve">Responder updated this value.</t>
      </text>
    </comment>
    <comment authorId="0" ref="BR406">
      <text>
        <t xml:space="preserve">Responder updated this value.</t>
      </text>
    </comment>
    <comment authorId="0" ref="BT406">
      <text>
        <t xml:space="preserve">Responder updated this value.</t>
      </text>
    </comment>
    <comment authorId="0" ref="BU406">
      <text>
        <t xml:space="preserve">Responder updated this value.</t>
      </text>
    </comment>
    <comment authorId="0" ref="BW406">
      <text>
        <t xml:space="preserve">Responder updated this value.</t>
      </text>
    </comment>
    <comment authorId="0" ref="T408">
      <text>
        <t xml:space="preserve">Responder updated this value.</t>
      </text>
    </comment>
    <comment authorId="0" ref="U408">
      <text>
        <t xml:space="preserve">Responder updated this value.</t>
      </text>
    </comment>
    <comment authorId="0" ref="BA408">
      <text>
        <t xml:space="preserve">Responder updated this value.</t>
      </text>
    </comment>
    <comment authorId="0" ref="BD408">
      <text>
        <t xml:space="preserve">Responder updated this value.</t>
      </text>
    </comment>
    <comment authorId="0" ref="BE408">
      <text>
        <t xml:space="preserve">Responder updated this value.</t>
      </text>
    </comment>
    <comment authorId="0" ref="BI408">
      <text>
        <t xml:space="preserve">Responder updated this value.</t>
      </text>
    </comment>
    <comment authorId="0" ref="BQ408">
      <text>
        <t xml:space="preserve">Responder updated this value.</t>
      </text>
    </comment>
    <comment authorId="0" ref="BL409">
      <text>
        <t xml:space="preserve">Responder updated this value.</t>
      </text>
    </comment>
    <comment authorId="0" ref="BM409">
      <text>
        <t xml:space="preserve">Responder updated this value.</t>
      </text>
    </comment>
    <comment authorId="0" ref="BQ409">
      <text>
        <t xml:space="preserve">Responder updated this value.</t>
      </text>
    </comment>
    <comment authorId="0" ref="BT409">
      <text>
        <t xml:space="preserve">Responder updated this value.</t>
      </text>
    </comment>
    <comment authorId="0" ref="BU409">
      <text>
        <t xml:space="preserve">Responder updated this value.</t>
      </text>
    </comment>
    <comment authorId="0" ref="BV409">
      <text>
        <t xml:space="preserve">Responder updated this value.</t>
      </text>
    </comment>
    <comment authorId="0" ref="BW409">
      <text>
        <t xml:space="preserve">Responder updated this value.</t>
      </text>
    </comment>
    <comment authorId="0" ref="AF410">
      <text>
        <t xml:space="preserve">Responder updated this value.</t>
      </text>
    </comment>
    <comment authorId="0" ref="AG410">
      <text>
        <t xml:space="preserve">Responder updated this value.</t>
      </text>
    </comment>
    <comment authorId="0" ref="AP410">
      <text>
        <t xml:space="preserve">Responder updated this value.</t>
      </text>
    </comment>
    <comment authorId="0" ref="AQ410">
      <text>
        <t xml:space="preserve">Responder updated this value.</t>
      </text>
    </comment>
    <comment authorId="0" ref="AR410">
      <text>
        <t xml:space="preserve">Responder updated this value.</t>
      </text>
    </comment>
    <comment authorId="0" ref="AS410">
      <text>
        <t xml:space="preserve">Responder updated this value.</t>
      </text>
    </comment>
    <comment authorId="0" ref="AW410">
      <text>
        <t xml:space="preserve">Responder updated this value.</t>
      </text>
    </comment>
    <comment authorId="0" ref="AY410">
      <text>
        <t xml:space="preserve">Responder updated this value.</t>
      </text>
    </comment>
    <comment authorId="0" ref="BB410">
      <text>
        <t xml:space="preserve">Responder updated this value.</t>
      </text>
    </comment>
    <comment authorId="0" ref="BC410">
      <text>
        <t xml:space="preserve">Responder updated this value.</t>
      </text>
    </comment>
    <comment authorId="0" ref="BH410">
      <text>
        <t xml:space="preserve">Responder updated this value.</t>
      </text>
    </comment>
    <comment authorId="0" ref="BI410">
      <text>
        <t xml:space="preserve">Responder updated this value.</t>
      </text>
    </comment>
    <comment authorId="0" ref="BJ410">
      <text>
        <t xml:space="preserve">Responder updated this value.</t>
      </text>
    </comment>
    <comment authorId="0" ref="BL410">
      <text>
        <t xml:space="preserve">Responder updated this value.</t>
      </text>
    </comment>
    <comment authorId="0" ref="BN410">
      <text>
        <t xml:space="preserve">Responder updated this value.</t>
      </text>
    </comment>
    <comment authorId="0" ref="BQ410">
      <text>
        <t xml:space="preserve">Responder updated this value.</t>
      </text>
    </comment>
    <comment authorId="0" ref="BS410">
      <text>
        <t xml:space="preserve">Responder updated this value.</t>
      </text>
    </comment>
    <comment authorId="0" ref="BT410">
      <text>
        <t xml:space="preserve">Responder updated this value.</t>
      </text>
    </comment>
    <comment authorId="0" ref="BW410">
      <text>
        <t xml:space="preserve">Responder updated this value.</t>
      </text>
    </comment>
    <comment authorId="0" ref="P411">
      <text>
        <t xml:space="preserve">Responder updated this value.</t>
      </text>
    </comment>
    <comment authorId="0" ref="AW411">
      <text>
        <t xml:space="preserve">Responder updated this value.</t>
      </text>
    </comment>
    <comment authorId="0" ref="BJ411">
      <text>
        <t xml:space="preserve">Responder updated this value.</t>
      </text>
    </comment>
    <comment authorId="0" ref="BQ411">
      <text>
        <t xml:space="preserve">Responder updated this value.</t>
      </text>
    </comment>
    <comment authorId="0" ref="BU411">
      <text>
        <t xml:space="preserve">Responder updated this value.</t>
      </text>
    </comment>
    <comment authorId="0" ref="BV411">
      <text>
        <t xml:space="preserve">Responder updated this value.</t>
      </text>
    </comment>
    <comment authorId="0" ref="BW411">
      <text>
        <t xml:space="preserve">Responder updated this value.</t>
      </text>
    </comment>
    <comment authorId="0" ref="BB412">
      <text>
        <t xml:space="preserve">Responder updated this value.</t>
      </text>
    </comment>
    <comment authorId="0" ref="BL412">
      <text>
        <t xml:space="preserve">Responder updated this value.</t>
      </text>
    </comment>
    <comment authorId="0" ref="BM412">
      <text>
        <t xml:space="preserve">Responder updated this value.</t>
      </text>
    </comment>
    <comment authorId="0" ref="BQ412">
      <text>
        <t xml:space="preserve">Responder updated this value.</t>
      </text>
    </comment>
    <comment authorId="0" ref="BJ413">
      <text>
        <t xml:space="preserve">Responder updated this value.</t>
      </text>
    </comment>
    <comment authorId="0" ref="BQ413">
      <text>
        <t xml:space="preserve">Responder updated this value.</t>
      </text>
    </comment>
    <comment authorId="0" ref="BQ414">
      <text>
        <t xml:space="preserve">Responder updated this value.</t>
      </text>
    </comment>
    <comment authorId="0" ref="AS415">
      <text>
        <t xml:space="preserve">Responder updated this value.</t>
      </text>
    </comment>
    <comment authorId="0" ref="BQ415">
      <text>
        <t xml:space="preserve">Responder updated this value.</t>
      </text>
    </comment>
    <comment authorId="0" ref="BQ416">
      <text>
        <t xml:space="preserve">Responder updated this value.</t>
      </text>
    </comment>
    <comment authorId="0" ref="BW416">
      <text>
        <t xml:space="preserve">Responder updated this value.</t>
      </text>
    </comment>
    <comment authorId="0" ref="BB417">
      <text>
        <t xml:space="preserve">Responder updated this value.</t>
      </text>
    </comment>
    <comment authorId="0" ref="BN417">
      <text>
        <t xml:space="preserve">Responder updated this value.</t>
      </text>
    </comment>
    <comment authorId="0" ref="BQ417">
      <text>
        <t xml:space="preserve">Responder updated this value.</t>
      </text>
    </comment>
    <comment authorId="0" ref="AL418">
      <text>
        <t xml:space="preserve">Responder updated this value.</t>
      </text>
    </comment>
    <comment authorId="0" ref="AM418">
      <text>
        <t xml:space="preserve">Responder updated this value.</t>
      </text>
    </comment>
    <comment authorId="0" ref="AR418">
      <text>
        <t xml:space="preserve">Responder updated this value.</t>
      </text>
    </comment>
    <comment authorId="0" ref="BC418">
      <text>
        <t xml:space="preserve">Responder updated this value.</t>
      </text>
    </comment>
    <comment authorId="0" ref="BE418">
      <text>
        <t xml:space="preserve">Responder updated this value.</t>
      </text>
    </comment>
    <comment authorId="0" ref="BI418">
      <text>
        <t xml:space="preserve">Responder updated this value.</t>
      </text>
    </comment>
    <comment authorId="0" ref="BN418">
      <text>
        <t xml:space="preserve">Responder updated this value.</t>
      </text>
    </comment>
    <comment authorId="0" ref="BQ418">
      <text>
        <t xml:space="preserve">Responder updated this value.</t>
      </text>
    </comment>
    <comment authorId="0" ref="BR418">
      <text>
        <t xml:space="preserve">Responder updated this value.</t>
      </text>
    </comment>
    <comment authorId="0" ref="BS418">
      <text>
        <t xml:space="preserve">Responder updated this value.</t>
      </text>
    </comment>
    <comment authorId="0" ref="BT418">
      <text>
        <t xml:space="preserve">Responder updated this value.</t>
      </text>
    </comment>
    <comment authorId="0" ref="BU418">
      <text>
        <t xml:space="preserve">Responder updated this value.</t>
      </text>
    </comment>
    <comment authorId="0" ref="BV418">
      <text>
        <t xml:space="preserve">Responder updated this value.</t>
      </text>
    </comment>
    <comment authorId="0" ref="BW418">
      <text>
        <t xml:space="preserve">Responder updated this value.</t>
      </text>
    </comment>
    <comment authorId="0" ref="AQ419">
      <text>
        <t xml:space="preserve">Responder updated this value.</t>
      </text>
    </comment>
    <comment authorId="0" ref="AS419">
      <text>
        <t xml:space="preserve">Responder updated this value.</t>
      </text>
    </comment>
    <comment authorId="0" ref="BJ419">
      <text>
        <t xml:space="preserve">Responder updated this value.</t>
      </text>
    </comment>
    <comment authorId="0" ref="BN419">
      <text>
        <t xml:space="preserve">Responder updated this value.</t>
      </text>
    </comment>
    <comment authorId="0" ref="BP419">
      <text>
        <t xml:space="preserve">Responder updated this value.</t>
      </text>
    </comment>
    <comment authorId="0" ref="BQ419">
      <text>
        <t xml:space="preserve">Responder updated this value.</t>
      </text>
    </comment>
    <comment authorId="0" ref="BS419">
      <text>
        <t xml:space="preserve">Responder updated this value.</t>
      </text>
    </comment>
    <comment authorId="0" ref="BT419">
      <text>
        <t xml:space="preserve">Responder updated this value.</t>
      </text>
    </comment>
    <comment authorId="0" ref="BW419">
      <text>
        <t xml:space="preserve">Responder updated this value.</t>
      </text>
    </comment>
    <comment authorId="0" ref="BN420">
      <text>
        <t xml:space="preserve">Responder updated this value.</t>
      </text>
    </comment>
    <comment authorId="0" ref="BU420">
      <text>
        <t xml:space="preserve">Responder updated this value.</t>
      </text>
    </comment>
    <comment authorId="0" ref="BV420">
      <text>
        <t xml:space="preserve">Responder updated this value.</t>
      </text>
    </comment>
    <comment authorId="0" ref="BW420">
      <text>
        <t xml:space="preserve">Responder updated this value.</t>
      </text>
    </comment>
    <comment authorId="0" ref="BT421">
      <text>
        <t xml:space="preserve">Responder updated this value.</t>
      </text>
    </comment>
    <comment authorId="0" ref="BU421">
      <text>
        <t xml:space="preserve">Responder updated this value.</t>
      </text>
    </comment>
    <comment authorId="0" ref="BV421">
      <text>
        <t xml:space="preserve">Responder updated this value.</t>
      </text>
    </comment>
    <comment authorId="0" ref="BW421">
      <text>
        <t xml:space="preserve">Responder updated this value.</t>
      </text>
    </comment>
    <comment authorId="0" ref="AQ423">
      <text>
        <t xml:space="preserve">Responder updated this value.</t>
      </text>
    </comment>
    <comment authorId="0" ref="AS423">
      <text>
        <t xml:space="preserve">Responder updated this value.</t>
      </text>
    </comment>
    <comment authorId="0" ref="BD423">
      <text>
        <t xml:space="preserve">Responder updated this value.</t>
      </text>
    </comment>
    <comment authorId="0" ref="BJ423">
      <text>
        <t xml:space="preserve">Responder updated this value.</t>
      </text>
    </comment>
    <comment authorId="0" ref="BW423">
      <text>
        <t xml:space="preserve">Responder updated this value.</t>
      </text>
    </comment>
    <comment authorId="0" ref="AQ424">
      <text>
        <t xml:space="preserve">Responder updated this value.</t>
      </text>
    </comment>
    <comment authorId="0" ref="AR424">
      <text>
        <t xml:space="preserve">Responder updated this value.</t>
      </text>
    </comment>
    <comment authorId="0" ref="BN424">
      <text>
        <t xml:space="preserve">Responder updated this value.</t>
      </text>
    </comment>
    <comment authorId="0" ref="BP424">
      <text>
        <t xml:space="preserve">Responder updated this value.</t>
      </text>
    </comment>
    <comment authorId="0" ref="BR424">
      <text>
        <t xml:space="preserve">Responder updated this value.</t>
      </text>
    </comment>
    <comment authorId="0" ref="BT424">
      <text>
        <t xml:space="preserve">Responder updated this value.</t>
      </text>
    </comment>
    <comment authorId="0" ref="BW424">
      <text>
        <t xml:space="preserve">Responder updated this value.</t>
      </text>
    </comment>
    <comment authorId="0" ref="BT426">
      <text>
        <t xml:space="preserve">Responder updated this value.</t>
      </text>
    </comment>
    <comment authorId="0" ref="BW426">
      <text>
        <t xml:space="preserve">Responder updated this value.</t>
      </text>
    </comment>
    <comment authorId="0" ref="P430">
      <text>
        <t xml:space="preserve">Responder updated this value.</t>
      </text>
    </comment>
    <comment authorId="0" ref="AL430">
      <text>
        <t xml:space="preserve">Responder updated this value.</t>
      </text>
    </comment>
    <comment authorId="0" ref="AM430">
      <text>
        <t xml:space="preserve">Responder updated this value.</t>
      </text>
    </comment>
    <comment authorId="0" ref="AW430">
      <text>
        <t xml:space="preserve">Responder updated this value.</t>
      </text>
    </comment>
    <comment authorId="0" ref="BJ430">
      <text>
        <t xml:space="preserve">Responder updated this value.</t>
      </text>
    </comment>
    <comment authorId="0" ref="BQ430">
      <text>
        <t xml:space="preserve">Responder updated this value.</t>
      </text>
    </comment>
    <comment authorId="0" ref="P431">
      <text>
        <t xml:space="preserve">Responder updated this value.</t>
      </text>
    </comment>
    <comment authorId="0" ref="W431">
      <text>
        <t xml:space="preserve">Responder updated this value.</t>
      </text>
    </comment>
    <comment authorId="0" ref="AQ431">
      <text>
        <t xml:space="preserve">Responder updated this value.</t>
      </text>
    </comment>
    <comment authorId="0" ref="AR431">
      <text>
        <t xml:space="preserve">Responder updated this value.</t>
      </text>
    </comment>
    <comment authorId="0" ref="AW431">
      <text>
        <t xml:space="preserve">Responder updated this value.</t>
      </text>
    </comment>
    <comment authorId="0" ref="BA431">
      <text>
        <t xml:space="preserve">Responder updated this value.</t>
      </text>
    </comment>
    <comment authorId="0" ref="BJ431">
      <text>
        <t xml:space="preserve">Responder updated this value.</t>
      </text>
    </comment>
    <comment authorId="0" ref="BQ431">
      <text>
        <t xml:space="preserve">Responder updated this value.</t>
      </text>
    </comment>
    <comment authorId="0" ref="P432">
      <text>
        <t xml:space="preserve">Responder updated this value.</t>
      </text>
    </comment>
    <comment authorId="0" ref="X432">
      <text>
        <t xml:space="preserve">Responder updated this value.</t>
      </text>
    </comment>
    <comment authorId="0" ref="BJ432">
      <text>
        <t xml:space="preserve">Responder updated this value.</t>
      </text>
    </comment>
    <comment authorId="0" ref="BQ432">
      <text>
        <t xml:space="preserve">Responder updated this value.</t>
      </text>
    </comment>
    <comment authorId="0" ref="O433">
      <text>
        <t xml:space="preserve">Responder updated this value.</t>
      </text>
    </comment>
    <comment authorId="0" ref="P433">
      <text>
        <t xml:space="preserve">Responder updated this value.</t>
      </text>
    </comment>
    <comment authorId="0" ref="Z433">
      <text>
        <t xml:space="preserve">Responder updated this value.</t>
      </text>
    </comment>
    <comment authorId="0" ref="AB433">
      <text>
        <t xml:space="preserve">Responder updated this value.</t>
      </text>
    </comment>
    <comment authorId="0" ref="AC433">
      <text>
        <t xml:space="preserve">Responder updated this value.</t>
      </text>
    </comment>
    <comment authorId="0" ref="AG433">
      <text>
        <t xml:space="preserve">Responder updated this value.</t>
      </text>
    </comment>
    <comment authorId="0" ref="AO433">
      <text>
        <t xml:space="preserve">Responder updated this value.</t>
      </text>
    </comment>
    <comment authorId="0" ref="AP433">
      <text>
        <t xml:space="preserve">Responder updated this value.</t>
      </text>
    </comment>
    <comment authorId="0" ref="AR433">
      <text>
        <t xml:space="preserve">Responder updated this value.</t>
      </text>
    </comment>
    <comment authorId="0" ref="AW433">
      <text>
        <t xml:space="preserve">Responder updated this value.</t>
      </text>
    </comment>
    <comment authorId="0" ref="BA433">
      <text>
        <t xml:space="preserve">Responder updated this value.</t>
      </text>
    </comment>
    <comment authorId="0" ref="BB433">
      <text>
        <t xml:space="preserve">Responder updated this value.</t>
      </text>
    </comment>
    <comment authorId="0" ref="BE433">
      <text>
        <t xml:space="preserve">Responder updated this value.</t>
      </text>
    </comment>
    <comment authorId="0" ref="BI433">
      <text>
        <t xml:space="preserve">Responder updated this value.</t>
      </text>
    </comment>
    <comment authorId="0" ref="BJ433">
      <text>
        <t xml:space="preserve">Responder updated this value.</t>
      </text>
    </comment>
    <comment authorId="0" ref="BQ433">
      <text>
        <t xml:space="preserve">Responder updated this value.</t>
      </text>
    </comment>
    <comment authorId="0" ref="BR433">
      <text>
        <t xml:space="preserve">Responder updated this value.</t>
      </text>
    </comment>
    <comment authorId="0" ref="BT433">
      <text>
        <t xml:space="preserve">Responder updated this value.</t>
      </text>
    </comment>
    <comment authorId="0" ref="BW433">
      <text>
        <t xml:space="preserve">Responder updated this value.</t>
      </text>
    </comment>
    <comment authorId="0" ref="P434">
      <text>
        <t xml:space="preserve">Responder updated this value.</t>
      </text>
    </comment>
    <comment authorId="0" ref="T434">
      <text>
        <t xml:space="preserve">Responder updated this value.</t>
      </text>
    </comment>
    <comment authorId="0" ref="Z434">
      <text>
        <t xml:space="preserve">Responder updated this value.</t>
      </text>
    </comment>
    <comment authorId="0" ref="AB434">
      <text>
        <t xml:space="preserve">Responder updated this value.</t>
      </text>
    </comment>
    <comment authorId="0" ref="AC434">
      <text>
        <t xml:space="preserve">Responder updated this value.</t>
      </text>
    </comment>
    <comment authorId="0" ref="AF434">
      <text>
        <t xml:space="preserve">Responder updated this value.</t>
      </text>
    </comment>
    <comment authorId="0" ref="AL434">
      <text>
        <t xml:space="preserve">Responder updated this value.</t>
      </text>
    </comment>
    <comment authorId="0" ref="AQ434">
      <text>
        <t xml:space="preserve">Responder updated this value.</t>
      </text>
    </comment>
    <comment authorId="0" ref="AR434">
      <text>
        <t xml:space="preserve">Responder updated this value.</t>
      </text>
    </comment>
    <comment authorId="0" ref="AS434">
      <text>
        <t xml:space="preserve">Responder updated this value.</t>
      </text>
    </comment>
    <comment authorId="0" ref="AU434">
      <text>
        <t xml:space="preserve">Responder updated this value.</t>
      </text>
    </comment>
    <comment authorId="0" ref="AV434">
      <text>
        <t xml:space="preserve">Responder updated this value.</t>
      </text>
    </comment>
    <comment authorId="0" ref="AW434">
      <text>
        <t xml:space="preserve">Responder updated this value.</t>
      </text>
    </comment>
    <comment authorId="0" ref="AY434">
      <text>
        <t xml:space="preserve">Responder updated this value.</t>
      </text>
    </comment>
    <comment authorId="0" ref="BC434">
      <text>
        <t xml:space="preserve">Responder updated this value.</t>
      </text>
    </comment>
    <comment authorId="0" ref="BE434">
      <text>
        <t xml:space="preserve">Responder updated this value.</t>
      </text>
    </comment>
    <comment authorId="0" ref="BH434">
      <text>
        <t xml:space="preserve">Responder updated this value.</t>
      </text>
    </comment>
    <comment authorId="0" ref="BI434">
      <text>
        <t xml:space="preserve">Responder updated this value.</t>
      </text>
    </comment>
    <comment authorId="0" ref="BJ434">
      <text>
        <t xml:space="preserve">Responder updated this value.</t>
      </text>
    </comment>
    <comment authorId="0" ref="BL434">
      <text>
        <t xml:space="preserve">Responder updated this value.</t>
      </text>
    </comment>
    <comment authorId="0" ref="BM434">
      <text>
        <t xml:space="preserve">Responder updated this value.</t>
      </text>
    </comment>
    <comment authorId="0" ref="BQ434">
      <text>
        <t xml:space="preserve">Responder updated this value.</t>
      </text>
    </comment>
    <comment authorId="0" ref="BT434">
      <text>
        <t xml:space="preserve">Responder updated this value.</t>
      </text>
    </comment>
    <comment authorId="0" ref="BW434">
      <text>
        <t xml:space="preserve">Responder updated this value.</t>
      </text>
    </comment>
    <comment authorId="0" ref="AB435">
      <text>
        <t xml:space="preserve">Responder updated this value.</t>
      </text>
    </comment>
    <comment authorId="0" ref="AC435">
      <text>
        <t xml:space="preserve">Responder updated this value.</t>
      </text>
    </comment>
    <comment authorId="0" ref="AW435">
      <text>
        <t xml:space="preserve">Responder updated this value.</t>
      </text>
    </comment>
    <comment authorId="0" ref="BJ435">
      <text>
        <t xml:space="preserve">Responder updated this value.</t>
      </text>
    </comment>
    <comment authorId="0" ref="BL435">
      <text>
        <t xml:space="preserve">Responder updated this value.</t>
      </text>
    </comment>
    <comment authorId="0" ref="BM435">
      <text>
        <t xml:space="preserve">Responder updated this value.</t>
      </text>
    </comment>
    <comment authorId="0" ref="BQ435">
      <text>
        <t xml:space="preserve">Responder updated this value.</t>
      </text>
    </comment>
    <comment authorId="0" ref="BW435">
      <text>
        <t xml:space="preserve">Responder updated this value.</t>
      </text>
    </comment>
    <comment authorId="0" ref="BL436">
      <text>
        <t xml:space="preserve">Responder updated this value.</t>
      </text>
    </comment>
    <comment authorId="0" ref="BM436">
      <text>
        <t xml:space="preserve">Responder updated this value.</t>
      </text>
    </comment>
    <comment authorId="0" ref="BQ436">
      <text>
        <t xml:space="preserve">Responder updated this value.</t>
      </text>
    </comment>
    <comment authorId="0" ref="W437">
      <text>
        <t xml:space="preserve">Responder updated this value.</t>
      </text>
    </comment>
    <comment authorId="0" ref="AL437">
      <text>
        <t xml:space="preserve">Responder updated this value.</t>
      </text>
    </comment>
    <comment authorId="0" ref="AM437">
      <text>
        <t xml:space="preserve">Responder updated this value.</t>
      </text>
    </comment>
    <comment authorId="0" ref="AR437">
      <text>
        <t xml:space="preserve">Responder updated this value.</t>
      </text>
    </comment>
    <comment authorId="0" ref="AX437">
      <text>
        <t xml:space="preserve">Responder updated this value.</t>
      </text>
    </comment>
    <comment authorId="0" ref="BD437">
      <text>
        <t xml:space="preserve">Responder updated this value.</t>
      </text>
    </comment>
    <comment authorId="0" ref="BJ437">
      <text>
        <t xml:space="preserve">Responder updated this value.</t>
      </text>
    </comment>
    <comment authorId="0" ref="BL437">
      <text>
        <t xml:space="preserve">Responder updated this value.</t>
      </text>
    </comment>
    <comment authorId="0" ref="BM437">
      <text>
        <t xml:space="preserve">Responder updated this value.</t>
      </text>
    </comment>
    <comment authorId="0" ref="BQ437">
      <text>
        <t xml:space="preserve">Responder updated this value.</t>
      </text>
    </comment>
    <comment authorId="0" ref="BT437">
      <text>
        <t xml:space="preserve">Responder updated this value.</t>
      </text>
    </comment>
    <comment authorId="0" ref="BW437">
      <text>
        <t xml:space="preserve">Responder updated this value.</t>
      </text>
    </comment>
    <comment authorId="0" ref="BQ438">
      <text>
        <t xml:space="preserve">Responder updated this value.</t>
      </text>
    </comment>
    <comment authorId="0" ref="Z439">
      <text>
        <t xml:space="preserve">Responder updated this value.</t>
      </text>
    </comment>
    <comment authorId="0" ref="AB439">
      <text>
        <t xml:space="preserve">Responder updated this value.</t>
      </text>
    </comment>
    <comment authorId="0" ref="AC439">
      <text>
        <t xml:space="preserve">Responder updated this value.</t>
      </text>
    </comment>
    <comment authorId="0" ref="AF439">
      <text>
        <t xml:space="preserve">Responder updated this value.</t>
      </text>
    </comment>
    <comment authorId="0" ref="AG439">
      <text>
        <t xml:space="preserve">Responder updated this value.</t>
      </text>
    </comment>
    <comment authorId="0" ref="AQ439">
      <text>
        <t xml:space="preserve">Responder updated this value.</t>
      </text>
    </comment>
    <comment authorId="0" ref="AR439">
      <text>
        <t xml:space="preserve">Responder updated this value.</t>
      </text>
    </comment>
    <comment authorId="0" ref="AS439">
      <text>
        <t xml:space="preserve">Responder updated this value.</t>
      </text>
    </comment>
    <comment authorId="0" ref="AW439">
      <text>
        <t xml:space="preserve">Responder updated this value.</t>
      </text>
    </comment>
    <comment authorId="0" ref="BB439">
      <text>
        <t xml:space="preserve">Responder updated this value.</t>
      </text>
    </comment>
    <comment authorId="0" ref="BJ439">
      <text>
        <t xml:space="preserve">Responder updated this value.</t>
      </text>
    </comment>
    <comment authorId="0" ref="BN439">
      <text>
        <t xml:space="preserve">Responder updated this value.</t>
      </text>
    </comment>
    <comment authorId="0" ref="BQ439">
      <text>
        <t xml:space="preserve">Responder updated this value.</t>
      </text>
    </comment>
    <comment authorId="0" ref="BR439">
      <text>
        <t xml:space="preserve">Responder updated this value.</t>
      </text>
    </comment>
    <comment authorId="0" ref="BW439">
      <text>
        <t xml:space="preserve">Responder updated this value.</t>
      </text>
    </comment>
    <comment authorId="0" ref="AB440">
      <text>
        <t xml:space="preserve">Responder updated this value.</t>
      </text>
    </comment>
    <comment authorId="0" ref="AC440">
      <text>
        <t xml:space="preserve">Responder updated this value.</t>
      </text>
    </comment>
    <comment authorId="0" ref="AL440">
      <text>
        <t xml:space="preserve">Responder updated this value.</t>
      </text>
    </comment>
    <comment authorId="0" ref="AM440">
      <text>
        <t xml:space="preserve">Responder updated this value.</t>
      </text>
    </comment>
    <comment authorId="0" ref="AW440">
      <text>
        <t xml:space="preserve">Responder updated this value.</t>
      </text>
    </comment>
    <comment authorId="0" ref="BC440">
      <text>
        <t xml:space="preserve">Responder updated this value.</t>
      </text>
    </comment>
    <comment authorId="0" ref="BJ440">
      <text>
        <t xml:space="preserve">Responder updated this value.</t>
      </text>
    </comment>
    <comment authorId="0" ref="BQ440">
      <text>
        <t xml:space="preserve">Responder updated this value.</t>
      </text>
    </comment>
    <comment authorId="0" ref="BW440">
      <text>
        <t xml:space="preserve">Responder updated this value.</t>
      </text>
    </comment>
    <comment authorId="0" ref="AL441">
      <text>
        <t xml:space="preserve">Responder updated this value.</t>
      </text>
    </comment>
    <comment authorId="0" ref="AM441">
      <text>
        <t xml:space="preserve">Responder updated this value.</t>
      </text>
    </comment>
    <comment authorId="0" ref="AO441">
      <text>
        <t xml:space="preserve">Responder updated this value.</t>
      </text>
    </comment>
    <comment authorId="0" ref="AP441">
      <text>
        <t xml:space="preserve">Responder updated this value.</t>
      </text>
    </comment>
    <comment authorId="0" ref="BL441">
      <text>
        <t xml:space="preserve">Responder updated this value.</t>
      </text>
    </comment>
    <comment authorId="0" ref="BM441">
      <text>
        <t xml:space="preserve">Responder updated this value.</t>
      </text>
    </comment>
    <comment authorId="0" ref="BQ441">
      <text>
        <t xml:space="preserve">Responder updated this value.</t>
      </text>
    </comment>
    <comment authorId="0" ref="AM442">
      <text>
        <t xml:space="preserve">Responder updated this value.</t>
      </text>
    </comment>
    <comment authorId="0" ref="AW442">
      <text>
        <t xml:space="preserve">Responder updated this value.</t>
      </text>
    </comment>
    <comment authorId="0" ref="BJ442">
      <text>
        <t xml:space="preserve">Responder updated this value.</t>
      </text>
    </comment>
    <comment authorId="0" ref="BL442">
      <text>
        <t xml:space="preserve">Responder updated this value.</t>
      </text>
    </comment>
    <comment authorId="0" ref="BM442">
      <text>
        <t xml:space="preserve">Responder updated this value.</t>
      </text>
    </comment>
    <comment authorId="0" ref="BQ442">
      <text>
        <t xml:space="preserve">Responder updated this value.</t>
      </text>
    </comment>
    <comment authorId="0" ref="AL443">
      <text>
        <t xml:space="preserve">Responder updated this value.</t>
      </text>
    </comment>
    <comment authorId="0" ref="AM443">
      <text>
        <t xml:space="preserve">Responder updated this value.</t>
      </text>
    </comment>
    <comment authorId="0" ref="AQ443">
      <text>
        <t xml:space="preserve">Responder updated this value.</t>
      </text>
    </comment>
    <comment authorId="0" ref="AR443">
      <text>
        <t xml:space="preserve">Responder updated this value.</t>
      </text>
    </comment>
    <comment authorId="0" ref="BA443">
      <text>
        <t xml:space="preserve">Responder updated this value.</t>
      </text>
    </comment>
    <comment authorId="0" ref="BM443">
      <text>
        <t xml:space="preserve">Responder updated this value.</t>
      </text>
    </comment>
    <comment authorId="0" ref="BQ443">
      <text>
        <t xml:space="preserve">Responder updated this value.</t>
      </text>
    </comment>
    <comment authorId="0" ref="AQ444">
      <text>
        <t xml:space="preserve">Responder updated this value.</t>
      </text>
    </comment>
    <comment authorId="0" ref="AS444">
      <text>
        <t xml:space="preserve">Responder updated this value.</t>
      </text>
    </comment>
    <comment authorId="0" ref="BL444">
      <text>
        <t xml:space="preserve">Responder updated this value.</t>
      </text>
    </comment>
    <comment authorId="0" ref="BM444">
      <text>
        <t xml:space="preserve">Responder updated this value.</t>
      </text>
    </comment>
    <comment authorId="0" ref="BN444">
      <text>
        <t xml:space="preserve">Responder updated this value.</t>
      </text>
    </comment>
    <comment authorId="0" ref="BQ444">
      <text>
        <t xml:space="preserve">Responder updated this value.</t>
      </text>
    </comment>
    <comment authorId="0" ref="BW444">
      <text>
        <t xml:space="preserve">Responder updated this value.</t>
      </text>
    </comment>
    <comment authorId="0" ref="AQ445">
      <text>
        <t xml:space="preserve">Responder updated this value.</t>
      </text>
    </comment>
    <comment authorId="0" ref="AR445">
      <text>
        <t xml:space="preserve">Responder updated this value.</t>
      </text>
    </comment>
    <comment authorId="0" ref="AU445">
      <text>
        <t xml:space="preserve">Responder updated this value.</t>
      </text>
    </comment>
    <comment authorId="0" ref="BM445">
      <text>
        <t xml:space="preserve">Responder updated this value.</t>
      </text>
    </comment>
    <comment authorId="0" ref="BQ445">
      <text>
        <t xml:space="preserve">Responder updated this value.</t>
      </text>
    </comment>
    <comment authorId="0" ref="BT445">
      <text>
        <t xml:space="preserve">Responder updated this value.</t>
      </text>
    </comment>
    <comment authorId="0" ref="BV445">
      <text>
        <t xml:space="preserve">Responder updated this value.</t>
      </text>
    </comment>
    <comment authorId="0" ref="BW445">
      <text>
        <t xml:space="preserve">Responder updated this value.</t>
      </text>
    </comment>
    <comment authorId="0" ref="P446">
      <text>
        <t xml:space="preserve">Responder updated this value.</t>
      </text>
    </comment>
    <comment authorId="0" ref="AL446">
      <text>
        <t xml:space="preserve">Responder updated this value.</t>
      </text>
    </comment>
    <comment authorId="0" ref="AM446">
      <text>
        <t xml:space="preserve">Responder updated this value.</t>
      </text>
    </comment>
    <comment authorId="0" ref="AQ446">
      <text>
        <t xml:space="preserve">Responder updated this value.</t>
      </text>
    </comment>
    <comment authorId="0" ref="AR446">
      <text>
        <t xml:space="preserve">Responder updated this value.</t>
      </text>
    </comment>
    <comment authorId="0" ref="AS446">
      <text>
        <t xml:space="preserve">Responder updated this value.</t>
      </text>
    </comment>
    <comment authorId="0" ref="AW446">
      <text>
        <t xml:space="preserve">Responder updated this value.</t>
      </text>
    </comment>
    <comment authorId="0" ref="BL446">
      <text>
        <t xml:space="preserve">Responder updated this value.</t>
      </text>
    </comment>
    <comment authorId="0" ref="BQ446">
      <text>
        <t xml:space="preserve">Responder updated this value.</t>
      </text>
    </comment>
    <comment authorId="0" ref="BT446">
      <text>
        <t xml:space="preserve">Responder updated this value.</t>
      </text>
    </comment>
    <comment authorId="0" ref="BU446">
      <text>
        <t xml:space="preserve">Responder updated this value.</t>
      </text>
    </comment>
    <comment authorId="0" ref="BV446">
      <text>
        <t xml:space="preserve">Responder updated this value.</t>
      </text>
    </comment>
    <comment authorId="0" ref="BW446">
      <text>
        <t xml:space="preserve">Responder updated this value.</t>
      </text>
    </comment>
    <comment authorId="0" ref="BJ447">
      <text>
        <t xml:space="preserve">Responder updated this value.</t>
      </text>
    </comment>
    <comment authorId="0" ref="BQ447">
      <text>
        <t xml:space="preserve">Responder updated this value.</t>
      </text>
    </comment>
    <comment authorId="0" ref="AL448">
      <text>
        <t xml:space="preserve">Responder updated this value.</t>
      </text>
    </comment>
    <comment authorId="0" ref="AM448">
      <text>
        <t xml:space="preserve">Responder updated this value.</t>
      </text>
    </comment>
    <comment authorId="0" ref="AQ448">
      <text>
        <t xml:space="preserve">Responder updated this value.</t>
      </text>
    </comment>
    <comment authorId="0" ref="AW448">
      <text>
        <t xml:space="preserve">Responder updated this value.</t>
      </text>
    </comment>
    <comment authorId="0" ref="BJ448">
      <text>
        <t xml:space="preserve">Responder updated this value.</t>
      </text>
    </comment>
    <comment authorId="0" ref="BL448">
      <text>
        <t xml:space="preserve">Responder updated this value.</t>
      </text>
    </comment>
    <comment authorId="0" ref="BM448">
      <text>
        <t xml:space="preserve">Responder updated this value.</t>
      </text>
    </comment>
    <comment authorId="0" ref="BN448">
      <text>
        <t xml:space="preserve">Responder updated this value.</t>
      </text>
    </comment>
    <comment authorId="0" ref="BQ448">
      <text>
        <t xml:space="preserve">Responder updated this value.</t>
      </text>
    </comment>
    <comment authorId="0" ref="AC449">
      <text>
        <t xml:space="preserve">Responder updated this value.</t>
      </text>
    </comment>
    <comment authorId="0" ref="AU449">
      <text>
        <t xml:space="preserve">Responder updated this value.</t>
      </text>
    </comment>
    <comment authorId="0" ref="AV449">
      <text>
        <t xml:space="preserve">Responder updated this value.</t>
      </text>
    </comment>
    <comment authorId="0" ref="AW449">
      <text>
        <t xml:space="preserve">Responder updated this value.</t>
      </text>
    </comment>
    <comment authorId="0" ref="BA449">
      <text>
        <t xml:space="preserve">Responder updated this value.</t>
      </text>
    </comment>
    <comment authorId="0" ref="BB449">
      <text>
        <t xml:space="preserve">Responder updated this value.</t>
      </text>
    </comment>
    <comment authorId="0" ref="BE449">
      <text>
        <t xml:space="preserve">Responder updated this value.</t>
      </text>
    </comment>
    <comment authorId="0" ref="BI449">
      <text>
        <t xml:space="preserve">Responder updated this value.</t>
      </text>
    </comment>
    <comment authorId="0" ref="BL449">
      <text>
        <t xml:space="preserve">Responder updated this value.</t>
      </text>
    </comment>
    <comment authorId="0" ref="BM449">
      <text>
        <t xml:space="preserve">Responder updated this value.</t>
      </text>
    </comment>
    <comment authorId="0" ref="BN449">
      <text>
        <t xml:space="preserve">Responder updated this value.</t>
      </text>
    </comment>
    <comment authorId="0" ref="BP449">
      <text>
        <t xml:space="preserve">Responder updated this value.</t>
      </text>
    </comment>
    <comment authorId="0" ref="BQ449">
      <text>
        <t xml:space="preserve">Responder updated this value.</t>
      </text>
    </comment>
    <comment authorId="0" ref="BU449">
      <text>
        <t xml:space="preserve">Responder updated this value.</t>
      </text>
    </comment>
    <comment authorId="0" ref="BV449">
      <text>
        <t xml:space="preserve">Responder updated this value.</t>
      </text>
    </comment>
    <comment authorId="0" ref="BW449">
      <text>
        <t xml:space="preserve">Responder updated this value.</t>
      </text>
    </comment>
    <comment authorId="0" ref="AN450">
      <text>
        <t xml:space="preserve">Responder updated this value.</t>
      </text>
    </comment>
    <comment authorId="0" ref="AP450">
      <text>
        <t xml:space="preserve">Responder updated this value.</t>
      </text>
    </comment>
    <comment authorId="0" ref="AQ450">
      <text>
        <t xml:space="preserve">Responder updated this value.</t>
      </text>
    </comment>
    <comment authorId="0" ref="AW450">
      <text>
        <t xml:space="preserve">Responder updated this value.</t>
      </text>
    </comment>
    <comment authorId="0" ref="BJ450">
      <text>
        <t xml:space="preserve">Responder updated this value.</t>
      </text>
    </comment>
    <comment authorId="0" ref="BL450">
      <text>
        <t xml:space="preserve">Responder updated this value.</t>
      </text>
    </comment>
    <comment authorId="0" ref="BM450">
      <text>
        <t xml:space="preserve">Responder updated this value.</t>
      </text>
    </comment>
    <comment authorId="0" ref="BN450">
      <text>
        <t xml:space="preserve">Responder updated this value.</t>
      </text>
    </comment>
    <comment authorId="0" ref="BQ450">
      <text>
        <t xml:space="preserve">Responder updated this value.</t>
      </text>
    </comment>
    <comment authorId="0" ref="BW450">
      <text>
        <t xml:space="preserve">Responder updated this value.</t>
      </text>
    </comment>
    <comment authorId="0" ref="AP451">
      <text>
        <t xml:space="preserve">Responder updated this value.</t>
      </text>
    </comment>
    <comment authorId="0" ref="BI451">
      <text>
        <t xml:space="preserve">Responder updated this value.</t>
      </text>
    </comment>
    <comment authorId="0" ref="BJ451">
      <text>
        <t xml:space="preserve">Responder updated this value.</t>
      </text>
    </comment>
    <comment authorId="0" ref="BL451">
      <text>
        <t xml:space="preserve">Responder updated this value.</t>
      </text>
    </comment>
    <comment authorId="0" ref="BM451">
      <text>
        <t xml:space="preserve">Responder updated this value.</t>
      </text>
    </comment>
    <comment authorId="0" ref="BQ451">
      <text>
        <t xml:space="preserve">Responder updated this value.</t>
      </text>
    </comment>
    <comment authorId="0" ref="AQ452">
      <text>
        <t xml:space="preserve">Responder updated this value.</t>
      </text>
    </comment>
    <comment authorId="0" ref="AR452">
      <text>
        <t xml:space="preserve">Responder updated this value.</t>
      </text>
    </comment>
    <comment authorId="0" ref="BL452">
      <text>
        <t xml:space="preserve">Responder updated this value.</t>
      </text>
    </comment>
    <comment authorId="0" ref="BM452">
      <text>
        <t xml:space="preserve">Responder updated this value.</t>
      </text>
    </comment>
    <comment authorId="0" ref="BN452">
      <text>
        <t xml:space="preserve">Responder updated this value.</t>
      </text>
    </comment>
    <comment authorId="0" ref="BQ452">
      <text>
        <t xml:space="preserve">Responder updated this value.</t>
      </text>
    </comment>
    <comment authorId="0" ref="BS452">
      <text>
        <t xml:space="preserve">Responder updated this value.</t>
      </text>
    </comment>
    <comment authorId="0" ref="BT452">
      <text>
        <t xml:space="preserve">Responder updated this value.</t>
      </text>
    </comment>
    <comment authorId="0" ref="BW452">
      <text>
        <t xml:space="preserve">Responder updated this value.</t>
      </text>
    </comment>
    <comment authorId="0" ref="AQ453">
      <text>
        <t xml:space="preserve">Responder updated this value.</t>
      </text>
    </comment>
    <comment authorId="0" ref="AR453">
      <text>
        <t xml:space="preserve">Responder updated this value.</t>
      </text>
    </comment>
    <comment authorId="0" ref="AS453">
      <text>
        <t xml:space="preserve">Responder updated this value.</t>
      </text>
    </comment>
    <comment authorId="0" ref="BA453">
      <text>
        <t xml:space="preserve">Responder updated this value.</t>
      </text>
    </comment>
    <comment authorId="0" ref="BB453">
      <text>
        <t xml:space="preserve">Responder updated this value.</t>
      </text>
    </comment>
    <comment authorId="0" ref="BL453">
      <text>
        <t xml:space="preserve">Responder updated this value.</t>
      </text>
    </comment>
    <comment authorId="0" ref="BM453">
      <text>
        <t xml:space="preserve">Responder updated this value.</t>
      </text>
    </comment>
    <comment authorId="0" ref="BQ453">
      <text>
        <t xml:space="preserve">Responder updated this value.</t>
      </text>
    </comment>
    <comment authorId="0" ref="BS453">
      <text>
        <t xml:space="preserve">Responder updated this value.</t>
      </text>
    </comment>
    <comment authorId="0" ref="BT453">
      <text>
        <t xml:space="preserve">Responder updated this value.</t>
      </text>
    </comment>
    <comment authorId="0" ref="BU453">
      <text>
        <t xml:space="preserve">Responder updated this value.</t>
      </text>
    </comment>
    <comment authorId="0" ref="BV453">
      <text>
        <t xml:space="preserve">Responder updated this value.</t>
      </text>
    </comment>
    <comment authorId="0" ref="BW453">
      <text>
        <t xml:space="preserve">Responder updated this value.</t>
      </text>
    </comment>
    <comment authorId="0" ref="AQ454">
      <text>
        <t xml:space="preserve">Responder updated this value.</t>
      </text>
    </comment>
    <comment authorId="0" ref="AR454">
      <text>
        <t xml:space="preserve">Responder updated this value.</t>
      </text>
    </comment>
    <comment authorId="0" ref="AS454">
      <text>
        <t xml:space="preserve">Responder updated this value.</t>
      </text>
    </comment>
    <comment authorId="0" ref="BA454">
      <text>
        <t xml:space="preserve">Responder updated this value.</t>
      </text>
    </comment>
    <comment authorId="0" ref="BJ454">
      <text>
        <t xml:space="preserve">Responder updated this value.</t>
      </text>
    </comment>
    <comment authorId="0" ref="BL454">
      <text>
        <t xml:space="preserve">Responder updated this value.</t>
      </text>
    </comment>
    <comment authorId="0" ref="BM454">
      <text>
        <t xml:space="preserve">Responder updated this value.</t>
      </text>
    </comment>
    <comment authorId="0" ref="BQ454">
      <text>
        <t xml:space="preserve">Responder updated this value.</t>
      </text>
    </comment>
    <comment authorId="0" ref="BR454">
      <text>
        <t xml:space="preserve">Responder updated this value.</t>
      </text>
    </comment>
    <comment authorId="0" ref="BS454">
      <text>
        <t xml:space="preserve">Responder updated this value.</t>
      </text>
    </comment>
    <comment authorId="0" ref="BT454">
      <text>
        <t xml:space="preserve">Responder updated this value.</t>
      </text>
    </comment>
    <comment authorId="0" ref="BU454">
      <text>
        <t xml:space="preserve">Responder updated this value.</t>
      </text>
    </comment>
    <comment authorId="0" ref="BV454">
      <text>
        <t xml:space="preserve">Responder updated this value.</t>
      </text>
    </comment>
    <comment authorId="0" ref="BW454">
      <text>
        <t xml:space="preserve">Responder updated this value.</t>
      </text>
    </comment>
    <comment authorId="0" ref="AB455">
      <text>
        <t xml:space="preserve">Responder updated this value.</t>
      </text>
    </comment>
    <comment authorId="0" ref="AC455">
      <text>
        <t xml:space="preserve">Responder updated this value.</t>
      </text>
    </comment>
    <comment authorId="0" ref="AL455">
      <text>
        <t xml:space="preserve">Responder updated this value.</t>
      </text>
    </comment>
    <comment authorId="0" ref="AM455">
      <text>
        <t xml:space="preserve">Responder updated this value.</t>
      </text>
    </comment>
    <comment authorId="0" ref="AO455">
      <text>
        <t xml:space="preserve">Responder updated this value.</t>
      </text>
    </comment>
    <comment authorId="0" ref="AP455">
      <text>
        <t xml:space="preserve">Responder updated this value.</t>
      </text>
    </comment>
    <comment authorId="0" ref="AR455">
      <text>
        <t xml:space="preserve">Responder updated this value.</t>
      </text>
    </comment>
    <comment authorId="0" ref="AW455">
      <text>
        <t xml:space="preserve">Responder updated this value.</t>
      </text>
    </comment>
    <comment authorId="0" ref="BA455">
      <text>
        <t xml:space="preserve">Responder updated this value.</t>
      </text>
    </comment>
    <comment authorId="0" ref="BF455">
      <text>
        <t xml:space="preserve">Responder updated this value.</t>
      </text>
    </comment>
    <comment authorId="0" ref="BI455">
      <text>
        <t xml:space="preserve">Responder updated this value.</t>
      </text>
    </comment>
    <comment authorId="0" ref="BJ455">
      <text>
        <t xml:space="preserve">Responder updated this value.</t>
      </text>
    </comment>
    <comment authorId="0" ref="BL455">
      <text>
        <t xml:space="preserve">Responder updated this value.</t>
      </text>
    </comment>
    <comment authorId="0" ref="BM455">
      <text>
        <t xml:space="preserve">Responder updated this value.</t>
      </text>
    </comment>
    <comment authorId="0" ref="BN455">
      <text>
        <t xml:space="preserve">Responder updated this value.</t>
      </text>
    </comment>
    <comment authorId="0" ref="BP455">
      <text>
        <t xml:space="preserve">Responder updated this value.</t>
      </text>
    </comment>
    <comment authorId="0" ref="BQ455">
      <text>
        <t xml:space="preserve">Responder updated this value.</t>
      </text>
    </comment>
    <comment authorId="0" ref="BR455">
      <text>
        <t xml:space="preserve">Responder updated this value.</t>
      </text>
    </comment>
    <comment authorId="0" ref="BW455">
      <text>
        <t xml:space="preserve">Responder updated this value.</t>
      </text>
    </comment>
    <comment authorId="0" ref="AO456">
      <text>
        <t xml:space="preserve">Responder updated this value.</t>
      </text>
    </comment>
    <comment authorId="0" ref="AP456">
      <text>
        <t xml:space="preserve">Responder updated this value.</t>
      </text>
    </comment>
    <comment authorId="0" ref="BM456">
      <text>
        <t xml:space="preserve">Responder updated this value.</t>
      </text>
    </comment>
    <comment authorId="0" ref="BN456">
      <text>
        <t xml:space="preserve">Responder updated this value.</t>
      </text>
    </comment>
    <comment authorId="0" ref="BQ456">
      <text>
        <t xml:space="preserve">Responder updated this value.</t>
      </text>
    </comment>
    <comment authorId="0" ref="AL457">
      <text>
        <t xml:space="preserve">Responder updated this value.</t>
      </text>
    </comment>
    <comment authorId="0" ref="AM457">
      <text>
        <t xml:space="preserve">Responder updated this value.</t>
      </text>
    </comment>
    <comment authorId="0" ref="AP457">
      <text>
        <t xml:space="preserve">Responder updated this value.</t>
      </text>
    </comment>
    <comment authorId="0" ref="AQ457">
      <text>
        <t xml:space="preserve">Responder updated this value.</t>
      </text>
    </comment>
    <comment authorId="0" ref="AR457">
      <text>
        <t xml:space="preserve">Responder updated this value.</t>
      </text>
    </comment>
    <comment authorId="0" ref="AW457">
      <text>
        <t xml:space="preserve">Responder updated this value.</t>
      </text>
    </comment>
    <comment authorId="0" ref="AX457">
      <text>
        <t xml:space="preserve">Responder updated this value.</t>
      </text>
    </comment>
    <comment authorId="0" ref="BN457">
      <text>
        <t xml:space="preserve">Responder updated this value.</t>
      </text>
    </comment>
    <comment authorId="0" ref="BQ457">
      <text>
        <t xml:space="preserve">Responder updated this value.</t>
      </text>
    </comment>
    <comment authorId="0" ref="AL458">
      <text>
        <t xml:space="preserve">Responder updated this value.</t>
      </text>
    </comment>
    <comment authorId="0" ref="AM458">
      <text>
        <t xml:space="preserve">Responder updated this value.</t>
      </text>
    </comment>
    <comment authorId="0" ref="BC458">
      <text>
        <t xml:space="preserve">Responder updated this value.</t>
      </text>
    </comment>
    <comment authorId="0" ref="BJ458">
      <text>
        <t xml:space="preserve">Responder updated this value.</t>
      </text>
    </comment>
    <comment authorId="0" ref="BL458">
      <text>
        <t xml:space="preserve">Responder updated this value.</t>
      </text>
    </comment>
    <comment authorId="0" ref="BM458">
      <text>
        <t xml:space="preserve">Responder updated this value.</t>
      </text>
    </comment>
    <comment authorId="0" ref="BQ458">
      <text>
        <t xml:space="preserve">Responder updated this value.</t>
      </text>
    </comment>
    <comment authorId="0" ref="BJ459">
      <text>
        <t xml:space="preserve">Responder updated this value.</t>
      </text>
    </comment>
    <comment authorId="0" ref="BL459">
      <text>
        <t xml:space="preserve">Responder updated this value.</t>
      </text>
    </comment>
    <comment authorId="0" ref="BM459">
      <text>
        <t xml:space="preserve">Responder updated this value.</t>
      </text>
    </comment>
    <comment authorId="0" ref="BN459">
      <text>
        <t xml:space="preserve">Responder updated this value.</t>
      </text>
    </comment>
    <comment authorId="0" ref="BQ459">
      <text>
        <t xml:space="preserve">Responder updated this value.</t>
      </text>
    </comment>
    <comment authorId="0" ref="AL460">
      <text>
        <t xml:space="preserve">Responder updated this value.</t>
      </text>
    </comment>
    <comment authorId="0" ref="AM460">
      <text>
        <t xml:space="preserve">Responder updated this value.</t>
      </text>
    </comment>
    <comment authorId="0" ref="AQ460">
      <text>
        <t xml:space="preserve">Responder updated this value.</t>
      </text>
    </comment>
    <comment authorId="0" ref="AR460">
      <text>
        <t xml:space="preserve">Responder updated this value.</t>
      </text>
    </comment>
    <comment authorId="0" ref="AW460">
      <text>
        <t xml:space="preserve">Responder updated this value.</t>
      </text>
    </comment>
    <comment authorId="0" ref="BE460">
      <text>
        <t xml:space="preserve">Responder updated this value.</t>
      </text>
    </comment>
    <comment authorId="0" ref="BH460">
      <text>
        <t xml:space="preserve">Responder updated this value.</t>
      </text>
    </comment>
    <comment authorId="0" ref="BI460">
      <text>
        <t xml:space="preserve">Responder updated this value.</t>
      </text>
    </comment>
    <comment authorId="0" ref="BL460">
      <text>
        <t xml:space="preserve">Responder updated this value.</t>
      </text>
    </comment>
    <comment authorId="0" ref="BM460">
      <text>
        <t xml:space="preserve">Responder updated this value.</t>
      </text>
    </comment>
    <comment authorId="0" ref="BN460">
      <text>
        <t xml:space="preserve">Responder updated this value.</t>
      </text>
    </comment>
    <comment authorId="0" ref="BQ460">
      <text>
        <t xml:space="preserve">Responder updated this value.</t>
      </text>
    </comment>
    <comment authorId="0" ref="BW460">
      <text>
        <t xml:space="preserve">Responder updated this value.</t>
      </text>
    </comment>
    <comment authorId="0" ref="AQ461">
      <text>
        <t xml:space="preserve">Responder updated this value.</t>
      </text>
    </comment>
    <comment authorId="0" ref="AR461">
      <text>
        <t xml:space="preserve">Responder updated this value.</t>
      </text>
    </comment>
    <comment authorId="0" ref="AS461">
      <text>
        <t xml:space="preserve">Responder updated this value.</t>
      </text>
    </comment>
    <comment authorId="0" ref="BF461">
      <text>
        <t xml:space="preserve">Responder updated this value.</t>
      </text>
    </comment>
    <comment authorId="0" ref="BH461">
      <text>
        <t xml:space="preserve">Responder updated this value.</t>
      </text>
    </comment>
    <comment authorId="0" ref="BI461">
      <text>
        <t xml:space="preserve">Responder updated this value.</t>
      </text>
    </comment>
    <comment authorId="0" ref="BQ461">
      <text>
        <t xml:space="preserve">Responder updated this value.</t>
      </text>
    </comment>
    <comment authorId="0" ref="BW461">
      <text>
        <t xml:space="preserve">Responder updated this value.</t>
      </text>
    </comment>
    <comment authorId="0" ref="AQ462">
      <text>
        <t xml:space="preserve">Responder updated this value.</t>
      </text>
    </comment>
    <comment authorId="0" ref="BJ462">
      <text>
        <t xml:space="preserve">Responder updated this value.</t>
      </text>
    </comment>
    <comment authorId="0" ref="BP462">
      <text>
        <t xml:space="preserve">Responder updated this value.</t>
      </text>
    </comment>
    <comment authorId="0" ref="BQ462">
      <text>
        <t xml:space="preserve">Responder updated this value.</t>
      </text>
    </comment>
    <comment authorId="0" ref="AL463">
      <text>
        <t xml:space="preserve">Responder updated this value.</t>
      </text>
    </comment>
    <comment authorId="0" ref="AM463">
      <text>
        <t xml:space="preserve">Responder updated this value.</t>
      </text>
    </comment>
    <comment authorId="0" ref="AV463">
      <text>
        <t xml:space="preserve">Responder updated this value.</t>
      </text>
    </comment>
    <comment authorId="0" ref="AW463">
      <text>
        <t xml:space="preserve">Responder updated this value.</t>
      </text>
    </comment>
    <comment authorId="0" ref="BA463">
      <text>
        <t xml:space="preserve">Responder updated this value.</t>
      </text>
    </comment>
    <comment authorId="0" ref="BJ463">
      <text>
        <t xml:space="preserve">Responder updated this value.</t>
      </text>
    </comment>
    <comment authorId="0" ref="BL463">
      <text>
        <t xml:space="preserve">Responder updated this value.</t>
      </text>
    </comment>
    <comment authorId="0" ref="BM463">
      <text>
        <t xml:space="preserve">Responder updated this value.</t>
      </text>
    </comment>
    <comment authorId="0" ref="BQ463">
      <text>
        <t xml:space="preserve">Responder updated this value.</t>
      </text>
    </comment>
    <comment authorId="0" ref="BT463">
      <text>
        <t xml:space="preserve">Responder updated this value.</t>
      </text>
    </comment>
    <comment authorId="0" ref="BW463">
      <text>
        <t xml:space="preserve">Responder updated this value.</t>
      </text>
    </comment>
    <comment authorId="0" ref="Z464">
      <text>
        <t xml:space="preserve">Responder updated this value.</t>
      </text>
    </comment>
    <comment authorId="0" ref="AB464">
      <text>
        <t xml:space="preserve">Responder updated this value.</t>
      </text>
    </comment>
    <comment authorId="0" ref="AC464">
      <text>
        <t xml:space="preserve">Responder updated this value.</t>
      </text>
    </comment>
    <comment authorId="0" ref="AL464">
      <text>
        <t xml:space="preserve">Responder updated this value.</t>
      </text>
    </comment>
    <comment authorId="0" ref="AM464">
      <text>
        <t xml:space="preserve">Responder updated this value.</t>
      </text>
    </comment>
    <comment authorId="0" ref="BJ464">
      <text>
        <t xml:space="preserve">Responder updated this value.</t>
      </text>
    </comment>
    <comment authorId="0" ref="BL464">
      <text>
        <t xml:space="preserve">Responder updated this value.</t>
      </text>
    </comment>
    <comment authorId="0" ref="BM464">
      <text>
        <t xml:space="preserve">Responder updated this value.</t>
      </text>
    </comment>
    <comment authorId="0" ref="BQ464">
      <text>
        <t xml:space="preserve">Responder updated this value.</t>
      </text>
    </comment>
    <comment authorId="0" ref="BW464">
      <text>
        <t xml:space="preserve">Responder updated this value.</t>
      </text>
    </comment>
    <comment authorId="0" ref="AB465">
      <text>
        <t xml:space="preserve">Responder updated this value.</t>
      </text>
    </comment>
    <comment authorId="0" ref="AL465">
      <text>
        <t xml:space="preserve">Responder updated this value.</t>
      </text>
    </comment>
    <comment authorId="0" ref="AM465">
      <text>
        <t xml:space="preserve">Responder updated this value.</t>
      </text>
    </comment>
    <comment authorId="0" ref="AO465">
      <text>
        <t xml:space="preserve">Responder updated this value.</t>
      </text>
    </comment>
    <comment authorId="0" ref="AP465">
      <text>
        <t xml:space="preserve">Responder updated this value.</t>
      </text>
    </comment>
    <comment authorId="0" ref="AQ465">
      <text>
        <t xml:space="preserve">Responder updated this value.</t>
      </text>
    </comment>
    <comment authorId="0" ref="BC465">
      <text>
        <t xml:space="preserve">Responder updated this value.</t>
      </text>
    </comment>
    <comment authorId="0" ref="BE465">
      <text>
        <t xml:space="preserve">Responder updated this value.</t>
      </text>
    </comment>
    <comment authorId="0" ref="BL465">
      <text>
        <t xml:space="preserve">Responder updated this value.</t>
      </text>
    </comment>
    <comment authorId="0" ref="BM465">
      <text>
        <t xml:space="preserve">Responder updated this value.</t>
      </text>
    </comment>
    <comment authorId="0" ref="BN465">
      <text>
        <t xml:space="preserve">Responder updated this value.</t>
      </text>
    </comment>
    <comment authorId="0" ref="BP465">
      <text>
        <t xml:space="preserve">Responder updated this value.</t>
      </text>
    </comment>
    <comment authorId="0" ref="BQ465">
      <text>
        <t xml:space="preserve">Responder updated this value.</t>
      </text>
    </comment>
    <comment authorId="0" ref="BS465">
      <text>
        <t xml:space="preserve">Responder updated this value.</t>
      </text>
    </comment>
    <comment authorId="0" ref="BT465">
      <text>
        <t xml:space="preserve">Responder updated this value.</t>
      </text>
    </comment>
    <comment authorId="0" ref="BW465">
      <text>
        <t xml:space="preserve">Responder updated this value.</t>
      </text>
    </comment>
    <comment authorId="0" ref="BQ466">
      <text>
        <t xml:space="preserve">Responder updated this value.</t>
      </text>
    </comment>
    <comment authorId="0" ref="BR466">
      <text>
        <t xml:space="preserve">Responder updated this value.</t>
      </text>
    </comment>
    <comment authorId="0" ref="BT466">
      <text>
        <t xml:space="preserve">Responder updated this value.</t>
      </text>
    </comment>
    <comment authorId="0" ref="BU466">
      <text>
        <t xml:space="preserve">Responder updated this value.</t>
      </text>
    </comment>
    <comment authorId="0" ref="BV466">
      <text>
        <t xml:space="preserve">Responder updated this value.</t>
      </text>
    </comment>
    <comment authorId="0" ref="BW466">
      <text>
        <t xml:space="preserve">Responder updated this value.</t>
      </text>
    </comment>
    <comment authorId="0" ref="BL467">
      <text>
        <t xml:space="preserve">Responder updated this value.</t>
      </text>
    </comment>
    <comment authorId="0" ref="BQ467">
      <text>
        <t xml:space="preserve">Responder updated this value.</t>
      </text>
    </comment>
    <comment authorId="0" ref="AQ468">
      <text>
        <t xml:space="preserve">Responder updated this value.</t>
      </text>
    </comment>
    <comment authorId="0" ref="AR468">
      <text>
        <t xml:space="preserve">Responder updated this value.</t>
      </text>
    </comment>
    <comment authorId="0" ref="AS468">
      <text>
        <t xml:space="preserve">Responder updated this value.</t>
      </text>
    </comment>
    <comment authorId="0" ref="AU468">
      <text>
        <t xml:space="preserve">Responder updated this value.</t>
      </text>
    </comment>
    <comment authorId="0" ref="AV468">
      <text>
        <t xml:space="preserve">Responder updated this value.</t>
      </text>
    </comment>
    <comment authorId="0" ref="AW468">
      <text>
        <t xml:space="preserve">Responder updated this value.</t>
      </text>
    </comment>
    <comment authorId="0" ref="AX468">
      <text>
        <t xml:space="preserve">Responder updated this value.</t>
      </text>
    </comment>
    <comment authorId="0" ref="BH468">
      <text>
        <t xml:space="preserve">Responder updated this value.</t>
      </text>
    </comment>
    <comment authorId="0" ref="BI468">
      <text>
        <t xml:space="preserve">Responder updated this value.</t>
      </text>
    </comment>
    <comment authorId="0" ref="BN468">
      <text>
        <t xml:space="preserve">Responder updated this value.</t>
      </text>
    </comment>
    <comment authorId="0" ref="BQ468">
      <text>
        <t xml:space="preserve">Responder updated this value.</t>
      </text>
    </comment>
    <comment authorId="0" ref="BL469">
      <text>
        <t xml:space="preserve">Responder updated this value.</t>
      </text>
    </comment>
    <comment authorId="0" ref="BM469">
      <text>
        <t xml:space="preserve">Responder updated this value.</t>
      </text>
    </comment>
    <comment authorId="0" ref="BQ469">
      <text>
        <t xml:space="preserve">Responder updated this value.</t>
      </text>
    </comment>
    <comment authorId="0" ref="BT469">
      <text>
        <t xml:space="preserve">Responder updated this value.</t>
      </text>
    </comment>
    <comment authorId="0" ref="BW469">
      <text>
        <t xml:space="preserve">Responder updated this value.</t>
      </text>
    </comment>
    <comment authorId="0" ref="AB470">
      <text>
        <t xml:space="preserve">Responder updated this value.</t>
      </text>
    </comment>
    <comment authorId="0" ref="AC470">
      <text>
        <t xml:space="preserve">Responder updated this value.</t>
      </text>
    </comment>
    <comment authorId="0" ref="AQ470">
      <text>
        <t xml:space="preserve">Responder updated this value.</t>
      </text>
    </comment>
    <comment authorId="0" ref="AS470">
      <text>
        <t xml:space="preserve">Responder updated this value.</t>
      </text>
    </comment>
    <comment authorId="0" ref="BJ470">
      <text>
        <t xml:space="preserve">Responder updated this value.</t>
      </text>
    </comment>
    <comment authorId="0" ref="BM470">
      <text>
        <t xml:space="preserve">Responder updated this value.</t>
      </text>
    </comment>
    <comment authorId="0" ref="BP470">
      <text>
        <t xml:space="preserve">Responder updated this value.</t>
      </text>
    </comment>
    <comment authorId="0" ref="BQ470">
      <text>
        <t xml:space="preserve">Responder updated this value.</t>
      </text>
    </comment>
    <comment authorId="0" ref="BW470">
      <text>
        <t xml:space="preserve">Responder updated this value.</t>
      </text>
    </comment>
    <comment authorId="0" ref="AO471">
      <text>
        <t xml:space="preserve">Responder updated this value.</t>
      </text>
    </comment>
    <comment authorId="0" ref="AP471">
      <text>
        <t xml:space="preserve">Responder updated this value.</t>
      </text>
    </comment>
    <comment authorId="0" ref="AQ471">
      <text>
        <t xml:space="preserve">Responder updated this value.</t>
      </text>
    </comment>
    <comment authorId="0" ref="AS471">
      <text>
        <t xml:space="preserve">Responder updated this value.</t>
      </text>
    </comment>
    <comment authorId="0" ref="BJ471">
      <text>
        <t xml:space="preserve">Responder updated this value.</t>
      </text>
    </comment>
    <comment authorId="0" ref="BL471">
      <text>
        <t xml:space="preserve">Responder updated this value.</t>
      </text>
    </comment>
    <comment authorId="0" ref="BQ471">
      <text>
        <t xml:space="preserve">Responder updated this value.</t>
      </text>
    </comment>
    <comment authorId="0" ref="BT471">
      <text>
        <t xml:space="preserve">Responder updated this value.</t>
      </text>
    </comment>
    <comment authorId="0" ref="BW471">
      <text>
        <t xml:space="preserve">Responder updated this value.</t>
      </text>
    </comment>
    <comment authorId="0" ref="AQ472">
      <text>
        <t xml:space="preserve">Responder updated this value.</t>
      </text>
    </comment>
    <comment authorId="0" ref="AR472">
      <text>
        <t xml:space="preserve">Responder updated this value.</t>
      </text>
    </comment>
    <comment authorId="0" ref="AS472">
      <text>
        <t xml:space="preserve">Responder updated this value.</t>
      </text>
    </comment>
    <comment authorId="0" ref="BD472">
      <text>
        <t xml:space="preserve">Responder updated this value.</t>
      </text>
    </comment>
    <comment authorId="0" ref="BE472">
      <text>
        <t xml:space="preserve">Responder updated this value.</t>
      </text>
    </comment>
    <comment authorId="0" ref="BL472">
      <text>
        <t xml:space="preserve">Responder updated this value.</t>
      </text>
    </comment>
    <comment authorId="0" ref="BM472">
      <text>
        <t xml:space="preserve">Responder updated this value.</t>
      </text>
    </comment>
    <comment authorId="0" ref="BQ472">
      <text>
        <t xml:space="preserve">Responder updated this value.</t>
      </text>
    </comment>
    <comment authorId="0" ref="BQ473">
      <text>
        <t xml:space="preserve">Responder updated this value.</t>
      </text>
    </comment>
    <comment authorId="0" ref="BT473">
      <text>
        <t xml:space="preserve">Responder updated this value.</t>
      </text>
    </comment>
    <comment authorId="0" ref="BU473">
      <text>
        <t xml:space="preserve">Responder updated this value.</t>
      </text>
    </comment>
    <comment authorId="0" ref="BV473">
      <text>
        <t xml:space="preserve">Responder updated this value.</t>
      </text>
    </comment>
    <comment authorId="0" ref="BW473">
      <text>
        <t xml:space="preserve">Responder updated this value.</t>
      </text>
    </comment>
    <comment authorId="0" ref="X474">
      <text>
        <t xml:space="preserve">Responder updated this value.</t>
      </text>
    </comment>
    <comment authorId="0" ref="AW474">
      <text>
        <t xml:space="preserve">Responder updated this value.</t>
      </text>
    </comment>
    <comment authorId="0" ref="BB474">
      <text>
        <t xml:space="preserve">Responder updated this value.</t>
      </text>
    </comment>
    <comment authorId="0" ref="BC474">
      <text>
        <t xml:space="preserve">Responder updated this value.</t>
      </text>
    </comment>
    <comment authorId="0" ref="BJ474">
      <text>
        <t xml:space="preserve">Responder updated this value.</t>
      </text>
    </comment>
    <comment authorId="0" ref="BL474">
      <text>
        <t xml:space="preserve">Responder updated this value.</t>
      </text>
    </comment>
    <comment authorId="0" ref="BM474">
      <text>
        <t xml:space="preserve">Responder updated this value.</t>
      </text>
    </comment>
    <comment authorId="0" ref="BQ474">
      <text>
        <t xml:space="preserve">Responder updated this value.</t>
      </text>
    </comment>
    <comment authorId="0" ref="BR474">
      <text>
        <t xml:space="preserve">Responder updated this value.</t>
      </text>
    </comment>
    <comment authorId="0" ref="BW474">
      <text>
        <t xml:space="preserve">Responder updated this value.</t>
      </text>
    </comment>
    <comment authorId="0" ref="AL475">
      <text>
        <t xml:space="preserve">Responder updated this value.</t>
      </text>
    </comment>
    <comment authorId="0" ref="AM475">
      <text>
        <t xml:space="preserve">Responder updated this value.</t>
      </text>
    </comment>
    <comment authorId="0" ref="AQ475">
      <text>
        <t xml:space="preserve">Responder updated this value.</t>
      </text>
    </comment>
    <comment authorId="0" ref="AR475">
      <text>
        <t xml:space="preserve">Responder updated this value.</t>
      </text>
    </comment>
    <comment authorId="0" ref="AS475">
      <text>
        <t xml:space="preserve">Responder updated this value.</t>
      </text>
    </comment>
    <comment authorId="0" ref="AW475">
      <text>
        <t xml:space="preserve">Responder updated this value.</t>
      </text>
    </comment>
    <comment authorId="0" ref="BE475">
      <text>
        <t xml:space="preserve">Responder updated this value.</t>
      </text>
    </comment>
    <comment authorId="0" ref="BF475">
      <text>
        <t xml:space="preserve">Responder updated this value.</t>
      </text>
    </comment>
    <comment authorId="0" ref="BN475">
      <text>
        <t xml:space="preserve">Responder updated this value.</t>
      </text>
    </comment>
    <comment authorId="0" ref="BQ475">
      <text>
        <t xml:space="preserve">Responder updated this value.</t>
      </text>
    </comment>
    <comment authorId="0" ref="BS475">
      <text>
        <t xml:space="preserve">Responder updated this value.</t>
      </text>
    </comment>
    <comment authorId="0" ref="BT475">
      <text>
        <t xml:space="preserve">Responder updated this value.</t>
      </text>
    </comment>
    <comment authorId="0" ref="BW475">
      <text>
        <t xml:space="preserve">Responder updated this value.</t>
      </text>
    </comment>
    <comment authorId="0" ref="AS476">
      <text>
        <t xml:space="preserve">Responder updated this value.</t>
      </text>
    </comment>
    <comment authorId="0" ref="AU476">
      <text>
        <t xml:space="preserve">Responder updated this value.</t>
      </text>
    </comment>
    <comment authorId="0" ref="AW476">
      <text>
        <t xml:space="preserve">Responder updated this value.</t>
      </text>
    </comment>
    <comment authorId="0" ref="BE476">
      <text>
        <t xml:space="preserve">Responder updated this value.</t>
      </text>
    </comment>
    <comment authorId="0" ref="BL476">
      <text>
        <t xml:space="preserve">Responder updated this value.</t>
      </text>
    </comment>
    <comment authorId="0" ref="BM476">
      <text>
        <t xml:space="preserve">Responder updated this value.</t>
      </text>
    </comment>
    <comment authorId="0" ref="BQ476">
      <text>
        <t xml:space="preserve">Responder updated this value.</t>
      </text>
    </comment>
    <comment authorId="0" ref="BM477">
      <text>
        <t xml:space="preserve">Responder updated this value.</t>
      </text>
    </comment>
    <comment authorId="0" ref="BQ477">
      <text>
        <t xml:space="preserve">Responder updated this value.</t>
      </text>
    </comment>
    <comment authorId="0" ref="AW478">
      <text>
        <t xml:space="preserve">Responder updated this value.</t>
      </text>
    </comment>
    <comment authorId="0" ref="BI478">
      <text>
        <t xml:space="preserve">Responder updated this value.</t>
      </text>
    </comment>
    <comment authorId="0" ref="BJ478">
      <text>
        <t xml:space="preserve">Responder updated this value.</t>
      </text>
    </comment>
    <comment authorId="0" ref="BL478">
      <text>
        <t xml:space="preserve">Responder updated this value.</t>
      </text>
    </comment>
    <comment authorId="0" ref="BM478">
      <text>
        <t xml:space="preserve">Responder updated this value.</t>
      </text>
    </comment>
    <comment authorId="0" ref="BQ478">
      <text>
        <t xml:space="preserve">Responder updated this value.</t>
      </text>
    </comment>
    <comment authorId="0" ref="AL479">
      <text>
        <t xml:space="preserve">Responder updated this value.</t>
      </text>
    </comment>
    <comment authorId="0" ref="AM479">
      <text>
        <t xml:space="preserve">Responder updated this value.</t>
      </text>
    </comment>
    <comment authorId="0" ref="AQ479">
      <text>
        <t xml:space="preserve">Responder updated this value.</t>
      </text>
    </comment>
    <comment authorId="0" ref="AR479">
      <text>
        <t xml:space="preserve">Responder updated this value.</t>
      </text>
    </comment>
    <comment authorId="0" ref="AS479">
      <text>
        <t xml:space="preserve">Responder updated this value.</t>
      </text>
    </comment>
    <comment authorId="0" ref="AW479">
      <text>
        <t xml:space="preserve">Responder updated this value.</t>
      </text>
    </comment>
    <comment authorId="0" ref="AY479">
      <text>
        <t xml:space="preserve">Responder updated this value.</t>
      </text>
    </comment>
    <comment authorId="0" ref="BB479">
      <text>
        <t xml:space="preserve">Responder updated this value.</t>
      </text>
    </comment>
    <comment authorId="0" ref="BF479">
      <text>
        <t xml:space="preserve">Responder updated this value.</t>
      </text>
    </comment>
    <comment authorId="0" ref="BL479">
      <text>
        <t xml:space="preserve">Responder updated this value.</t>
      </text>
    </comment>
    <comment authorId="0" ref="BM479">
      <text>
        <t xml:space="preserve">Responder updated this value.</t>
      </text>
    </comment>
    <comment authorId="0" ref="BQ479">
      <text>
        <t xml:space="preserve">Responder updated this value.</t>
      </text>
    </comment>
    <comment authorId="0" ref="BR479">
      <text>
        <t xml:space="preserve">Responder updated this value.</t>
      </text>
    </comment>
    <comment authorId="0" ref="BS479">
      <text>
        <t xml:space="preserve">Responder updated this value.</t>
      </text>
    </comment>
    <comment authorId="0" ref="BT479">
      <text>
        <t xml:space="preserve">Responder updated this value.</t>
      </text>
    </comment>
    <comment authorId="0" ref="BU479">
      <text>
        <t xml:space="preserve">Responder updated this value.</t>
      </text>
    </comment>
    <comment authorId="0" ref="BV479">
      <text>
        <t xml:space="preserve">Responder updated this value.</t>
      </text>
    </comment>
    <comment authorId="0" ref="BW479">
      <text>
        <t xml:space="preserve">Responder updated this value.</t>
      </text>
    </comment>
    <comment authorId="0" ref="AC480">
      <text>
        <t xml:space="preserve">Responder updated this value.</t>
      </text>
    </comment>
    <comment authorId="0" ref="AR480">
      <text>
        <t xml:space="preserve">Responder updated this value.</t>
      </text>
    </comment>
    <comment authorId="0" ref="AV480">
      <text>
        <t xml:space="preserve">Responder updated this value.</t>
      </text>
    </comment>
    <comment authorId="0" ref="AW480">
      <text>
        <t xml:space="preserve">Responder updated this value.</t>
      </text>
    </comment>
    <comment authorId="0" ref="BD480">
      <text>
        <t xml:space="preserve">Responder updated this value.</t>
      </text>
    </comment>
    <comment authorId="0" ref="BM480">
      <text>
        <t xml:space="preserve">Responder updated this value.</t>
      </text>
    </comment>
    <comment authorId="0" ref="BN480">
      <text>
        <t xml:space="preserve">Responder updated this value.</t>
      </text>
    </comment>
    <comment authorId="0" ref="BQ480">
      <text>
        <t xml:space="preserve">Responder updated this value.</t>
      </text>
    </comment>
    <comment authorId="0" ref="BB481">
      <text>
        <t xml:space="preserve">Responder updated this value.</t>
      </text>
    </comment>
    <comment authorId="0" ref="BQ481">
      <text>
        <t xml:space="preserve">Responder updated this value.</t>
      </text>
    </comment>
    <comment authorId="0" ref="AR482">
      <text>
        <t xml:space="preserve">Responder updated this value.</t>
      </text>
    </comment>
    <comment authorId="0" ref="BM482">
      <text>
        <t xml:space="preserve">Responder updated this value.</t>
      </text>
    </comment>
    <comment authorId="0" ref="BP482">
      <text>
        <t xml:space="preserve">Responder updated this value.</t>
      </text>
    </comment>
    <comment authorId="0" ref="BQ482">
      <text>
        <t xml:space="preserve">Responder updated this value.</t>
      </text>
    </comment>
    <comment authorId="0" ref="BT482">
      <text>
        <t xml:space="preserve">Responder updated this value.</t>
      </text>
    </comment>
    <comment authorId="0" ref="BW482">
      <text>
        <t xml:space="preserve">Responder updated this value.</t>
      </text>
    </comment>
    <comment authorId="0" ref="Z483">
      <text>
        <t xml:space="preserve">Responder updated this value.</t>
      </text>
    </comment>
    <comment authorId="0" ref="AA483">
      <text>
        <t xml:space="preserve">Responder updated this value.</t>
      </text>
    </comment>
    <comment authorId="0" ref="AB483">
      <text>
        <t xml:space="preserve">Responder updated this value.</t>
      </text>
    </comment>
    <comment authorId="0" ref="AC483">
      <text>
        <t xml:space="preserve">Responder updated this value.</t>
      </text>
    </comment>
    <comment authorId="0" ref="AF483">
      <text>
        <t xml:space="preserve">Responder updated this value.</t>
      </text>
    </comment>
    <comment authorId="0" ref="AG483">
      <text>
        <t xml:space="preserve">Responder updated this value.</t>
      </text>
    </comment>
    <comment authorId="0" ref="AX483">
      <text>
        <t xml:space="preserve">Responder updated this value.</t>
      </text>
    </comment>
    <comment authorId="0" ref="AY483">
      <text>
        <t xml:space="preserve">Responder updated this value.</t>
      </text>
    </comment>
    <comment authorId="0" ref="BA483">
      <text>
        <t xml:space="preserve">Responder updated this value.</t>
      </text>
    </comment>
    <comment authorId="0" ref="BJ483">
      <text>
        <t xml:space="preserve">Responder updated this value.</t>
      </text>
    </comment>
    <comment authorId="0" ref="BL483">
      <text>
        <t xml:space="preserve">Responder updated this value.</t>
      </text>
    </comment>
    <comment authorId="0" ref="BM483">
      <text>
        <t xml:space="preserve">Responder updated this value.</t>
      </text>
    </comment>
    <comment authorId="0" ref="BQ483">
      <text>
        <t xml:space="preserve">Responder updated this value.</t>
      </text>
    </comment>
    <comment authorId="0" ref="BR483">
      <text>
        <t xml:space="preserve">Responder updated this value.</t>
      </text>
    </comment>
    <comment authorId="0" ref="BS483">
      <text>
        <t xml:space="preserve">Responder updated this value.</t>
      </text>
    </comment>
    <comment authorId="0" ref="BT483">
      <text>
        <t xml:space="preserve">Responder updated this value.</t>
      </text>
    </comment>
    <comment authorId="0" ref="BU483">
      <text>
        <t xml:space="preserve">Responder updated this value.</t>
      </text>
    </comment>
    <comment authorId="0" ref="BV483">
      <text>
        <t xml:space="preserve">Responder updated this value.</t>
      </text>
    </comment>
    <comment authorId="0" ref="BW483">
      <text>
        <t xml:space="preserve">Responder updated this value.</t>
      </text>
    </comment>
    <comment authorId="0" ref="AB484">
      <text>
        <t xml:space="preserve">Responder updated this value.</t>
      </text>
    </comment>
    <comment authorId="0" ref="AC484">
      <text>
        <t xml:space="preserve">Responder updated this value.</t>
      </text>
    </comment>
    <comment authorId="0" ref="BC484">
      <text>
        <t xml:space="preserve">Responder updated this value.</t>
      </text>
    </comment>
    <comment authorId="0" ref="BJ484">
      <text>
        <t xml:space="preserve">Responder updated this value.</t>
      </text>
    </comment>
    <comment authorId="0" ref="BL484">
      <text>
        <t xml:space="preserve">Responder updated this value.</t>
      </text>
    </comment>
    <comment authorId="0" ref="BM484">
      <text>
        <t xml:space="preserve">Responder updated this value.</t>
      </text>
    </comment>
    <comment authorId="0" ref="BQ484">
      <text>
        <t xml:space="preserve">Responder updated this value.</t>
      </text>
    </comment>
    <comment authorId="0" ref="BW484">
      <text>
        <t xml:space="preserve">Responder updated this value.</t>
      </text>
    </comment>
    <comment authorId="0" ref="AR485">
      <text>
        <t xml:space="preserve">Responder updated this value.</t>
      </text>
    </comment>
    <comment authorId="0" ref="BJ485">
      <text>
        <t xml:space="preserve">Responder updated this value.</t>
      </text>
    </comment>
    <comment authorId="0" ref="BQ485">
      <text>
        <t xml:space="preserve">Responder updated this value.</t>
      </text>
    </comment>
    <comment authorId="0" ref="AB486">
      <text>
        <t xml:space="preserve">Responder updated this value.</t>
      </text>
    </comment>
    <comment authorId="0" ref="AC486">
      <text>
        <t xml:space="preserve">Responder updated this value.</t>
      </text>
    </comment>
    <comment authorId="0" ref="AW486">
      <text>
        <t xml:space="preserve">Responder updated this value.</t>
      </text>
    </comment>
    <comment authorId="0" ref="BJ486">
      <text>
        <t xml:space="preserve">Responder updated this value.</t>
      </text>
    </comment>
    <comment authorId="0" ref="BQ486">
      <text>
        <t xml:space="preserve">Responder updated this value.</t>
      </text>
    </comment>
    <comment authorId="0" ref="BU486">
      <text>
        <t xml:space="preserve">Responder updated this value.</t>
      </text>
    </comment>
    <comment authorId="0" ref="BV486">
      <text>
        <t xml:space="preserve">Responder updated this value.</t>
      </text>
    </comment>
    <comment authorId="0" ref="BW486">
      <text>
        <t xml:space="preserve">Responder updated this value.</t>
      </text>
    </comment>
    <comment authorId="0" ref="AU487">
      <text>
        <t xml:space="preserve">Responder updated this value.</t>
      </text>
    </comment>
    <comment authorId="0" ref="AV487">
      <text>
        <t xml:space="preserve">Responder updated this value.</t>
      </text>
    </comment>
    <comment authorId="0" ref="AW487">
      <text>
        <t xml:space="preserve">Responder updated this value.</t>
      </text>
    </comment>
    <comment authorId="0" ref="BJ487">
      <text>
        <t xml:space="preserve">Responder updated this value.</t>
      </text>
    </comment>
    <comment authorId="0" ref="BL487">
      <text>
        <t xml:space="preserve">Responder updated this value.</t>
      </text>
    </comment>
    <comment authorId="0" ref="BM487">
      <text>
        <t xml:space="preserve">Responder updated this value.</t>
      </text>
    </comment>
    <comment authorId="0" ref="BP487">
      <text>
        <t xml:space="preserve">Responder updated this value.</t>
      </text>
    </comment>
    <comment authorId="0" ref="BQ487">
      <text>
        <t xml:space="preserve">Responder updated this value.</t>
      </text>
    </comment>
    <comment authorId="0" ref="AQ488">
      <text>
        <t xml:space="preserve">Responder updated this value.</t>
      </text>
    </comment>
    <comment authorId="0" ref="AR488">
      <text>
        <t xml:space="preserve">Responder updated this value.</t>
      </text>
    </comment>
    <comment authorId="0" ref="AS488">
      <text>
        <t xml:space="preserve">Responder updated this value.</t>
      </text>
    </comment>
    <comment authorId="0" ref="BM488">
      <text>
        <t xml:space="preserve">Responder updated this value.</t>
      </text>
    </comment>
    <comment authorId="0" ref="BN488">
      <text>
        <t xml:space="preserve">Responder updated this value.</t>
      </text>
    </comment>
    <comment authorId="0" ref="BQ488">
      <text>
        <t xml:space="preserve">Responder updated this value.</t>
      </text>
    </comment>
    <comment authorId="0" ref="AO489">
      <text>
        <t xml:space="preserve">Responder updated this value.</t>
      </text>
    </comment>
    <comment authorId="0" ref="AP489">
      <text>
        <t xml:space="preserve">Responder updated this value.</t>
      </text>
    </comment>
    <comment authorId="0" ref="AQ489">
      <text>
        <t xml:space="preserve">Responder updated this value.</t>
      </text>
    </comment>
    <comment authorId="0" ref="AS489">
      <text>
        <t xml:space="preserve">Responder updated this value.</t>
      </text>
    </comment>
    <comment authorId="0" ref="AV489">
      <text>
        <t xml:space="preserve">Responder updated this value.</t>
      </text>
    </comment>
    <comment authorId="0" ref="AW489">
      <text>
        <t xml:space="preserve">Responder updated this value.</t>
      </text>
    </comment>
    <comment authorId="0" ref="BA489">
      <text>
        <t xml:space="preserve">Responder updated this value.</t>
      </text>
    </comment>
    <comment authorId="0" ref="BH489">
      <text>
        <t xml:space="preserve">Responder updated this value.</t>
      </text>
    </comment>
    <comment authorId="0" ref="BI489">
      <text>
        <t xml:space="preserve">Responder updated this value.</t>
      </text>
    </comment>
    <comment authorId="0" ref="BJ489">
      <text>
        <t xml:space="preserve">Responder updated this value.</t>
      </text>
    </comment>
    <comment authorId="0" ref="BQ489">
      <text>
        <t xml:space="preserve">Responder updated this value.</t>
      </text>
    </comment>
    <comment authorId="0" ref="BR489">
      <text>
        <t xml:space="preserve">Responder updated this value.</t>
      </text>
    </comment>
    <comment authorId="0" ref="BS489">
      <text>
        <t xml:space="preserve">Responder updated this value.</t>
      </text>
    </comment>
    <comment authorId="0" ref="BT489">
      <text>
        <t xml:space="preserve">Responder updated this value.</t>
      </text>
    </comment>
    <comment authorId="0" ref="BV489">
      <text>
        <t xml:space="preserve">Responder updated this value.</t>
      </text>
    </comment>
    <comment authorId="0" ref="BW489">
      <text>
        <t xml:space="preserve">Responder updated this value.</t>
      </text>
    </comment>
    <comment authorId="0" ref="V490">
      <text>
        <t xml:space="preserve">Responder updated this value.</t>
      </text>
    </comment>
    <comment authorId="0" ref="AO490">
      <text>
        <t xml:space="preserve">Responder updated this value.</t>
      </text>
    </comment>
    <comment authorId="0" ref="AP490">
      <text>
        <t xml:space="preserve">Responder updated this value.</t>
      </text>
    </comment>
    <comment authorId="0" ref="AW490">
      <text>
        <t xml:space="preserve">Responder updated this value.</t>
      </text>
    </comment>
    <comment authorId="0" ref="BJ490">
      <text>
        <t xml:space="preserve">Responder updated this value.</t>
      </text>
    </comment>
    <comment authorId="0" ref="BL490">
      <text>
        <t xml:space="preserve">Responder updated this value.</t>
      </text>
    </comment>
    <comment authorId="0" ref="BM490">
      <text>
        <t xml:space="preserve">Responder updated this value.</t>
      </text>
    </comment>
    <comment authorId="0" ref="BQ490">
      <text>
        <t xml:space="preserve">Responder updated this value.</t>
      </text>
    </comment>
    <comment authorId="0" ref="BW490">
      <text>
        <t xml:space="preserve">Responder updated this value.</t>
      </text>
    </comment>
    <comment authorId="0" ref="BJ491">
      <text>
        <t xml:space="preserve">Responder updated this value.</t>
      </text>
    </comment>
    <comment authorId="0" ref="BQ491">
      <text>
        <t xml:space="preserve">Responder updated this value.</t>
      </text>
    </comment>
    <comment authorId="0" ref="BW491">
      <text>
        <t xml:space="preserve">Responder updated this value.</t>
      </text>
    </comment>
    <comment authorId="0" ref="AW492">
      <text>
        <t xml:space="preserve">Responder updated this value.</t>
      </text>
    </comment>
    <comment authorId="0" ref="BJ492">
      <text>
        <t xml:space="preserve">Responder updated this value.</t>
      </text>
    </comment>
    <comment authorId="0" ref="BN492">
      <text>
        <t xml:space="preserve">Responder updated this value.</t>
      </text>
    </comment>
    <comment authorId="0" ref="BQ492">
      <text>
        <t xml:space="preserve">Responder updated this value.</t>
      </text>
    </comment>
    <comment authorId="0" ref="BT492">
      <text>
        <t xml:space="preserve">Responder updated this value.</t>
      </text>
    </comment>
    <comment authorId="0" ref="BW492">
      <text>
        <t xml:space="preserve">Responder updated this value.</t>
      </text>
    </comment>
    <comment authorId="0" ref="BL493">
      <text>
        <t xml:space="preserve">Responder updated this value.</t>
      </text>
    </comment>
    <comment authorId="0" ref="BM493">
      <text>
        <t xml:space="preserve">Responder updated this value.</t>
      </text>
    </comment>
    <comment authorId="0" ref="BQ493">
      <text>
        <t xml:space="preserve">Responder updated this value.</t>
      </text>
    </comment>
    <comment authorId="0" ref="BU493">
      <text>
        <t xml:space="preserve">Responder updated this value.</t>
      </text>
    </comment>
    <comment authorId="0" ref="BV493">
      <text>
        <t xml:space="preserve">Responder updated this value.</t>
      </text>
    </comment>
    <comment authorId="0" ref="BW493">
      <text>
        <t xml:space="preserve">Responder updated this value.</t>
      </text>
    </comment>
    <comment authorId="0" ref="AL494">
      <text>
        <t xml:space="preserve">Responder updated this value.</t>
      </text>
    </comment>
    <comment authorId="0" ref="AM494">
      <text>
        <t xml:space="preserve">Responder updated this value.</t>
      </text>
    </comment>
    <comment authorId="0" ref="AO494">
      <text>
        <t xml:space="preserve">Responder updated this value.</t>
      </text>
    </comment>
    <comment authorId="0" ref="AP494">
      <text>
        <t xml:space="preserve">Responder updated this value.</t>
      </text>
    </comment>
    <comment authorId="0" ref="AQ494">
      <text>
        <t xml:space="preserve">Responder updated this value.</t>
      </text>
    </comment>
    <comment authorId="0" ref="AS494">
      <text>
        <t xml:space="preserve">Responder updated this value.</t>
      </text>
    </comment>
    <comment authorId="0" ref="AW494">
      <text>
        <t xml:space="preserve">Responder updated this value.</t>
      </text>
    </comment>
    <comment authorId="0" ref="BA494">
      <text>
        <t xml:space="preserve">Responder updated this value.</t>
      </text>
    </comment>
    <comment authorId="0" ref="BB494">
      <text>
        <t xml:space="preserve">Responder updated this value.</t>
      </text>
    </comment>
    <comment authorId="0" ref="BD494">
      <text>
        <t xml:space="preserve">Responder updated this value.</t>
      </text>
    </comment>
    <comment authorId="0" ref="BM494">
      <text>
        <t xml:space="preserve">Responder updated this value.</t>
      </text>
    </comment>
    <comment authorId="0" ref="BQ494">
      <text>
        <t xml:space="preserve">Responder updated this value.</t>
      </text>
    </comment>
    <comment authorId="0" ref="BT494">
      <text>
        <t xml:space="preserve">Responder updated this value.</t>
      </text>
    </comment>
    <comment authorId="0" ref="BW494">
      <text>
        <t xml:space="preserve">Responder updated this value.</t>
      </text>
    </comment>
    <comment authorId="0" ref="AR495">
      <text>
        <t xml:space="preserve">Responder updated this value.</t>
      </text>
    </comment>
    <comment authorId="0" ref="AV495">
      <text>
        <t xml:space="preserve">Responder updated this value.</t>
      </text>
    </comment>
    <comment authorId="0" ref="AW495">
      <text>
        <t xml:space="preserve">Responder updated this value.</t>
      </text>
    </comment>
    <comment authorId="0" ref="BC495">
      <text>
        <t xml:space="preserve">Responder updated this value.</t>
      </text>
    </comment>
    <comment authorId="0" ref="BJ495">
      <text>
        <t xml:space="preserve">Responder updated this value.</t>
      </text>
    </comment>
    <comment authorId="0" ref="BQ495">
      <text>
        <t xml:space="preserve">Responder updated this value.</t>
      </text>
    </comment>
    <comment authorId="0" ref="BW495">
      <text>
        <t xml:space="preserve">Responder updated this value.</t>
      </text>
    </comment>
    <comment authorId="0" ref="BQ496">
      <text>
        <t xml:space="preserve">Responder updated this value.</t>
      </text>
    </comment>
    <comment authorId="0" ref="Z497">
      <text>
        <t xml:space="preserve">Responder updated this value.</t>
      </text>
    </comment>
    <comment authorId="0" ref="AB497">
      <text>
        <t xml:space="preserve">Responder updated this value.</t>
      </text>
    </comment>
    <comment authorId="0" ref="AC497">
      <text>
        <t xml:space="preserve">Responder updated this value.</t>
      </text>
    </comment>
    <comment authorId="0" ref="AR497">
      <text>
        <t xml:space="preserve">Responder updated this value.</t>
      </text>
    </comment>
    <comment authorId="0" ref="AS497">
      <text>
        <t xml:space="preserve">Responder updated this value.</t>
      </text>
    </comment>
    <comment authorId="0" ref="AW497">
      <text>
        <t xml:space="preserve">Responder updated this value.</t>
      </text>
    </comment>
    <comment authorId="0" ref="BJ497">
      <text>
        <t xml:space="preserve">Responder updated this value.</t>
      </text>
    </comment>
    <comment authorId="0" ref="BL497">
      <text>
        <t xml:space="preserve">Responder updated this value.</t>
      </text>
    </comment>
    <comment authorId="0" ref="BM497">
      <text>
        <t xml:space="preserve">Responder updated this value.</t>
      </text>
    </comment>
    <comment authorId="0" ref="BQ497">
      <text>
        <t xml:space="preserve">Responder updated this value.</t>
      </text>
    </comment>
    <comment authorId="0" ref="BW497">
      <text>
        <t xml:space="preserve">Responder updated this value.</t>
      </text>
    </comment>
    <comment authorId="0" ref="AR498">
      <text>
        <t xml:space="preserve">Responder updated this value.</t>
      </text>
    </comment>
    <comment authorId="0" ref="BJ498">
      <text>
        <t xml:space="preserve">Responder updated this value.</t>
      </text>
    </comment>
    <comment authorId="0" ref="BL498">
      <text>
        <t xml:space="preserve">Responder updated this value.</t>
      </text>
    </comment>
    <comment authorId="0" ref="BM498">
      <text>
        <t xml:space="preserve">Responder updated this value.</t>
      </text>
    </comment>
    <comment authorId="0" ref="BN498">
      <text>
        <t xml:space="preserve">Responder updated this value.</t>
      </text>
    </comment>
    <comment authorId="0" ref="BQ498">
      <text>
        <t xml:space="preserve">Responder updated this value.</t>
      </text>
    </comment>
    <comment authorId="0" ref="BT498">
      <text>
        <t xml:space="preserve">Responder updated this value.</t>
      </text>
    </comment>
    <comment authorId="0" ref="BW498">
      <text>
        <t xml:space="preserve">Responder updated this value.</t>
      </text>
    </comment>
    <comment authorId="0" ref="AW499">
      <text>
        <t xml:space="preserve">Responder updated this value.</t>
      </text>
    </comment>
    <comment authorId="0" ref="BJ499">
      <text>
        <t xml:space="preserve">Responder updated this value.</t>
      </text>
    </comment>
    <comment authorId="0" ref="BL499">
      <text>
        <t xml:space="preserve">Responder updated this value.</t>
      </text>
    </comment>
    <comment authorId="0" ref="BM499">
      <text>
        <t xml:space="preserve">Responder updated this value.</t>
      </text>
    </comment>
    <comment authorId="0" ref="BN499">
      <text>
        <t xml:space="preserve">Responder updated this value.</t>
      </text>
    </comment>
    <comment authorId="0" ref="BQ499">
      <text>
        <t xml:space="preserve">Responder updated this value.</t>
      </text>
    </comment>
    <comment authorId="0" ref="BW499">
      <text>
        <t xml:space="preserve">Responder updated this value.</t>
      </text>
    </comment>
    <comment authorId="0" ref="BJ500">
      <text>
        <t xml:space="preserve">Responder updated this value.</t>
      </text>
    </comment>
    <comment authorId="0" ref="BQ500">
      <text>
        <t xml:space="preserve">Responder updated this value.</t>
      </text>
    </comment>
    <comment authorId="0" ref="BV500">
      <text>
        <t xml:space="preserve">Responder updated this value.</t>
      </text>
    </comment>
    <comment authorId="0" ref="BW500">
      <text>
        <t xml:space="preserve">Responder updated this value.</t>
      </text>
    </comment>
    <comment authorId="0" ref="AQ501">
      <text>
        <t xml:space="preserve">Responder updated this value.</t>
      </text>
    </comment>
    <comment authorId="0" ref="AW501">
      <text>
        <t xml:space="preserve">Responder updated this value.</t>
      </text>
    </comment>
    <comment authorId="0" ref="BJ501">
      <text>
        <t xml:space="preserve">Responder updated this value.</t>
      </text>
    </comment>
    <comment authorId="0" ref="BQ501">
      <text>
        <t xml:space="preserve">Responder updated this value.</t>
      </text>
    </comment>
    <comment authorId="0" ref="AB502">
      <text>
        <t xml:space="preserve">Responder updated this value.</t>
      </text>
    </comment>
    <comment authorId="0" ref="AC502">
      <text>
        <t xml:space="preserve">Responder updated this value.</t>
      </text>
    </comment>
    <comment authorId="0" ref="AW502">
      <text>
        <t xml:space="preserve">Responder updated this value.</t>
      </text>
    </comment>
    <comment authorId="0" ref="BP502">
      <text>
        <t xml:space="preserve">Responder updated this value.</t>
      </text>
    </comment>
    <comment authorId="0" ref="BQ502">
      <text>
        <t xml:space="preserve">Responder updated this value.</t>
      </text>
    </comment>
    <comment authorId="0" ref="BW502">
      <text>
        <t xml:space="preserve">Responder updated this value.</t>
      </text>
    </comment>
    <comment authorId="0" ref="BJ503">
      <text>
        <t xml:space="preserve">Responder updated this value.</t>
      </text>
    </comment>
    <comment authorId="0" ref="BN503">
      <text>
        <t xml:space="preserve">Responder updated this value.</t>
      </text>
    </comment>
    <comment authorId="0" ref="BQ503">
      <text>
        <t xml:space="preserve">Responder updated this value.</t>
      </text>
    </comment>
    <comment authorId="0" ref="BS503">
      <text>
        <t xml:space="preserve">Responder updated this value.</t>
      </text>
    </comment>
    <comment authorId="0" ref="BT503">
      <text>
        <t xml:space="preserve">Responder updated this value.</t>
      </text>
    </comment>
    <comment authorId="0" ref="BU503">
      <text>
        <t xml:space="preserve">Responder updated this value.</t>
      </text>
    </comment>
    <comment authorId="0" ref="BV503">
      <text>
        <t xml:space="preserve">Responder updated this value.</t>
      </text>
    </comment>
    <comment authorId="0" ref="BW503">
      <text>
        <t xml:space="preserve">Responder updated this value.</t>
      </text>
    </comment>
    <comment authorId="0" ref="AQ504">
      <text>
        <t xml:space="preserve">Responder updated this value.</t>
      </text>
    </comment>
    <comment authorId="0" ref="AS504">
      <text>
        <t xml:space="preserve">Responder updated this value.</t>
      </text>
    </comment>
    <comment authorId="0" ref="AW504">
      <text>
        <t xml:space="preserve">Responder updated this value.</t>
      </text>
    </comment>
    <comment authorId="0" ref="BE504">
      <text>
        <t xml:space="preserve">Responder updated this value.</t>
      </text>
    </comment>
    <comment authorId="0" ref="BH504">
      <text>
        <t xml:space="preserve">Responder updated this value.</t>
      </text>
    </comment>
    <comment authorId="0" ref="BI504">
      <text>
        <t xml:space="preserve">Responder updated this value.</t>
      </text>
    </comment>
    <comment authorId="0" ref="BJ504">
      <text>
        <t xml:space="preserve">Responder updated this value.</t>
      </text>
    </comment>
    <comment authorId="0" ref="BL504">
      <text>
        <t xml:space="preserve">Responder updated this value.</t>
      </text>
    </comment>
    <comment authorId="0" ref="BM504">
      <text>
        <t xml:space="preserve">Responder updated this value.</t>
      </text>
    </comment>
    <comment authorId="0" ref="BQ504">
      <text>
        <t xml:space="preserve">Responder updated this value.</t>
      </text>
    </comment>
    <comment authorId="0" ref="BT504">
      <text>
        <t xml:space="preserve">Responder updated this value.</t>
      </text>
    </comment>
    <comment authorId="0" ref="BW504">
      <text>
        <t xml:space="preserve">Responder updated this value.</t>
      </text>
    </comment>
    <comment authorId="0" ref="AQ505">
      <text>
        <t xml:space="preserve">Responder updated this value.</t>
      </text>
    </comment>
    <comment authorId="0" ref="AS505">
      <text>
        <t xml:space="preserve">Responder updated this value.</t>
      </text>
    </comment>
    <comment authorId="0" ref="BJ505">
      <text>
        <t xml:space="preserve">Responder updated this value.</t>
      </text>
    </comment>
    <comment authorId="0" ref="BL505">
      <text>
        <t xml:space="preserve">Responder updated this value.</t>
      </text>
    </comment>
    <comment authorId="0" ref="BM505">
      <text>
        <t xml:space="preserve">Responder updated this value.</t>
      </text>
    </comment>
    <comment authorId="0" ref="BQ505">
      <text>
        <t xml:space="preserve">Responder updated this value.</t>
      </text>
    </comment>
    <comment authorId="0" ref="BT505">
      <text>
        <t xml:space="preserve">Responder updated this value.</t>
      </text>
    </comment>
    <comment authorId="0" ref="BW505">
      <text>
        <t xml:space="preserve">Responder updated this value.</t>
      </text>
    </comment>
    <comment authorId="0" ref="BJ506">
      <text>
        <t xml:space="preserve">Responder updated this value.</t>
      </text>
    </comment>
    <comment authorId="0" ref="BQ506">
      <text>
        <t xml:space="preserve">Responder updated this value.</t>
      </text>
    </comment>
    <comment authorId="0" ref="AQ507">
      <text>
        <t xml:space="preserve">Responder updated this value.</t>
      </text>
    </comment>
    <comment authorId="0" ref="AR507">
      <text>
        <t xml:space="preserve">Responder updated this value.</t>
      </text>
    </comment>
    <comment authorId="0" ref="AS507">
      <text>
        <t xml:space="preserve">Responder updated this value.</t>
      </text>
    </comment>
    <comment authorId="0" ref="AW507">
      <text>
        <t xml:space="preserve">Responder updated this value.</t>
      </text>
    </comment>
    <comment authorId="0" ref="AY507">
      <text>
        <t xml:space="preserve">Responder updated this value.</t>
      </text>
    </comment>
    <comment authorId="0" ref="BI507">
      <text>
        <t xml:space="preserve">Responder updated this value.</t>
      </text>
    </comment>
    <comment authorId="0" ref="BQ507">
      <text>
        <t xml:space="preserve">Responder updated this value.</t>
      </text>
    </comment>
    <comment authorId="0" ref="BT507">
      <text>
        <t xml:space="preserve">Responder updated this value.</t>
      </text>
    </comment>
    <comment authorId="0" ref="BW507">
      <text>
        <t xml:space="preserve">Responder updated this value.</t>
      </text>
    </comment>
    <comment authorId="0" ref="AO508">
      <text>
        <t xml:space="preserve">Responder updated this value.</t>
      </text>
    </comment>
    <comment authorId="0" ref="AP508">
      <text>
        <t xml:space="preserve">Responder updated this value.</t>
      </text>
    </comment>
    <comment authorId="0" ref="AQ508">
      <text>
        <t xml:space="preserve">Responder updated this value.</t>
      </text>
    </comment>
    <comment authorId="0" ref="AR508">
      <text>
        <t xml:space="preserve">Responder updated this value.</t>
      </text>
    </comment>
    <comment authorId="0" ref="BN508">
      <text>
        <t xml:space="preserve">Responder updated this value.</t>
      </text>
    </comment>
    <comment authorId="0" ref="BQ508">
      <text>
        <t xml:space="preserve">Responder updated this value.</t>
      </text>
    </comment>
    <comment authorId="0" ref="AB509">
      <text>
        <t xml:space="preserve">Responder updated this value.</t>
      </text>
    </comment>
    <comment authorId="0" ref="AC509">
      <text>
        <t xml:space="preserve">Responder updated this value.</t>
      </text>
    </comment>
    <comment authorId="0" ref="AL509">
      <text>
        <t xml:space="preserve">Responder updated this value.</t>
      </text>
    </comment>
    <comment authorId="0" ref="AM509">
      <text>
        <t xml:space="preserve">Responder updated this value.</t>
      </text>
    </comment>
    <comment authorId="0" ref="AT509">
      <text>
        <t xml:space="preserve">Responder updated this value.</t>
      </text>
    </comment>
    <comment authorId="0" ref="AU509">
      <text>
        <t xml:space="preserve">Responder updated this value.</t>
      </text>
    </comment>
    <comment authorId="0" ref="BA509">
      <text>
        <t xml:space="preserve">Responder updated this value.</t>
      </text>
    </comment>
    <comment authorId="0" ref="BJ509">
      <text>
        <t xml:space="preserve">Responder updated this value.</t>
      </text>
    </comment>
    <comment authorId="0" ref="BL509">
      <text>
        <t xml:space="preserve">Responder updated this value.</t>
      </text>
    </comment>
    <comment authorId="0" ref="BM509">
      <text>
        <t xml:space="preserve">Responder updated this value.</t>
      </text>
    </comment>
    <comment authorId="0" ref="BQ509">
      <text>
        <t xml:space="preserve">Responder updated this value.</t>
      </text>
    </comment>
    <comment authorId="0" ref="BT509">
      <text>
        <t xml:space="preserve">Responder updated this value.</t>
      </text>
    </comment>
    <comment authorId="0" ref="BU509">
      <text>
        <t xml:space="preserve">Responder updated this value.</t>
      </text>
    </comment>
    <comment authorId="0" ref="BV509">
      <text>
        <t xml:space="preserve">Responder updated this value.</t>
      </text>
    </comment>
    <comment authorId="0" ref="BW509">
      <text>
        <t xml:space="preserve">Responder updated this value.</t>
      </text>
    </comment>
    <comment authorId="0" ref="W510">
      <text>
        <t xml:space="preserve">Responder updated this value.</t>
      </text>
    </comment>
    <comment authorId="0" ref="AL510">
      <text>
        <t xml:space="preserve">Responder updated this value.</t>
      </text>
    </comment>
    <comment authorId="0" ref="AM510">
      <text>
        <t xml:space="preserve">Responder updated this value.</t>
      </text>
    </comment>
    <comment authorId="0" ref="BL510">
      <text>
        <t xml:space="preserve">Responder updated this value.</t>
      </text>
    </comment>
    <comment authorId="0" ref="BM510">
      <text>
        <t xml:space="preserve">Responder updated this value.</t>
      </text>
    </comment>
    <comment authorId="0" ref="BQ510">
      <text>
        <t xml:space="preserve">Responder updated this value.</t>
      </text>
    </comment>
    <comment authorId="0" ref="X511">
      <text>
        <t xml:space="preserve">Responder updated this value.</t>
      </text>
    </comment>
    <comment authorId="0" ref="AO511">
      <text>
        <t xml:space="preserve">Responder updated this value.</t>
      </text>
    </comment>
    <comment authorId="0" ref="AP511">
      <text>
        <t xml:space="preserve">Responder updated this value.</t>
      </text>
    </comment>
    <comment authorId="0" ref="AQ511">
      <text>
        <t xml:space="preserve">Responder updated this value.</t>
      </text>
    </comment>
    <comment authorId="0" ref="AR511">
      <text>
        <t xml:space="preserve">Responder updated this value.</t>
      </text>
    </comment>
    <comment authorId="0" ref="AW511">
      <text>
        <t xml:space="preserve">Responder updated this value.</t>
      </text>
    </comment>
    <comment authorId="0" ref="BC511">
      <text>
        <t xml:space="preserve">Responder updated this value.</t>
      </text>
    </comment>
    <comment authorId="0" ref="BE511">
      <text>
        <t xml:space="preserve">Responder updated this value.</t>
      </text>
    </comment>
    <comment authorId="0" ref="BJ511">
      <text>
        <t xml:space="preserve">Responder updated this value.</t>
      </text>
    </comment>
    <comment authorId="0" ref="BL511">
      <text>
        <t xml:space="preserve">Responder updated this value.</t>
      </text>
    </comment>
    <comment authorId="0" ref="BM511">
      <text>
        <t xml:space="preserve">Responder updated this value.</t>
      </text>
    </comment>
    <comment authorId="0" ref="BN511">
      <text>
        <t xml:space="preserve">Responder updated this value.</t>
      </text>
    </comment>
    <comment authorId="0" ref="BQ511">
      <text>
        <t xml:space="preserve">Responder updated this value.</t>
      </text>
    </comment>
    <comment authorId="0" ref="BS511">
      <text>
        <t xml:space="preserve">Responder updated this value.</t>
      </text>
    </comment>
    <comment authorId="0" ref="BU511">
      <text>
        <t xml:space="preserve">Responder updated this value.</t>
      </text>
    </comment>
    <comment authorId="0" ref="BV511">
      <text>
        <t xml:space="preserve">Responder updated this value.</t>
      </text>
    </comment>
    <comment authorId="0" ref="BW511">
      <text>
        <t xml:space="preserve">Responder updated this value.</t>
      </text>
    </comment>
    <comment authorId="0" ref="AQ512">
      <text>
        <t xml:space="preserve">Responder updated this value.</t>
      </text>
    </comment>
    <comment authorId="0" ref="AW512">
      <text>
        <t xml:space="preserve">Responder updated this value.</t>
      </text>
    </comment>
    <comment authorId="0" ref="BL512">
      <text>
        <t xml:space="preserve">Responder updated this value.</t>
      </text>
    </comment>
    <comment authorId="0" ref="BM512">
      <text>
        <t xml:space="preserve">Responder updated this value.</t>
      </text>
    </comment>
    <comment authorId="0" ref="BN512">
      <text>
        <t xml:space="preserve">Responder updated this value.</t>
      </text>
    </comment>
    <comment authorId="0" ref="BQ512">
      <text>
        <t xml:space="preserve">Responder updated this value.</t>
      </text>
    </comment>
    <comment authorId="0" ref="AH513">
      <text>
        <t xml:space="preserve">Responder updated this value.</t>
      </text>
    </comment>
    <comment authorId="0" ref="AQ513">
      <text>
        <t xml:space="preserve">Responder updated this value.</t>
      </text>
    </comment>
    <comment authorId="0" ref="AX513">
      <text>
        <t xml:space="preserve">Responder updated this value.</t>
      </text>
    </comment>
    <comment authorId="0" ref="BQ513">
      <text>
        <t xml:space="preserve">Responder updated this value.</t>
      </text>
    </comment>
    <comment authorId="0" ref="BS513">
      <text>
        <t xml:space="preserve">Responder updated this value.</t>
      </text>
    </comment>
    <comment authorId="0" ref="BW513">
      <text>
        <t xml:space="preserve">Responder updated this value.</t>
      </text>
    </comment>
    <comment authorId="0" ref="AQ514">
      <text>
        <t xml:space="preserve">Responder updated this value.</t>
      </text>
    </comment>
    <comment authorId="0" ref="AS514">
      <text>
        <t xml:space="preserve">Responder updated this value.</t>
      </text>
    </comment>
    <comment authorId="0" ref="BJ514">
      <text>
        <t xml:space="preserve">Responder updated this value.</t>
      </text>
    </comment>
    <comment authorId="0" ref="BL514">
      <text>
        <t xml:space="preserve">Responder updated this value.</t>
      </text>
    </comment>
    <comment authorId="0" ref="BQ514">
      <text>
        <t xml:space="preserve">Responder updated this value.</t>
      </text>
    </comment>
    <comment authorId="0" ref="BT514">
      <text>
        <t xml:space="preserve">Responder updated this value.</t>
      </text>
    </comment>
    <comment authorId="0" ref="BW514">
      <text>
        <t xml:space="preserve">Responder updated this value.</t>
      </text>
    </comment>
    <comment authorId="0" ref="AB515">
      <text>
        <t xml:space="preserve">Responder updated this value.</t>
      </text>
    </comment>
    <comment authorId="0" ref="AC515">
      <text>
        <t xml:space="preserve">Responder updated this value.</t>
      </text>
    </comment>
    <comment authorId="0" ref="AL515">
      <text>
        <t xml:space="preserve">Responder updated this value.</t>
      </text>
    </comment>
    <comment authorId="0" ref="AM515">
      <text>
        <t xml:space="preserve">Responder updated this value.</t>
      </text>
    </comment>
    <comment authorId="0" ref="AP515">
      <text>
        <t xml:space="preserve">Responder updated this value.</t>
      </text>
    </comment>
    <comment authorId="0" ref="AR515">
      <text>
        <t xml:space="preserve">Responder updated this value.</t>
      </text>
    </comment>
    <comment authorId="0" ref="AS515">
      <text>
        <t xml:space="preserve">Responder updated this value.</t>
      </text>
    </comment>
    <comment authorId="0" ref="BJ515">
      <text>
        <t xml:space="preserve">Responder updated this value.</t>
      </text>
    </comment>
    <comment authorId="0" ref="BQ515">
      <text>
        <t xml:space="preserve">Responder updated this value.</t>
      </text>
    </comment>
    <comment authorId="0" ref="BR515">
      <text>
        <t xml:space="preserve">Responder updated this value.</t>
      </text>
    </comment>
    <comment authorId="0" ref="BS515">
      <text>
        <t xml:space="preserve">Responder updated this value.</t>
      </text>
    </comment>
    <comment authorId="0" ref="BT515">
      <text>
        <t xml:space="preserve">Responder updated this value.</t>
      </text>
    </comment>
    <comment authorId="0" ref="BU515">
      <text>
        <t xml:space="preserve">Responder updated this value.</t>
      </text>
    </comment>
    <comment authorId="0" ref="BV515">
      <text>
        <t xml:space="preserve">Responder updated this value.</t>
      </text>
    </comment>
    <comment authorId="0" ref="BW515">
      <text>
        <t xml:space="preserve">Responder updated this value.</t>
      </text>
    </comment>
    <comment authorId="0" ref="BC516">
      <text>
        <t xml:space="preserve">Responder updated this value.</t>
      </text>
    </comment>
    <comment authorId="0" ref="BJ516">
      <text>
        <t xml:space="preserve">Responder updated this value.</t>
      </text>
    </comment>
    <comment authorId="0" ref="BL516">
      <text>
        <t xml:space="preserve">Responder updated this value.</t>
      </text>
    </comment>
    <comment authorId="0" ref="BM516">
      <text>
        <t xml:space="preserve">Responder updated this value.</t>
      </text>
    </comment>
    <comment authorId="0" ref="BQ516">
      <text>
        <t xml:space="preserve">Responder updated this value.</t>
      </text>
    </comment>
    <comment authorId="0" ref="BW516">
      <text>
        <t xml:space="preserve">Responder updated this value.</t>
      </text>
    </comment>
    <comment authorId="0" ref="V517">
      <text>
        <t xml:space="preserve">Responder updated this value.</t>
      </text>
    </comment>
    <comment authorId="0" ref="AL517">
      <text>
        <t xml:space="preserve">Responder updated this value.</t>
      </text>
    </comment>
    <comment authorId="0" ref="AM517">
      <text>
        <t xml:space="preserve">Responder updated this value.</t>
      </text>
    </comment>
    <comment authorId="0" ref="AT517">
      <text>
        <t xml:space="preserve">Responder updated this value.</t>
      </text>
    </comment>
    <comment authorId="0" ref="AX517">
      <text>
        <t xml:space="preserve">Responder updated this value.</t>
      </text>
    </comment>
    <comment authorId="0" ref="BI517">
      <text>
        <t xml:space="preserve">Responder updated this value.</t>
      </text>
    </comment>
    <comment authorId="0" ref="BL517">
      <text>
        <t xml:space="preserve">Responder updated this value.</t>
      </text>
    </comment>
    <comment authorId="0" ref="BM517">
      <text>
        <t xml:space="preserve">Responder updated this value.</t>
      </text>
    </comment>
    <comment authorId="0" ref="BQ517">
      <text>
        <t xml:space="preserve">Responder updated this value.</t>
      </text>
    </comment>
    <comment authorId="0" ref="BR517">
      <text>
        <t xml:space="preserve">Responder updated this value.</t>
      </text>
    </comment>
    <comment authorId="0" ref="BS517">
      <text>
        <t xml:space="preserve">Responder updated this value.</t>
      </text>
    </comment>
    <comment authorId="0" ref="BT517">
      <text>
        <t xml:space="preserve">Responder updated this value.</t>
      </text>
    </comment>
    <comment authorId="0" ref="BU517">
      <text>
        <t xml:space="preserve">Responder updated this value.</t>
      </text>
    </comment>
    <comment authorId="0" ref="BV517">
      <text>
        <t xml:space="preserve">Responder updated this value.</t>
      </text>
    </comment>
    <comment authorId="0" ref="BW517">
      <text>
        <t xml:space="preserve">Responder updated this value.</t>
      </text>
    </comment>
    <comment authorId="0" ref="AB518">
      <text>
        <t xml:space="preserve">Responder updated this value.</t>
      </text>
    </comment>
    <comment authorId="0" ref="AC518">
      <text>
        <t xml:space="preserve">Responder updated this value.</t>
      </text>
    </comment>
    <comment authorId="0" ref="AL518">
      <text>
        <t xml:space="preserve">Responder updated this value.</t>
      </text>
    </comment>
    <comment authorId="0" ref="AM518">
      <text>
        <t xml:space="preserve">Responder updated this value.</t>
      </text>
    </comment>
    <comment authorId="0" ref="AQ518">
      <text>
        <t xml:space="preserve">Responder updated this value.</t>
      </text>
    </comment>
    <comment authorId="0" ref="AW518">
      <text>
        <t xml:space="preserve">Responder updated this value.</t>
      </text>
    </comment>
    <comment authorId="0" ref="BJ518">
      <text>
        <t xml:space="preserve">Responder updated this value.</t>
      </text>
    </comment>
    <comment authorId="0" ref="BQ518">
      <text>
        <t xml:space="preserve">Responder updated this value.</t>
      </text>
    </comment>
    <comment authorId="0" ref="BR518">
      <text>
        <t xml:space="preserve">Responder updated this value.</t>
      </text>
    </comment>
    <comment authorId="0" ref="BS518">
      <text>
        <t xml:space="preserve">Responder updated this value.</t>
      </text>
    </comment>
    <comment authorId="0" ref="BT518">
      <text>
        <t xml:space="preserve">Responder updated this value.</t>
      </text>
    </comment>
    <comment authorId="0" ref="BU518">
      <text>
        <t xml:space="preserve">Responder updated this value.</t>
      </text>
    </comment>
    <comment authorId="0" ref="BV518">
      <text>
        <t xml:space="preserve">Responder updated this value.</t>
      </text>
    </comment>
    <comment authorId="0" ref="BW518">
      <text>
        <t xml:space="preserve">Responder updated this value.</t>
      </text>
    </comment>
    <comment authorId="0" ref="AO519">
      <text>
        <t xml:space="preserve">Responder updated this value.</t>
      </text>
    </comment>
    <comment authorId="0" ref="AP519">
      <text>
        <t xml:space="preserve">Responder updated this value.</t>
      </text>
    </comment>
    <comment authorId="0" ref="AQ519">
      <text>
        <t xml:space="preserve">Responder updated this value.</t>
      </text>
    </comment>
    <comment authorId="0" ref="AR519">
      <text>
        <t xml:space="preserve">Responder updated this value.</t>
      </text>
    </comment>
    <comment authorId="0" ref="AS519">
      <text>
        <t xml:space="preserve">Responder updated this value.</t>
      </text>
    </comment>
    <comment authorId="0" ref="BJ519">
      <text>
        <t xml:space="preserve">Responder updated this value.</t>
      </text>
    </comment>
    <comment authorId="0" ref="BL519">
      <text>
        <t xml:space="preserve">Responder updated this value.</t>
      </text>
    </comment>
    <comment authorId="0" ref="BQ519">
      <text>
        <t xml:space="preserve">Responder updated this value.</t>
      </text>
    </comment>
    <comment authorId="0" ref="BT519">
      <text>
        <t xml:space="preserve">Responder updated this value.</t>
      </text>
    </comment>
    <comment authorId="0" ref="BW519">
      <text>
        <t xml:space="preserve">Responder updated this value.</t>
      </text>
    </comment>
    <comment authorId="0" ref="S520">
      <text>
        <t xml:space="preserve">Responder updated this value.</t>
      </text>
    </comment>
    <comment authorId="0" ref="W520">
      <text>
        <t xml:space="preserve">Responder updated this value.</t>
      </text>
    </comment>
    <comment authorId="0" ref="AL520">
      <text>
        <t xml:space="preserve">Responder updated this value.</t>
      </text>
    </comment>
    <comment authorId="0" ref="AM520">
      <text>
        <t xml:space="preserve">Responder updated this value.</t>
      </text>
    </comment>
    <comment authorId="0" ref="AW520">
      <text>
        <t xml:space="preserve">Responder updated this value.</t>
      </text>
    </comment>
    <comment authorId="0" ref="AY520">
      <text>
        <t xml:space="preserve">Responder updated this value.</t>
      </text>
    </comment>
    <comment authorId="0" ref="BJ520">
      <text>
        <t xml:space="preserve">Responder updated this value.</t>
      </text>
    </comment>
    <comment authorId="0" ref="BL520">
      <text>
        <t xml:space="preserve">Responder updated this value.</t>
      </text>
    </comment>
    <comment authorId="0" ref="BM520">
      <text>
        <t xml:space="preserve">Responder updated this value.</t>
      </text>
    </comment>
    <comment authorId="0" ref="BQ520">
      <text>
        <t xml:space="preserve">Responder updated this value.</t>
      </text>
    </comment>
    <comment authorId="0" ref="BT520">
      <text>
        <t xml:space="preserve">Responder updated this value.</t>
      </text>
    </comment>
    <comment authorId="0" ref="BU520">
      <text>
        <t xml:space="preserve">Responder updated this value.</t>
      </text>
    </comment>
    <comment authorId="0" ref="BV520">
      <text>
        <t xml:space="preserve">Responder updated this value.</t>
      </text>
    </comment>
    <comment authorId="0" ref="BW520">
      <text>
        <t xml:space="preserve">Responder updated this value.</t>
      </text>
    </comment>
    <comment authorId="0" ref="T521">
      <text>
        <t xml:space="preserve">Responder updated this value.</t>
      </text>
    </comment>
    <comment authorId="0" ref="U521">
      <text>
        <t xml:space="preserve">Responder updated this value.</t>
      </text>
    </comment>
    <comment authorId="0" ref="AQ521">
      <text>
        <t xml:space="preserve">Responder updated this value.</t>
      </text>
    </comment>
    <comment authorId="0" ref="AR521">
      <text>
        <t xml:space="preserve">Responder updated this value.</t>
      </text>
    </comment>
    <comment authorId="0" ref="AW521">
      <text>
        <t xml:space="preserve">Responder updated this value.</t>
      </text>
    </comment>
    <comment authorId="0" ref="BJ521">
      <text>
        <t xml:space="preserve">Responder updated this value.</t>
      </text>
    </comment>
    <comment authorId="0" ref="BL521">
      <text>
        <t xml:space="preserve">Responder updated this value.</t>
      </text>
    </comment>
    <comment authorId="0" ref="BM521">
      <text>
        <t xml:space="preserve">Responder updated this value.</t>
      </text>
    </comment>
    <comment authorId="0" ref="BQ521">
      <text>
        <t xml:space="preserve">Responder updated this value.</t>
      </text>
    </comment>
    <comment authorId="0" ref="BT521">
      <text>
        <t xml:space="preserve">Responder updated this value.</t>
      </text>
    </comment>
    <comment authorId="0" ref="BU521">
      <text>
        <t xml:space="preserve">Responder updated this value.</t>
      </text>
    </comment>
    <comment authorId="0" ref="BV521">
      <text>
        <t xml:space="preserve">Responder updated this value.</t>
      </text>
    </comment>
    <comment authorId="0" ref="BW521">
      <text>
        <t xml:space="preserve">Responder updated this value.</t>
      </text>
    </comment>
    <comment authorId="0" ref="AR522">
      <text>
        <t xml:space="preserve">Responder updated this value.</t>
      </text>
    </comment>
    <comment authorId="0" ref="AW522">
      <text>
        <t xml:space="preserve">Responder updated this value.</t>
      </text>
    </comment>
    <comment authorId="0" ref="BJ522">
      <text>
        <t xml:space="preserve">Responder updated this value.</t>
      </text>
    </comment>
    <comment authorId="0" ref="BQ522">
      <text>
        <t xml:space="preserve">Responder updated this value.</t>
      </text>
    </comment>
    <comment authorId="0" ref="BT522">
      <text>
        <t xml:space="preserve">Responder updated this value.</t>
      </text>
    </comment>
    <comment authorId="0" ref="BU522">
      <text>
        <t xml:space="preserve">Responder updated this value.</t>
      </text>
    </comment>
    <comment authorId="0" ref="BV522">
      <text>
        <t xml:space="preserve">Responder updated this value.</t>
      </text>
    </comment>
    <comment authorId="0" ref="BW522">
      <text>
        <t xml:space="preserve">Responder updated this value.</t>
      </text>
    </comment>
    <comment authorId="0" ref="AC523">
      <text>
        <t xml:space="preserve">Responder updated this value.</t>
      </text>
    </comment>
    <comment authorId="0" ref="AS523">
      <text>
        <t xml:space="preserve">Responder updated this value.</t>
      </text>
    </comment>
    <comment authorId="0" ref="AW523">
      <text>
        <t xml:space="preserve">Responder updated this value.</t>
      </text>
    </comment>
    <comment authorId="0" ref="BJ523">
      <text>
        <t xml:space="preserve">Responder updated this value.</t>
      </text>
    </comment>
    <comment authorId="0" ref="BM523">
      <text>
        <t xml:space="preserve">Responder updated this value.</t>
      </text>
    </comment>
    <comment authorId="0" ref="BN523">
      <text>
        <t xml:space="preserve">Responder updated this value.</t>
      </text>
    </comment>
    <comment authorId="0" ref="BQ523">
      <text>
        <t xml:space="preserve">Responder updated this value.</t>
      </text>
    </comment>
    <comment authorId="0" ref="AW524">
      <text>
        <t xml:space="preserve">Responder updated this value.</t>
      </text>
    </comment>
    <comment authorId="0" ref="BB524">
      <text>
        <t xml:space="preserve">Responder updated this value.</t>
      </text>
    </comment>
    <comment authorId="0" ref="BL524">
      <text>
        <t xml:space="preserve">Responder updated this value.</t>
      </text>
    </comment>
    <comment authorId="0" ref="BQ524">
      <text>
        <t xml:space="preserve">Responder updated this value.</t>
      </text>
    </comment>
    <comment authorId="0" ref="AL525">
      <text>
        <t xml:space="preserve">Responder updated this value.</t>
      </text>
    </comment>
    <comment authorId="0" ref="AM525">
      <text>
        <t xml:space="preserve">Responder updated this value.</t>
      </text>
    </comment>
    <comment authorId="0" ref="AO525">
      <text>
        <t xml:space="preserve">Responder updated this value.</t>
      </text>
    </comment>
    <comment authorId="0" ref="AW525">
      <text>
        <t xml:space="preserve">Responder updated this value.</t>
      </text>
    </comment>
    <comment authorId="0" ref="AY525">
      <text>
        <t xml:space="preserve">Responder updated this value.</t>
      </text>
    </comment>
    <comment authorId="0" ref="BH525">
      <text>
        <t xml:space="preserve">Responder updated this value.</t>
      </text>
    </comment>
    <comment authorId="0" ref="BJ525">
      <text>
        <t xml:space="preserve">Responder updated this value.</t>
      </text>
    </comment>
    <comment authorId="0" ref="BL525">
      <text>
        <t xml:space="preserve">Responder updated this value.</t>
      </text>
    </comment>
    <comment authorId="0" ref="BM525">
      <text>
        <t xml:space="preserve">Responder updated this value.</t>
      </text>
    </comment>
    <comment authorId="0" ref="BQ525">
      <text>
        <t xml:space="preserve">Responder updated this value.</t>
      </text>
    </comment>
    <comment authorId="0" ref="BW525">
      <text>
        <t xml:space="preserve">Responder updated this value.</t>
      </text>
    </comment>
    <comment authorId="0" ref="BJ526">
      <text>
        <t xml:space="preserve">Responder updated this value.</t>
      </text>
    </comment>
    <comment authorId="0" ref="BL526">
      <text>
        <t xml:space="preserve">Responder updated this value.</t>
      </text>
    </comment>
    <comment authorId="0" ref="BM526">
      <text>
        <t xml:space="preserve">Responder updated this value.</t>
      </text>
    </comment>
    <comment authorId="0" ref="BN526">
      <text>
        <t xml:space="preserve">Responder updated this value.</t>
      </text>
    </comment>
    <comment authorId="0" ref="BQ526">
      <text>
        <t xml:space="preserve">Responder updated this value.</t>
      </text>
    </comment>
    <comment authorId="0" ref="BS526">
      <text>
        <t xml:space="preserve">Responder updated this value.</t>
      </text>
    </comment>
    <comment authorId="0" ref="BT526">
      <text>
        <t xml:space="preserve">Responder updated this value.</t>
      </text>
    </comment>
    <comment authorId="0" ref="BU526">
      <text>
        <t xml:space="preserve">Responder updated this value.</t>
      </text>
    </comment>
    <comment authorId="0" ref="BV526">
      <text>
        <t xml:space="preserve">Responder updated this value.</t>
      </text>
    </comment>
    <comment authorId="0" ref="BW526">
      <text>
        <t xml:space="preserve">Responder updated this value.</t>
      </text>
    </comment>
    <comment authorId="0" ref="AO527">
      <text>
        <t xml:space="preserve">Responder updated this value.</t>
      </text>
    </comment>
    <comment authorId="0" ref="AP527">
      <text>
        <t xml:space="preserve">Responder updated this value.</t>
      </text>
    </comment>
    <comment authorId="0" ref="BJ527">
      <text>
        <t xml:space="preserve">Responder updated this value.</t>
      </text>
    </comment>
    <comment authorId="0" ref="BL527">
      <text>
        <t xml:space="preserve">Responder updated this value.</t>
      </text>
    </comment>
    <comment authorId="0" ref="BM527">
      <text>
        <t xml:space="preserve">Responder updated this value.</t>
      </text>
    </comment>
    <comment authorId="0" ref="BQ527">
      <text>
        <t xml:space="preserve">Responder updated this value.</t>
      </text>
    </comment>
    <comment authorId="0" ref="Z528">
      <text>
        <t xml:space="preserve">Responder updated this value.</t>
      </text>
    </comment>
    <comment authorId="0" ref="AB528">
      <text>
        <t xml:space="preserve">Responder updated this value.</t>
      </text>
    </comment>
    <comment authorId="0" ref="AC528">
      <text>
        <t xml:space="preserve">Responder updated this value.</t>
      </text>
    </comment>
    <comment authorId="0" ref="AI528">
      <text>
        <t xml:space="preserve">Responder updated this value.</t>
      </text>
    </comment>
    <comment authorId="0" ref="BI528">
      <text>
        <t xml:space="preserve">Responder updated this value.</t>
      </text>
    </comment>
    <comment authorId="0" ref="BQ528">
      <text>
        <t xml:space="preserve">Responder updated this value.</t>
      </text>
    </comment>
    <comment authorId="0" ref="BW528">
      <text>
        <t xml:space="preserve">Responder updated this value.</t>
      </text>
    </comment>
    <comment authorId="0" ref="AB529">
      <text>
        <t xml:space="preserve">Responder updated this value.</t>
      </text>
    </comment>
    <comment authorId="0" ref="AC529">
      <text>
        <t xml:space="preserve">Responder updated this value.</t>
      </text>
    </comment>
    <comment authorId="0" ref="AW529">
      <text>
        <t xml:space="preserve">Responder updated this value.</t>
      </text>
    </comment>
    <comment authorId="0" ref="AY529">
      <text>
        <t xml:space="preserve">Responder updated this value.</t>
      </text>
    </comment>
    <comment authorId="0" ref="BJ529">
      <text>
        <t xml:space="preserve">Responder updated this value.</t>
      </text>
    </comment>
    <comment authorId="0" ref="BQ529">
      <text>
        <t xml:space="preserve">Responder updated this value.</t>
      </text>
    </comment>
    <comment authorId="0" ref="BW529">
      <text>
        <t xml:space="preserve">Responder updated this value.</t>
      </text>
    </comment>
    <comment authorId="0" ref="AB530">
      <text>
        <t xml:space="preserve">Responder updated this value.</t>
      </text>
    </comment>
    <comment authorId="0" ref="AC530">
      <text>
        <t xml:space="preserve">Responder updated this value.</t>
      </text>
    </comment>
    <comment authorId="0" ref="AU530">
      <text>
        <t xml:space="preserve">Responder updated this value.</t>
      </text>
    </comment>
    <comment authorId="0" ref="AW530">
      <text>
        <t xml:space="preserve">Responder updated this value.</t>
      </text>
    </comment>
    <comment authorId="0" ref="BC530">
      <text>
        <t xml:space="preserve">Responder updated this value.</t>
      </text>
    </comment>
    <comment authorId="0" ref="BJ530">
      <text>
        <t xml:space="preserve">Responder updated this value.</t>
      </text>
    </comment>
    <comment authorId="0" ref="BL530">
      <text>
        <t xml:space="preserve">Responder updated this value.</t>
      </text>
    </comment>
    <comment authorId="0" ref="BM530">
      <text>
        <t xml:space="preserve">Responder updated this value.</t>
      </text>
    </comment>
    <comment authorId="0" ref="BN530">
      <text>
        <t xml:space="preserve">Responder updated this value.</t>
      </text>
    </comment>
    <comment authorId="0" ref="BQ530">
      <text>
        <t xml:space="preserve">Responder updated this value.</t>
      </text>
    </comment>
    <comment authorId="0" ref="BR530">
      <text>
        <t xml:space="preserve">Responder updated this value.</t>
      </text>
    </comment>
    <comment authorId="0" ref="BW530">
      <text>
        <t xml:space="preserve">Responder updated this value.</t>
      </text>
    </comment>
    <comment authorId="0" ref="AB531">
      <text>
        <t xml:space="preserve">Responder updated this value.</t>
      </text>
    </comment>
    <comment authorId="0" ref="AC531">
      <text>
        <t xml:space="preserve">Responder updated this value.</t>
      </text>
    </comment>
    <comment authorId="0" ref="AO531">
      <text>
        <t xml:space="preserve">Responder updated this value.</t>
      </text>
    </comment>
    <comment authorId="0" ref="AP531">
      <text>
        <t xml:space="preserve">Responder updated this value.</t>
      </text>
    </comment>
    <comment authorId="0" ref="AR531">
      <text>
        <t xml:space="preserve">Responder updated this value.</t>
      </text>
    </comment>
    <comment authorId="0" ref="AS531">
      <text>
        <t xml:space="preserve">Responder updated this value.</t>
      </text>
    </comment>
    <comment authorId="0" ref="AT531">
      <text>
        <t xml:space="preserve">Responder updated this value.</t>
      </text>
    </comment>
    <comment authorId="0" ref="BJ531">
      <text>
        <t xml:space="preserve">Responder updated this value.</t>
      </text>
    </comment>
    <comment authorId="0" ref="BL531">
      <text>
        <t xml:space="preserve">Responder updated this value.</t>
      </text>
    </comment>
    <comment authorId="0" ref="BM531">
      <text>
        <t xml:space="preserve">Responder updated this value.</t>
      </text>
    </comment>
    <comment authorId="0" ref="BQ531">
      <text>
        <t xml:space="preserve">Responder updated this value.</t>
      </text>
    </comment>
    <comment authorId="0" ref="BW531">
      <text>
        <t xml:space="preserve">Responder updated this value.</t>
      </text>
    </comment>
    <comment authorId="0" ref="AW532">
      <text>
        <t xml:space="preserve">Responder updated this value.</t>
      </text>
    </comment>
    <comment authorId="0" ref="BJ532">
      <text>
        <t xml:space="preserve">Responder updated this value.</t>
      </text>
    </comment>
    <comment authorId="0" ref="BL532">
      <text>
        <t xml:space="preserve">Responder updated this value.</t>
      </text>
    </comment>
    <comment authorId="0" ref="BM532">
      <text>
        <t xml:space="preserve">Responder updated this value.</t>
      </text>
    </comment>
    <comment authorId="0" ref="BN532">
      <text>
        <t xml:space="preserve">Responder updated this value.</t>
      </text>
    </comment>
    <comment authorId="0" ref="BQ532">
      <text>
        <t xml:space="preserve">Responder updated this value.</t>
      </text>
    </comment>
    <comment authorId="0" ref="BT532">
      <text>
        <t xml:space="preserve">Responder updated this value.</t>
      </text>
    </comment>
    <comment authorId="0" ref="BU532">
      <text>
        <t xml:space="preserve">Responder updated this value.</t>
      </text>
    </comment>
    <comment authorId="0" ref="BV532">
      <text>
        <t xml:space="preserve">Responder updated this value.</t>
      </text>
    </comment>
    <comment authorId="0" ref="BW532">
      <text>
        <t xml:space="preserve">Responder updated this value.</t>
      </text>
    </comment>
    <comment authorId="0" ref="AQ533">
      <text>
        <t xml:space="preserve">Responder updated this value.</t>
      </text>
    </comment>
    <comment authorId="0" ref="AR533">
      <text>
        <t xml:space="preserve">Responder updated this value.</t>
      </text>
    </comment>
    <comment authorId="0" ref="AS533">
      <text>
        <t xml:space="preserve">Responder updated this value.</t>
      </text>
    </comment>
    <comment authorId="0" ref="BC533">
      <text>
        <t xml:space="preserve">Responder updated this value.</t>
      </text>
    </comment>
    <comment authorId="0" ref="BH533">
      <text>
        <t xml:space="preserve">Responder updated this value.</t>
      </text>
    </comment>
    <comment authorId="0" ref="BQ533">
      <text>
        <t xml:space="preserve">Responder updated this value.</t>
      </text>
    </comment>
    <comment authorId="0" ref="BT533">
      <text>
        <t xml:space="preserve">Responder updated this value.</t>
      </text>
    </comment>
    <comment authorId="0" ref="BW533">
      <text>
        <t xml:space="preserve">Responder updated this value.</t>
      </text>
    </comment>
    <comment authorId="0" ref="BC534">
      <text>
        <t xml:space="preserve">Responder updated this value.</t>
      </text>
    </comment>
    <comment authorId="0" ref="BJ534">
      <text>
        <t xml:space="preserve">Responder updated this value.</t>
      </text>
    </comment>
    <comment authorId="0" ref="BL534">
      <text>
        <t xml:space="preserve">Responder updated this value.</t>
      </text>
    </comment>
    <comment authorId="0" ref="BM534">
      <text>
        <t xml:space="preserve">Responder updated this value.</t>
      </text>
    </comment>
    <comment authorId="0" ref="BQ534">
      <text>
        <t xml:space="preserve">Responder updated this value.</t>
      </text>
    </comment>
    <comment authorId="0" ref="BW534">
      <text>
        <t xml:space="preserve">Responder updated this value.</t>
      </text>
    </comment>
    <comment authorId="0" ref="W535">
      <text>
        <t xml:space="preserve">Responder updated this value.</t>
      </text>
    </comment>
    <comment authorId="0" ref="AB535">
      <text>
        <t xml:space="preserve">Responder updated this value.</t>
      </text>
    </comment>
    <comment authorId="0" ref="AC535">
      <text>
        <t xml:space="preserve">Responder updated this value.</t>
      </text>
    </comment>
    <comment authorId="0" ref="AQ535">
      <text>
        <t xml:space="preserve">Responder updated this value.</t>
      </text>
    </comment>
    <comment authorId="0" ref="AR535">
      <text>
        <t xml:space="preserve">Responder updated this value.</t>
      </text>
    </comment>
    <comment authorId="0" ref="AS535">
      <text>
        <t xml:space="preserve">Responder updated this value.</t>
      </text>
    </comment>
    <comment authorId="0" ref="AW535">
      <text>
        <t xml:space="preserve">Responder updated this value.</t>
      </text>
    </comment>
    <comment authorId="0" ref="AX535">
      <text>
        <t xml:space="preserve">Responder updated this value.</t>
      </text>
    </comment>
    <comment authorId="0" ref="BN535">
      <text>
        <t xml:space="preserve">Responder updated this value.</t>
      </text>
    </comment>
    <comment authorId="0" ref="BQ535">
      <text>
        <t xml:space="preserve">Responder updated this value.</t>
      </text>
    </comment>
    <comment authorId="0" ref="BW535">
      <text>
        <t xml:space="preserve">Responder updated this value.</t>
      </text>
    </comment>
    <comment authorId="0" ref="AO536">
      <text>
        <t xml:space="preserve">Responder updated this value.</t>
      </text>
    </comment>
    <comment authorId="0" ref="AP536">
      <text>
        <t xml:space="preserve">Responder updated this value.</t>
      </text>
    </comment>
    <comment authorId="0" ref="AR536">
      <text>
        <t xml:space="preserve">Responder updated this value.</t>
      </text>
    </comment>
    <comment authorId="0" ref="BJ536">
      <text>
        <t xml:space="preserve">Responder updated this value.</t>
      </text>
    </comment>
    <comment authorId="0" ref="BN536">
      <text>
        <t xml:space="preserve">Responder updated this value.</t>
      </text>
    </comment>
    <comment authorId="0" ref="BQ536">
      <text>
        <t xml:space="preserve">Responder updated this value.</t>
      </text>
    </comment>
    <comment authorId="0" ref="BW536">
      <text>
        <t xml:space="preserve">Responder updated this value.</t>
      </text>
    </comment>
    <comment authorId="0" ref="AL537">
      <text>
        <t xml:space="preserve">Responder updated this value.</t>
      </text>
    </comment>
    <comment authorId="0" ref="BC537">
      <text>
        <t xml:space="preserve">Responder updated this value.</t>
      </text>
    </comment>
    <comment authorId="0" ref="BL537">
      <text>
        <t xml:space="preserve">Responder updated this value.</t>
      </text>
    </comment>
    <comment authorId="0" ref="BM537">
      <text>
        <t xml:space="preserve">Responder updated this value.</t>
      </text>
    </comment>
    <comment authorId="0" ref="BQ537">
      <text>
        <t xml:space="preserve">Responder updated this value.</t>
      </text>
    </comment>
    <comment authorId="0" ref="Z538">
      <text>
        <t xml:space="preserve">Responder updated this value.</t>
      </text>
    </comment>
    <comment authorId="0" ref="AB538">
      <text>
        <t xml:space="preserve">Responder updated this value.</t>
      </text>
    </comment>
    <comment authorId="0" ref="AC538">
      <text>
        <t xml:space="preserve">Responder updated this value.</t>
      </text>
    </comment>
    <comment authorId="0" ref="AF538">
      <text>
        <t xml:space="preserve">Responder updated this value.</t>
      </text>
    </comment>
    <comment authorId="0" ref="AG538">
      <text>
        <t xml:space="preserve">Responder updated this value.</t>
      </text>
    </comment>
    <comment authorId="0" ref="AQ538">
      <text>
        <t xml:space="preserve">Responder updated this value.</t>
      </text>
    </comment>
    <comment authorId="0" ref="BJ538">
      <text>
        <t xml:space="preserve">Responder updated this value.</t>
      </text>
    </comment>
    <comment authorId="0" ref="BL538">
      <text>
        <t xml:space="preserve">Responder updated this value.</t>
      </text>
    </comment>
    <comment authorId="0" ref="BM538">
      <text>
        <t xml:space="preserve">Responder updated this value.</t>
      </text>
    </comment>
    <comment authorId="0" ref="BQ538">
      <text>
        <t xml:space="preserve">Responder updated this value.</t>
      </text>
    </comment>
    <comment authorId="0" ref="BT538">
      <text>
        <t xml:space="preserve">Responder updated this value.</t>
      </text>
    </comment>
    <comment authorId="0" ref="BU538">
      <text>
        <t xml:space="preserve">Responder updated this value.</t>
      </text>
    </comment>
    <comment authorId="0" ref="BV538">
      <text>
        <t xml:space="preserve">Responder updated this value.</t>
      </text>
    </comment>
    <comment authorId="0" ref="BW538">
      <text>
        <t xml:space="preserve">Responder updated this value.</t>
      </text>
    </comment>
    <comment authorId="0" ref="AO539">
      <text>
        <t xml:space="preserve">Responder updated this value.</t>
      </text>
    </comment>
    <comment authorId="0" ref="AP539">
      <text>
        <t xml:space="preserve">Responder updated this value.</t>
      </text>
    </comment>
    <comment authorId="0" ref="BJ539">
      <text>
        <t xml:space="preserve">Responder updated this value.</t>
      </text>
    </comment>
    <comment authorId="0" ref="BL539">
      <text>
        <t xml:space="preserve">Responder updated this value.</t>
      </text>
    </comment>
    <comment authorId="0" ref="BM539">
      <text>
        <t xml:space="preserve">Responder updated this value.</t>
      </text>
    </comment>
    <comment authorId="0" ref="BQ539">
      <text>
        <t xml:space="preserve">Responder updated this value.</t>
      </text>
    </comment>
    <comment authorId="0" ref="AQ540">
      <text>
        <t xml:space="preserve">Responder updated this value.</t>
      </text>
    </comment>
    <comment authorId="0" ref="AS540">
      <text>
        <t xml:space="preserve">Responder updated this value.</t>
      </text>
    </comment>
    <comment authorId="0" ref="BJ540">
      <text>
        <t xml:space="preserve">Responder updated this value.</t>
      </text>
    </comment>
    <comment authorId="0" ref="BQ540">
      <text>
        <t xml:space="preserve">Responder updated this value.</t>
      </text>
    </comment>
    <comment authorId="0" ref="BW540">
      <text>
        <t xml:space="preserve">Responder updated this value.</t>
      </text>
    </comment>
    <comment authorId="0" ref="AQ541">
      <text>
        <t xml:space="preserve">Responder updated this value.</t>
      </text>
    </comment>
    <comment authorId="0" ref="AS541">
      <text>
        <t xml:space="preserve">Responder updated this value.</t>
      </text>
    </comment>
    <comment authorId="0" ref="AV541">
      <text>
        <t xml:space="preserve">Responder updated this value.</t>
      </text>
    </comment>
    <comment authorId="0" ref="AW541">
      <text>
        <t xml:space="preserve">Responder updated this value.</t>
      </text>
    </comment>
    <comment authorId="0" ref="AX541">
      <text>
        <t xml:space="preserve">Responder updated this value.</t>
      </text>
    </comment>
    <comment authorId="0" ref="BE541">
      <text>
        <t xml:space="preserve">Responder updated this value.</t>
      </text>
    </comment>
    <comment authorId="0" ref="BF541">
      <text>
        <t xml:space="preserve">Responder updated this value.</t>
      </text>
    </comment>
    <comment authorId="0" ref="BI541">
      <text>
        <t xml:space="preserve">Responder updated this value.</t>
      </text>
    </comment>
    <comment authorId="0" ref="BJ541">
      <text>
        <t xml:space="preserve">Responder updated this value.</t>
      </text>
    </comment>
    <comment authorId="0" ref="BQ541">
      <text>
        <t xml:space="preserve">Responder updated this value.</t>
      </text>
    </comment>
    <comment authorId="0" ref="BR541">
      <text>
        <t xml:space="preserve">Responder updated this value.</t>
      </text>
    </comment>
    <comment authorId="0" ref="BS541">
      <text>
        <t xml:space="preserve">Responder updated this value.</t>
      </text>
    </comment>
    <comment authorId="0" ref="BT541">
      <text>
        <t xml:space="preserve">Responder updated this value.</t>
      </text>
    </comment>
    <comment authorId="0" ref="BV541">
      <text>
        <t xml:space="preserve">Responder updated this value.</t>
      </text>
    </comment>
    <comment authorId="0" ref="BW541">
      <text>
        <t xml:space="preserve">Responder updated this value.</t>
      </text>
    </comment>
    <comment authorId="0" ref="AB542">
      <text>
        <t xml:space="preserve">Responder updated this value.</t>
      </text>
    </comment>
    <comment authorId="0" ref="AC542">
      <text>
        <t xml:space="preserve">Responder updated this value.</t>
      </text>
    </comment>
    <comment authorId="0" ref="AS542">
      <text>
        <t xml:space="preserve">Responder updated this value.</t>
      </text>
    </comment>
    <comment authorId="0" ref="BJ542">
      <text>
        <t xml:space="preserve">Responder updated this value.</t>
      </text>
    </comment>
    <comment authorId="0" ref="BL542">
      <text>
        <t xml:space="preserve">Responder updated this value.</t>
      </text>
    </comment>
    <comment authorId="0" ref="BM542">
      <text>
        <t xml:space="preserve">Responder updated this value.</t>
      </text>
    </comment>
    <comment authorId="0" ref="BQ542">
      <text>
        <t xml:space="preserve">Responder updated this value.</t>
      </text>
    </comment>
    <comment authorId="0" ref="BW542">
      <text>
        <t xml:space="preserve">Responder updated this value.</t>
      </text>
    </comment>
    <comment authorId="0" ref="P543">
      <text>
        <t xml:space="preserve">Responder updated this value.</t>
      </text>
    </comment>
    <comment authorId="0" ref="AL543">
      <text>
        <t xml:space="preserve">Responder updated this value.</t>
      </text>
    </comment>
    <comment authorId="0" ref="AM543">
      <text>
        <t xml:space="preserve">Responder updated this value.</t>
      </text>
    </comment>
    <comment authorId="0" ref="AW543">
      <text>
        <t xml:space="preserve">Responder updated this value.</t>
      </text>
    </comment>
    <comment authorId="0" ref="AY543">
      <text>
        <t xml:space="preserve">Responder updated this value.</t>
      </text>
    </comment>
    <comment authorId="0" ref="BC543">
      <text>
        <t xml:space="preserve">Responder updated this value.</t>
      </text>
    </comment>
    <comment authorId="0" ref="BJ543">
      <text>
        <t xml:space="preserve">Responder updated this value.</t>
      </text>
    </comment>
    <comment authorId="0" ref="BL543">
      <text>
        <t xml:space="preserve">Responder updated this value.</t>
      </text>
    </comment>
    <comment authorId="0" ref="BM543">
      <text>
        <t xml:space="preserve">Responder updated this value.</t>
      </text>
    </comment>
    <comment authorId="0" ref="BQ543">
      <text>
        <t xml:space="preserve">Responder updated this value.</t>
      </text>
    </comment>
    <comment authorId="0" ref="BW543">
      <text>
        <t xml:space="preserve">Responder updated this value.</t>
      </text>
    </comment>
    <comment authorId="0" ref="T544">
      <text>
        <t xml:space="preserve">Responder updated this value.</t>
      </text>
    </comment>
    <comment authorId="0" ref="V544">
      <text>
        <t xml:space="preserve">Responder updated this value.</t>
      </text>
    </comment>
    <comment authorId="0" ref="W544">
      <text>
        <t xml:space="preserve">Responder updated this value.</t>
      </text>
    </comment>
    <comment authorId="0" ref="AL544">
      <text>
        <t xml:space="preserve">Responder updated this value.</t>
      </text>
    </comment>
    <comment authorId="0" ref="AM544">
      <text>
        <t xml:space="preserve">Responder updated this value.</t>
      </text>
    </comment>
    <comment authorId="0" ref="AW544">
      <text>
        <t xml:space="preserve">Responder updated this value.</t>
      </text>
    </comment>
    <comment authorId="0" ref="AY544">
      <text>
        <t xml:space="preserve">Responder updated this value.</t>
      </text>
    </comment>
    <comment authorId="0" ref="BC544">
      <text>
        <t xml:space="preserve">Responder updated this value.</t>
      </text>
    </comment>
    <comment authorId="0" ref="BD544">
      <text>
        <t xml:space="preserve">Responder updated this value.</t>
      </text>
    </comment>
    <comment authorId="0" ref="BI544">
      <text>
        <t xml:space="preserve">Responder updated this value.</t>
      </text>
    </comment>
    <comment authorId="0" ref="BJ544">
      <text>
        <t xml:space="preserve">Responder updated this value.</t>
      </text>
    </comment>
    <comment authorId="0" ref="BL544">
      <text>
        <t xml:space="preserve">Responder updated this value.</t>
      </text>
    </comment>
    <comment authorId="0" ref="BM544">
      <text>
        <t xml:space="preserve">Responder updated this value.</t>
      </text>
    </comment>
    <comment authorId="0" ref="BQ544">
      <text>
        <t xml:space="preserve">Responder updated this value.</t>
      </text>
    </comment>
    <comment authorId="0" ref="BS544">
      <text>
        <t xml:space="preserve">Responder updated this value.</t>
      </text>
    </comment>
    <comment authorId="0" ref="BW544">
      <text>
        <t xml:space="preserve">Responder updated this value.</t>
      </text>
    </comment>
    <comment authorId="0" ref="W545">
      <text>
        <t xml:space="preserve">Responder updated this value.</t>
      </text>
    </comment>
    <comment authorId="0" ref="AL545">
      <text>
        <t xml:space="preserve">Responder updated this value.</t>
      </text>
    </comment>
    <comment authorId="0" ref="AW545">
      <text>
        <t xml:space="preserve">Responder updated this value.</t>
      </text>
    </comment>
    <comment authorId="0" ref="BC545">
      <text>
        <t xml:space="preserve">Responder updated this value.</t>
      </text>
    </comment>
    <comment authorId="0" ref="BL545">
      <text>
        <t xml:space="preserve">Responder updated this value.</t>
      </text>
    </comment>
    <comment authorId="0" ref="BQ545">
      <text>
        <t xml:space="preserve">Responder updated this value.</t>
      </text>
    </comment>
    <comment authorId="0" ref="BW545">
      <text>
        <t xml:space="preserve">Responder updated this value.</t>
      </text>
    </comment>
    <comment authorId="0" ref="AL546">
      <text>
        <t xml:space="preserve">Responder updated this value.</t>
      </text>
    </comment>
    <comment authorId="0" ref="AN546">
      <text>
        <t xml:space="preserve">Responder updated this value.</t>
      </text>
    </comment>
    <comment authorId="0" ref="AP546">
      <text>
        <t xml:space="preserve">Responder updated this value.</t>
      </text>
    </comment>
    <comment authorId="0" ref="AQ546">
      <text>
        <t xml:space="preserve">Responder updated this value.</t>
      </text>
    </comment>
    <comment authorId="0" ref="AR546">
      <text>
        <t xml:space="preserve">Responder updated this value.</t>
      </text>
    </comment>
    <comment authorId="0" ref="AU546">
      <text>
        <t xml:space="preserve">Responder updated this value.</t>
      </text>
    </comment>
    <comment authorId="0" ref="AV546">
      <text>
        <t xml:space="preserve">Responder updated this value.</t>
      </text>
    </comment>
    <comment authorId="0" ref="AW546">
      <text>
        <t xml:space="preserve">Responder updated this value.</t>
      </text>
    </comment>
    <comment authorId="0" ref="AY546">
      <text>
        <t xml:space="preserve">Responder updated this value.</t>
      </text>
    </comment>
    <comment authorId="0" ref="BA546">
      <text>
        <t xml:space="preserve">Responder updated this value.</t>
      </text>
    </comment>
    <comment authorId="0" ref="BB546">
      <text>
        <t xml:space="preserve">Responder updated this value.</t>
      </text>
    </comment>
    <comment authorId="0" ref="BC546">
      <text>
        <t xml:space="preserve">Responder updated this value.</t>
      </text>
    </comment>
    <comment authorId="0" ref="BF546">
      <text>
        <t xml:space="preserve">Responder updated this value.</t>
      </text>
    </comment>
    <comment authorId="0" ref="BJ546">
      <text>
        <t xml:space="preserve">Responder updated this value.</t>
      </text>
    </comment>
    <comment authorId="0" ref="BQ546">
      <text>
        <t xml:space="preserve">Responder updated this value.</t>
      </text>
    </comment>
    <comment authorId="0" ref="BR546">
      <text>
        <t xml:space="preserve">Responder updated this value.</t>
      </text>
    </comment>
    <comment authorId="0" ref="BS546">
      <text>
        <t xml:space="preserve">Responder updated this value.</t>
      </text>
    </comment>
    <comment authorId="0" ref="BT546">
      <text>
        <t xml:space="preserve">Responder updated this value.</t>
      </text>
    </comment>
    <comment authorId="0" ref="BU546">
      <text>
        <t xml:space="preserve">Responder updated this value.</t>
      </text>
    </comment>
    <comment authorId="0" ref="BV546">
      <text>
        <t xml:space="preserve">Responder updated this value.</t>
      </text>
    </comment>
    <comment authorId="0" ref="BW546">
      <text>
        <t xml:space="preserve">Responder updated this value.</t>
      </text>
    </comment>
    <comment authorId="0" ref="AQ547">
      <text>
        <t xml:space="preserve">Responder updated this value.</t>
      </text>
    </comment>
    <comment authorId="0" ref="AR547">
      <text>
        <t xml:space="preserve">Responder updated this value.</t>
      </text>
    </comment>
    <comment authorId="0" ref="BL547">
      <text>
        <t xml:space="preserve">Responder updated this value.</t>
      </text>
    </comment>
    <comment authorId="0" ref="BM547">
      <text>
        <t xml:space="preserve">Responder updated this value.</t>
      </text>
    </comment>
    <comment authorId="0" ref="BN547">
      <text>
        <t xml:space="preserve">Responder updated this value.</t>
      </text>
    </comment>
    <comment authorId="0" ref="BQ547">
      <text>
        <t xml:space="preserve">Responder updated this value.</t>
      </text>
    </comment>
    <comment authorId="0" ref="AL548">
      <text>
        <t xml:space="preserve">Responder updated this value.</t>
      </text>
    </comment>
    <comment authorId="0" ref="BJ548">
      <text>
        <t xml:space="preserve">Responder updated this value.</t>
      </text>
    </comment>
    <comment authorId="0" ref="BL548">
      <text>
        <t xml:space="preserve">Responder updated this value.</t>
      </text>
    </comment>
    <comment authorId="0" ref="BQ548">
      <text>
        <t xml:space="preserve">Responder updated this value.</t>
      </text>
    </comment>
    <comment authorId="0" ref="BR548">
      <text>
        <t xml:space="preserve">Responder updated this value.</t>
      </text>
    </comment>
    <comment authorId="0" ref="BS548">
      <text>
        <t xml:space="preserve">Responder updated this value.</t>
      </text>
    </comment>
    <comment authorId="0" ref="BT548">
      <text>
        <t xml:space="preserve">Responder updated this value.</t>
      </text>
    </comment>
    <comment authorId="0" ref="BU548">
      <text>
        <t xml:space="preserve">Responder updated this value.</t>
      </text>
    </comment>
    <comment authorId="0" ref="BW548">
      <text>
        <t xml:space="preserve">Responder updated this value.</t>
      </text>
    </comment>
    <comment authorId="0" ref="AC549">
      <text>
        <t xml:space="preserve">Responder updated this value.</t>
      </text>
    </comment>
    <comment authorId="0" ref="AS549">
      <text>
        <t xml:space="preserve">Responder updated this value.</t>
      </text>
    </comment>
    <comment authorId="0" ref="BJ549">
      <text>
        <t xml:space="preserve">Responder updated this value.</t>
      </text>
    </comment>
    <comment authorId="0" ref="BM549">
      <text>
        <t xml:space="preserve">Responder updated this value.</t>
      </text>
    </comment>
    <comment authorId="0" ref="BQ549">
      <text>
        <t xml:space="preserve">Responder updated this value.</t>
      </text>
    </comment>
    <comment authorId="0" ref="BV549">
      <text>
        <t xml:space="preserve">Responder updated this value.</t>
      </text>
    </comment>
    <comment authorId="0" ref="BW549">
      <text>
        <t xml:space="preserve">Responder updated this value.</t>
      </text>
    </comment>
    <comment authorId="0" ref="AW550">
      <text>
        <t xml:space="preserve">Responder updated this value.</t>
      </text>
    </comment>
    <comment authorId="0" ref="BH550">
      <text>
        <t xml:space="preserve">Responder updated this value.</t>
      </text>
    </comment>
    <comment authorId="0" ref="BJ550">
      <text>
        <t xml:space="preserve">Responder updated this value.</t>
      </text>
    </comment>
    <comment authorId="0" ref="BL550">
      <text>
        <t xml:space="preserve">Responder updated this value.</t>
      </text>
    </comment>
    <comment authorId="0" ref="BM550">
      <text>
        <t xml:space="preserve">Responder updated this value.</t>
      </text>
    </comment>
    <comment authorId="0" ref="BQ550">
      <text>
        <t xml:space="preserve">Responder updated this value.</t>
      </text>
    </comment>
    <comment authorId="0" ref="V551">
      <text>
        <t xml:space="preserve">Responder updated this value.</t>
      </text>
    </comment>
    <comment authorId="0" ref="AB551">
      <text>
        <t xml:space="preserve">Responder updated this value.</t>
      </text>
    </comment>
    <comment authorId="0" ref="AC551">
      <text>
        <t xml:space="preserve">Responder updated this value.</t>
      </text>
    </comment>
    <comment authorId="0" ref="AF551">
      <text>
        <t xml:space="preserve">Responder updated this value.</t>
      </text>
    </comment>
    <comment authorId="0" ref="AG551">
      <text>
        <t xml:space="preserve">Responder updated this value.</t>
      </text>
    </comment>
    <comment authorId="0" ref="AQ551">
      <text>
        <t xml:space="preserve">Responder updated this value.</t>
      </text>
    </comment>
    <comment authorId="0" ref="AR551">
      <text>
        <t xml:space="preserve">Responder updated this value.</t>
      </text>
    </comment>
    <comment authorId="0" ref="AS551">
      <text>
        <t xml:space="preserve">Responder updated this value.</t>
      </text>
    </comment>
    <comment authorId="0" ref="AW551">
      <text>
        <t xml:space="preserve">Responder updated this value.</t>
      </text>
    </comment>
    <comment authorId="0" ref="AX551">
      <text>
        <t xml:space="preserve">Responder updated this value.</t>
      </text>
    </comment>
    <comment authorId="0" ref="BC551">
      <text>
        <t xml:space="preserve">Responder updated this value.</t>
      </text>
    </comment>
    <comment authorId="0" ref="BJ551">
      <text>
        <t xml:space="preserve">Responder updated this value.</t>
      </text>
    </comment>
    <comment authorId="0" ref="BQ551">
      <text>
        <t xml:space="preserve">Responder updated this value.</t>
      </text>
    </comment>
    <comment authorId="0" ref="BS551">
      <text>
        <t xml:space="preserve">Responder updated this value.</t>
      </text>
    </comment>
    <comment authorId="0" ref="BT551">
      <text>
        <t xml:space="preserve">Responder updated this value.</t>
      </text>
    </comment>
    <comment authorId="0" ref="BU551">
      <text>
        <t xml:space="preserve">Responder updated this value.</t>
      </text>
    </comment>
    <comment authorId="0" ref="BV551">
      <text>
        <t xml:space="preserve">Responder updated this value.</t>
      </text>
    </comment>
    <comment authorId="0" ref="BW551">
      <text>
        <t xml:space="preserve">Responder updated this value.</t>
      </text>
    </comment>
    <comment authorId="0" ref="AS552">
      <text>
        <t xml:space="preserve">Responder updated this value.</t>
      </text>
    </comment>
    <comment authorId="0" ref="AW552">
      <text>
        <t xml:space="preserve">Responder updated this value.</t>
      </text>
    </comment>
    <comment authorId="0" ref="BJ552">
      <text>
        <t xml:space="preserve">Responder updated this value.</t>
      </text>
    </comment>
    <comment authorId="0" ref="BQ552">
      <text>
        <t xml:space="preserve">Responder updated this value.</t>
      </text>
    </comment>
    <comment authorId="0" ref="BW552">
      <text>
        <t xml:space="preserve">Responder updated this value.</t>
      </text>
    </comment>
    <comment authorId="0" ref="AW553">
      <text>
        <t xml:space="preserve">Responder updated this value.</t>
      </text>
    </comment>
    <comment authorId="0" ref="BC553">
      <text>
        <t xml:space="preserve">Responder updated this value.</t>
      </text>
    </comment>
    <comment authorId="0" ref="BJ553">
      <text>
        <t xml:space="preserve">Responder updated this value.</t>
      </text>
    </comment>
    <comment authorId="0" ref="BQ553">
      <text>
        <t xml:space="preserve">Responder updated this value.</t>
      </text>
    </comment>
    <comment authorId="0" ref="BS553">
      <text>
        <t xml:space="preserve">Responder updated this value.</t>
      </text>
    </comment>
    <comment authorId="0" ref="BT553">
      <text>
        <t xml:space="preserve">Responder updated this value.</t>
      </text>
    </comment>
    <comment authorId="0" ref="BU553">
      <text>
        <t xml:space="preserve">Responder updated this value.</t>
      </text>
    </comment>
    <comment authorId="0" ref="BV553">
      <text>
        <t xml:space="preserve">Responder updated this value.</t>
      </text>
    </comment>
    <comment authorId="0" ref="BW553">
      <text>
        <t xml:space="preserve">Responder updated this value.</t>
      </text>
    </comment>
    <comment authorId="0" ref="AQ554">
      <text>
        <t xml:space="preserve">Responder updated this value.</t>
      </text>
    </comment>
    <comment authorId="0" ref="AR554">
      <text>
        <t xml:space="preserve">Responder updated this value.</t>
      </text>
    </comment>
    <comment authorId="0" ref="AT554">
      <text>
        <t xml:space="preserve">Responder updated this value.</t>
      </text>
    </comment>
    <comment authorId="0" ref="AW554">
      <text>
        <t xml:space="preserve">Responder updated this value.</t>
      </text>
    </comment>
    <comment authorId="0" ref="BC554">
      <text>
        <t xml:space="preserve">Responder updated this value.</t>
      </text>
    </comment>
    <comment authorId="0" ref="BH554">
      <text>
        <t xml:space="preserve">Responder updated this value.</t>
      </text>
    </comment>
    <comment authorId="0" ref="BQ554">
      <text>
        <t xml:space="preserve">Responder updated this value.</t>
      </text>
    </comment>
    <comment authorId="0" ref="BT554">
      <text>
        <t xml:space="preserve">Responder updated this value.</t>
      </text>
    </comment>
    <comment authorId="0" ref="BW554">
      <text>
        <t xml:space="preserve">Responder updated this value.</t>
      </text>
    </comment>
    <comment authorId="0" ref="AL555">
      <text>
        <t xml:space="preserve">Responder updated this value.</t>
      </text>
    </comment>
    <comment authorId="0" ref="AN555">
      <text>
        <t xml:space="preserve">Responder updated this value.</t>
      </text>
    </comment>
    <comment authorId="0" ref="AO555">
      <text>
        <t xml:space="preserve">Responder updated this value.</t>
      </text>
    </comment>
    <comment authorId="0" ref="AP555">
      <text>
        <t xml:space="preserve">Responder updated this value.</t>
      </text>
    </comment>
    <comment authorId="0" ref="AQ555">
      <text>
        <t xml:space="preserve">Responder updated this value.</t>
      </text>
    </comment>
    <comment authorId="0" ref="AR555">
      <text>
        <t xml:space="preserve">Responder updated this value.</t>
      </text>
    </comment>
    <comment authorId="0" ref="AS555">
      <text>
        <t xml:space="preserve">Responder updated this value.</t>
      </text>
    </comment>
    <comment authorId="0" ref="AT555">
      <text>
        <t xml:space="preserve">Responder updated this value.</t>
      </text>
    </comment>
    <comment authorId="0" ref="AX555">
      <text>
        <t xml:space="preserve">Responder updated this value.</t>
      </text>
    </comment>
    <comment authorId="0" ref="BD555">
      <text>
        <t xml:space="preserve">Responder updated this value.</t>
      </text>
    </comment>
    <comment authorId="0" ref="BE555">
      <text>
        <t xml:space="preserve">Responder updated this value.</t>
      </text>
    </comment>
    <comment authorId="0" ref="BF555">
      <text>
        <t xml:space="preserve">Responder updated this value.</t>
      </text>
    </comment>
    <comment authorId="0" ref="BG555">
      <text>
        <t xml:space="preserve">Responder updated this value.</t>
      </text>
    </comment>
    <comment authorId="0" ref="BH555">
      <text>
        <t xml:space="preserve">Responder updated this value.</t>
      </text>
    </comment>
    <comment authorId="0" ref="BJ555">
      <text>
        <t xml:space="preserve">Responder updated this value.</t>
      </text>
    </comment>
    <comment authorId="0" ref="BM555">
      <text>
        <t xml:space="preserve">Responder updated this value.</t>
      </text>
    </comment>
    <comment authorId="0" ref="BQ555">
      <text>
        <t xml:space="preserve">Responder updated this value.</t>
      </text>
    </comment>
    <comment authorId="0" ref="BR555">
      <text>
        <t xml:space="preserve">Responder updated this value.</t>
      </text>
    </comment>
    <comment authorId="0" ref="BW555">
      <text>
        <t xml:space="preserve">Responder updated this value.</t>
      </text>
    </comment>
    <comment authorId="0" ref="BL556">
      <text>
        <t xml:space="preserve">Responder updated this value.</t>
      </text>
    </comment>
    <comment authorId="0" ref="BM556">
      <text>
        <t xml:space="preserve">Responder updated this value.</t>
      </text>
    </comment>
    <comment authorId="0" ref="BN556">
      <text>
        <t xml:space="preserve">Responder updated this value.</t>
      </text>
    </comment>
    <comment authorId="0" ref="BP556">
      <text>
        <t xml:space="preserve">Responder updated this value.</t>
      </text>
    </comment>
    <comment authorId="0" ref="BQ556">
      <text>
        <t xml:space="preserve">Responder updated this value.</t>
      </text>
    </comment>
    <comment authorId="0" ref="AQ557">
      <text>
        <t xml:space="preserve">Responder updated this value.</t>
      </text>
    </comment>
    <comment authorId="0" ref="AS557">
      <text>
        <t xml:space="preserve">Responder updated this value.</t>
      </text>
    </comment>
    <comment authorId="0" ref="AV557">
      <text>
        <t xml:space="preserve">Responder updated this value.</t>
      </text>
    </comment>
    <comment authorId="0" ref="BJ557">
      <text>
        <t xml:space="preserve">Responder updated this value.</t>
      </text>
    </comment>
    <comment authorId="0" ref="BL557">
      <text>
        <t xml:space="preserve">Responder updated this value.</t>
      </text>
    </comment>
    <comment authorId="0" ref="BM557">
      <text>
        <t xml:space="preserve">Responder updated this value.</t>
      </text>
    </comment>
    <comment authorId="0" ref="BQ557">
      <text>
        <t xml:space="preserve">Responder updated this value.</t>
      </text>
    </comment>
    <comment authorId="0" ref="BR557">
      <text>
        <t xml:space="preserve">Responder updated this value.</t>
      </text>
    </comment>
    <comment authorId="0" ref="BS557">
      <text>
        <t xml:space="preserve">Responder updated this value.</t>
      </text>
    </comment>
    <comment authorId="0" ref="BT557">
      <text>
        <t xml:space="preserve">Responder updated this value.</t>
      </text>
    </comment>
    <comment authorId="0" ref="BU557">
      <text>
        <t xml:space="preserve">Responder updated this value.</t>
      </text>
    </comment>
    <comment authorId="0" ref="BV557">
      <text>
        <t xml:space="preserve">Responder updated this value.</t>
      </text>
    </comment>
    <comment authorId="0" ref="BW557">
      <text>
        <t xml:space="preserve">Responder updated this value.</t>
      </text>
    </comment>
    <comment authorId="0" ref="AQ558">
      <text>
        <t xml:space="preserve">Responder updated this value.</t>
      </text>
    </comment>
    <comment authorId="0" ref="BL558">
      <text>
        <t xml:space="preserve">Responder updated this value.</t>
      </text>
    </comment>
    <comment authorId="0" ref="BP558">
      <text>
        <t xml:space="preserve">Responder updated this value.</t>
      </text>
    </comment>
    <comment authorId="0" ref="BQ558">
      <text>
        <t xml:space="preserve">Responder updated this value.</t>
      </text>
    </comment>
    <comment authorId="0" ref="BR558">
      <text>
        <t xml:space="preserve">Responder updated this value.</t>
      </text>
    </comment>
    <comment authorId="0" ref="BS558">
      <text>
        <t xml:space="preserve">Responder updated this value.</t>
      </text>
    </comment>
    <comment authorId="0" ref="BT558">
      <text>
        <t xml:space="preserve">Responder updated this value.</t>
      </text>
    </comment>
    <comment authorId="0" ref="BU558">
      <text>
        <t xml:space="preserve">Responder updated this value.</t>
      </text>
    </comment>
    <comment authorId="0" ref="BV558">
      <text>
        <t xml:space="preserve">Responder updated this value.</t>
      </text>
    </comment>
    <comment authorId="0" ref="BW558">
      <text>
        <t xml:space="preserve">Responder updated this value.</t>
      </text>
    </comment>
    <comment authorId="0" ref="AN559">
      <text>
        <t xml:space="preserve">Responder updated this value.</t>
      </text>
    </comment>
    <comment authorId="0" ref="AO559">
      <text>
        <t xml:space="preserve">Responder updated this value.</t>
      </text>
    </comment>
    <comment authorId="0" ref="AP559">
      <text>
        <t xml:space="preserve">Responder updated this value.</t>
      </text>
    </comment>
    <comment authorId="0" ref="BA559">
      <text>
        <t xml:space="preserve">Responder updated this value.</t>
      </text>
    </comment>
    <comment authorId="0" ref="BB559">
      <text>
        <t xml:space="preserve">Responder updated this value.</t>
      </text>
    </comment>
    <comment authorId="0" ref="BC559">
      <text>
        <t xml:space="preserve">Responder updated this value.</t>
      </text>
    </comment>
    <comment authorId="0" ref="BW559">
      <text>
        <t xml:space="preserve">Responder updated this value.</t>
      </text>
    </comment>
    <comment authorId="0" ref="BA560">
      <text>
        <t xml:space="preserve">Responder updated this value.</t>
      </text>
    </comment>
    <comment authorId="0" ref="BJ560">
      <text>
        <t xml:space="preserve">Responder updated this value.</t>
      </text>
    </comment>
    <comment authorId="0" ref="BL560">
      <text>
        <t xml:space="preserve">Responder updated this value.</t>
      </text>
    </comment>
    <comment authorId="0" ref="BM560">
      <text>
        <t xml:space="preserve">Responder updated this value.</t>
      </text>
    </comment>
    <comment authorId="0" ref="BQ560">
      <text>
        <t xml:space="preserve">Responder updated this value.</t>
      </text>
    </comment>
    <comment authorId="0" ref="AL561">
      <text>
        <t xml:space="preserve">Responder updated this value.</t>
      </text>
    </comment>
    <comment authorId="0" ref="AM561">
      <text>
        <t xml:space="preserve">Responder updated this value.</t>
      </text>
    </comment>
    <comment authorId="0" ref="BA561">
      <text>
        <t xml:space="preserve">Responder updated this value.</t>
      </text>
    </comment>
    <comment authorId="0" ref="BL561">
      <text>
        <t xml:space="preserve">Responder updated this value.</t>
      </text>
    </comment>
    <comment authorId="0" ref="BM561">
      <text>
        <t xml:space="preserve">Responder updated this value.</t>
      </text>
    </comment>
    <comment authorId="0" ref="BQ561">
      <text>
        <t xml:space="preserve">Responder updated this value.</t>
      </text>
    </comment>
    <comment authorId="0" ref="P562">
      <text>
        <t xml:space="preserve">Responder updated this value.</t>
      </text>
    </comment>
    <comment authorId="0" ref="AC562">
      <text>
        <t xml:space="preserve">Responder updated this value.</t>
      </text>
    </comment>
    <comment authorId="0" ref="AL562">
      <text>
        <t xml:space="preserve">Responder updated this value.</t>
      </text>
    </comment>
    <comment authorId="0" ref="AM562">
      <text>
        <t xml:space="preserve">Responder updated this value.</t>
      </text>
    </comment>
    <comment authorId="0" ref="AS562">
      <text>
        <t xml:space="preserve">Responder updated this value.</t>
      </text>
    </comment>
    <comment authorId="0" ref="AU562">
      <text>
        <t xml:space="preserve">Responder updated this value.</t>
      </text>
    </comment>
    <comment authorId="0" ref="AW562">
      <text>
        <t xml:space="preserve">Responder updated this value.</t>
      </text>
    </comment>
    <comment authorId="0" ref="AX562">
      <text>
        <t xml:space="preserve">Responder updated this value.</t>
      </text>
    </comment>
    <comment authorId="0" ref="BC562">
      <text>
        <t xml:space="preserve">Responder updated this value.</t>
      </text>
    </comment>
    <comment authorId="0" ref="BE562">
      <text>
        <t xml:space="preserve">Responder updated this value.</t>
      </text>
    </comment>
    <comment authorId="0" ref="BI562">
      <text>
        <t xml:space="preserve">Responder updated this value.</t>
      </text>
    </comment>
    <comment authorId="0" ref="BJ562">
      <text>
        <t xml:space="preserve">Responder updated this value.</t>
      </text>
    </comment>
    <comment authorId="0" ref="BL562">
      <text>
        <t xml:space="preserve">Responder updated this value.</t>
      </text>
    </comment>
    <comment authorId="0" ref="BM562">
      <text>
        <t xml:space="preserve">Responder updated this value.</t>
      </text>
    </comment>
    <comment authorId="0" ref="BQ562">
      <text>
        <t xml:space="preserve">Responder updated this value.</t>
      </text>
    </comment>
    <comment authorId="0" ref="J563">
      <text>
        <t xml:space="preserve">Responder updated this value.</t>
      </text>
    </comment>
    <comment authorId="0" ref="AB563">
      <text>
        <t xml:space="preserve">Responder updated this value.</t>
      </text>
    </comment>
    <comment authorId="0" ref="AC563">
      <text>
        <t xml:space="preserve">Responder updated this value.</t>
      </text>
    </comment>
    <comment authorId="0" ref="AQ563">
      <text>
        <t xml:space="preserve">Responder updated this value.</t>
      </text>
    </comment>
    <comment authorId="0" ref="AR563">
      <text>
        <t xml:space="preserve">Responder updated this value.</t>
      </text>
    </comment>
    <comment authorId="0" ref="BD563">
      <text>
        <t xml:space="preserve">Responder updated this value.</t>
      </text>
    </comment>
    <comment authorId="0" ref="BJ563">
      <text>
        <t xml:space="preserve">Responder updated this value.</t>
      </text>
    </comment>
    <comment authorId="0" ref="BL563">
      <text>
        <t xml:space="preserve">Responder updated this value.</t>
      </text>
    </comment>
    <comment authorId="0" ref="BM563">
      <text>
        <t xml:space="preserve">Responder updated this value.</t>
      </text>
    </comment>
    <comment authorId="0" ref="BN563">
      <text>
        <t xml:space="preserve">Responder updated this value.</t>
      </text>
    </comment>
    <comment authorId="0" ref="BP563">
      <text>
        <t xml:space="preserve">Responder updated this value.</t>
      </text>
    </comment>
    <comment authorId="0" ref="BQ563">
      <text>
        <t xml:space="preserve">Responder updated this value.</t>
      </text>
    </comment>
    <comment authorId="0" ref="BS563">
      <text>
        <t xml:space="preserve">Responder updated this value.</t>
      </text>
    </comment>
    <comment authorId="0" ref="BT563">
      <text>
        <t xml:space="preserve">Responder updated this value.</t>
      </text>
    </comment>
    <comment authorId="0" ref="BW563">
      <text>
        <t xml:space="preserve">Responder updated this value.</t>
      </text>
    </comment>
    <comment authorId="0" ref="AQ564">
      <text>
        <t xml:space="preserve">Responder updated this value.</t>
      </text>
    </comment>
    <comment authorId="0" ref="AR564">
      <text>
        <t xml:space="preserve">Responder updated this value.</t>
      </text>
    </comment>
    <comment authorId="0" ref="AW564">
      <text>
        <t xml:space="preserve">Responder updated this value.</t>
      </text>
    </comment>
    <comment authorId="0" ref="AZ564">
      <text>
        <t xml:space="preserve">Responder updated this value.</t>
      </text>
    </comment>
    <comment authorId="0" ref="BJ564">
      <text>
        <t xml:space="preserve">Responder updated this value.</t>
      </text>
    </comment>
    <comment authorId="0" ref="BM564">
      <text>
        <t xml:space="preserve">Responder updated this value.</t>
      </text>
    </comment>
    <comment authorId="0" ref="BQ564">
      <text>
        <t xml:space="preserve">Responder updated this value.</t>
      </text>
    </comment>
    <comment authorId="0" ref="AL565">
      <text>
        <t xml:space="preserve">Responder updated this value.</t>
      </text>
    </comment>
    <comment authorId="0" ref="AM565">
      <text>
        <t xml:space="preserve">Responder updated this value.</t>
      </text>
    </comment>
    <comment authorId="0" ref="AQ565">
      <text>
        <t xml:space="preserve">Responder updated this value.</t>
      </text>
    </comment>
    <comment authorId="0" ref="AS565">
      <text>
        <t xml:space="preserve">Responder updated this value.</t>
      </text>
    </comment>
    <comment authorId="0" ref="BA565">
      <text>
        <t xml:space="preserve">Responder updated this value.</t>
      </text>
    </comment>
    <comment authorId="0" ref="BJ565">
      <text>
        <t xml:space="preserve">Responder updated this value.</t>
      </text>
    </comment>
    <comment authorId="0" ref="BL565">
      <text>
        <t xml:space="preserve">Responder updated this value.</t>
      </text>
    </comment>
    <comment authorId="0" ref="BQ565">
      <text>
        <t xml:space="preserve">Responder updated this value.</t>
      </text>
    </comment>
    <comment authorId="0" ref="BR565">
      <text>
        <t xml:space="preserve">Responder updated this value.</t>
      </text>
    </comment>
    <comment authorId="0" ref="BU565">
      <text>
        <t xml:space="preserve">Responder updated this value.</t>
      </text>
    </comment>
    <comment authorId="0" ref="BV565">
      <text>
        <t xml:space="preserve">Responder updated this value.</t>
      </text>
    </comment>
    <comment authorId="0" ref="BW565">
      <text>
        <t xml:space="preserve">Responder updated this value.</t>
      </text>
    </comment>
    <comment authorId="0" ref="AL566">
      <text>
        <t xml:space="preserve">Responder updated this value.</t>
      </text>
    </comment>
    <comment authorId="0" ref="AM566">
      <text>
        <t xml:space="preserve">Responder updated this value.</t>
      </text>
    </comment>
    <comment authorId="0" ref="BL566">
      <text>
        <t xml:space="preserve">Responder updated this value.</t>
      </text>
    </comment>
    <comment authorId="0" ref="BP566">
      <text>
        <t xml:space="preserve">Responder updated this value.</t>
      </text>
    </comment>
    <comment authorId="0" ref="BQ566">
      <text>
        <t xml:space="preserve">Responder updated this value.</t>
      </text>
    </comment>
    <comment authorId="0" ref="BR566">
      <text>
        <t xml:space="preserve">Responder updated this value.</t>
      </text>
    </comment>
    <comment authorId="0" ref="BS566">
      <text>
        <t xml:space="preserve">Responder updated this value.</t>
      </text>
    </comment>
    <comment authorId="0" ref="BT566">
      <text>
        <t xml:space="preserve">Responder updated this value.</t>
      </text>
    </comment>
    <comment authorId="0" ref="BU566">
      <text>
        <t xml:space="preserve">Responder updated this value.</t>
      </text>
    </comment>
    <comment authorId="0" ref="BW566">
      <text>
        <t xml:space="preserve">Responder updated this value.</t>
      </text>
    </comment>
    <comment authorId="0" ref="BQ567">
      <text>
        <t xml:space="preserve">Responder updated this value.</t>
      </text>
    </comment>
    <comment authorId="0" ref="AL568">
      <text>
        <t xml:space="preserve">Responder updated this value.</t>
      </text>
    </comment>
    <comment authorId="0" ref="AM568">
      <text>
        <t xml:space="preserve">Responder updated this value.</t>
      </text>
    </comment>
    <comment authorId="0" ref="AR568">
      <text>
        <t xml:space="preserve">Responder updated this value.</t>
      </text>
    </comment>
    <comment authorId="0" ref="BA568">
      <text>
        <t xml:space="preserve">Responder updated this value.</t>
      </text>
    </comment>
    <comment authorId="0" ref="BL568">
      <text>
        <t xml:space="preserve">Responder updated this value.</t>
      </text>
    </comment>
    <comment authorId="0" ref="BM568">
      <text>
        <t xml:space="preserve">Responder updated this value.</t>
      </text>
    </comment>
    <comment authorId="0" ref="BQ568">
      <text>
        <t xml:space="preserve">Responder updated this value.</t>
      </text>
    </comment>
    <comment authorId="0" ref="BW568">
      <text>
        <t xml:space="preserve">Responder updated this value.</t>
      </text>
    </comment>
    <comment authorId="0" ref="AL569">
      <text>
        <t xml:space="preserve">Responder updated this value.</t>
      </text>
    </comment>
    <comment authorId="0" ref="AM569">
      <text>
        <t xml:space="preserve">Responder updated this value.</t>
      </text>
    </comment>
    <comment authorId="0" ref="AW569">
      <text>
        <t xml:space="preserve">Responder updated this value.</t>
      </text>
    </comment>
    <comment authorId="0" ref="BL569">
      <text>
        <t xml:space="preserve">Responder updated this value.</t>
      </text>
    </comment>
    <comment authorId="0" ref="BM569">
      <text>
        <t xml:space="preserve">Responder updated this value.</t>
      </text>
    </comment>
    <comment authorId="0" ref="BQ569">
      <text>
        <t xml:space="preserve">Responder updated this value.</t>
      </text>
    </comment>
    <comment authorId="0" ref="AB570">
      <text>
        <t xml:space="preserve">Responder updated this value.</t>
      </text>
    </comment>
    <comment authorId="0" ref="AC570">
      <text>
        <t xml:space="preserve">Responder updated this value.</t>
      </text>
    </comment>
    <comment authorId="0" ref="AW570">
      <text>
        <t xml:space="preserve">Responder updated this value.</t>
      </text>
    </comment>
    <comment authorId="0" ref="BC570">
      <text>
        <t xml:space="preserve">Responder updated this value.</t>
      </text>
    </comment>
    <comment authorId="0" ref="BE570">
      <text>
        <t xml:space="preserve">Responder updated this value.</t>
      </text>
    </comment>
    <comment authorId="0" ref="BJ570">
      <text>
        <t xml:space="preserve">Responder updated this value.</t>
      </text>
    </comment>
    <comment authorId="0" ref="BL570">
      <text>
        <t xml:space="preserve">Responder updated this value.</t>
      </text>
    </comment>
    <comment authorId="0" ref="BM570">
      <text>
        <t xml:space="preserve">Responder updated this value.</t>
      </text>
    </comment>
    <comment authorId="0" ref="BN570">
      <text>
        <t xml:space="preserve">Responder updated this value.</t>
      </text>
    </comment>
    <comment authorId="0" ref="BQ570">
      <text>
        <t xml:space="preserve">Responder updated this value.</t>
      </text>
    </comment>
    <comment authorId="0" ref="BR570">
      <text>
        <t xml:space="preserve">Responder updated this value.</t>
      </text>
    </comment>
    <comment authorId="0" ref="BS570">
      <text>
        <t xml:space="preserve">Responder updated this value.</t>
      </text>
    </comment>
    <comment authorId="0" ref="BT570">
      <text>
        <t xml:space="preserve">Responder updated this value.</t>
      </text>
    </comment>
    <comment authorId="0" ref="BU570">
      <text>
        <t xml:space="preserve">Responder updated this value.</t>
      </text>
    </comment>
    <comment authorId="0" ref="BV570">
      <text>
        <t xml:space="preserve">Responder updated this value.</t>
      </text>
    </comment>
    <comment authorId="0" ref="BW570">
      <text>
        <t xml:space="preserve">Responder updated this value.</t>
      </text>
    </comment>
    <comment authorId="0" ref="AB571">
      <text>
        <t xml:space="preserve">Responder updated this value.</t>
      </text>
    </comment>
    <comment authorId="0" ref="AC571">
      <text>
        <t xml:space="preserve">Responder updated this value.</t>
      </text>
    </comment>
    <comment authorId="0" ref="AO571">
      <text>
        <t xml:space="preserve">Responder updated this value.</t>
      </text>
    </comment>
    <comment authorId="0" ref="AP571">
      <text>
        <t xml:space="preserve">Responder updated this value.</t>
      </text>
    </comment>
    <comment authorId="0" ref="AQ571">
      <text>
        <t xml:space="preserve">Responder updated this value.</t>
      </text>
    </comment>
    <comment authorId="0" ref="AS571">
      <text>
        <t xml:space="preserve">Responder updated this value.</t>
      </text>
    </comment>
    <comment authorId="0" ref="AW571">
      <text>
        <t xml:space="preserve">Responder updated this value.</t>
      </text>
    </comment>
    <comment authorId="0" ref="AX571">
      <text>
        <t xml:space="preserve">Responder updated this value.</t>
      </text>
    </comment>
    <comment authorId="0" ref="BC571">
      <text>
        <t xml:space="preserve">Responder updated this value.</t>
      </text>
    </comment>
    <comment authorId="0" ref="BD571">
      <text>
        <t xml:space="preserve">Responder updated this value.</t>
      </text>
    </comment>
    <comment authorId="0" ref="BI571">
      <text>
        <t xml:space="preserve">Responder updated this value.</t>
      </text>
    </comment>
    <comment authorId="0" ref="BJ571">
      <text>
        <t xml:space="preserve">Responder updated this value.</t>
      </text>
    </comment>
    <comment authorId="0" ref="BQ571">
      <text>
        <t xml:space="preserve">Responder updated this value.</t>
      </text>
    </comment>
    <comment authorId="0" ref="BT571">
      <text>
        <t xml:space="preserve">Responder updated this value.</t>
      </text>
    </comment>
    <comment authorId="0" ref="BU571">
      <text>
        <t xml:space="preserve">Responder updated this value.</t>
      </text>
    </comment>
    <comment authorId="0" ref="BV571">
      <text>
        <t xml:space="preserve">Responder updated this value.</t>
      </text>
    </comment>
    <comment authorId="0" ref="BW571">
      <text>
        <t xml:space="preserve">Responder updated this value.</t>
      </text>
    </comment>
    <comment authorId="0" ref="BJ572">
      <text>
        <t xml:space="preserve">Responder updated this value.</t>
      </text>
    </comment>
    <comment authorId="0" ref="BM572">
      <text>
        <t xml:space="preserve">Responder updated this value.</t>
      </text>
    </comment>
    <comment authorId="0" ref="BN572">
      <text>
        <t xml:space="preserve">Responder updated this value.</t>
      </text>
    </comment>
    <comment authorId="0" ref="BQ572">
      <text>
        <t xml:space="preserve">Responder updated this value.</t>
      </text>
    </comment>
    <comment authorId="0" ref="AL573">
      <text>
        <t xml:space="preserve">Responder updated this value.</t>
      </text>
    </comment>
    <comment authorId="0" ref="BJ573">
      <text>
        <t xml:space="preserve">Responder updated this value.</t>
      </text>
    </comment>
    <comment authorId="0" ref="BL573">
      <text>
        <t xml:space="preserve">Responder updated this value.</t>
      </text>
    </comment>
    <comment authorId="0" ref="BM573">
      <text>
        <t xml:space="preserve">Responder updated this value.</t>
      </text>
    </comment>
    <comment authorId="0" ref="BQ573">
      <text>
        <t xml:space="preserve">Responder updated this value.</t>
      </text>
    </comment>
    <comment authorId="0" ref="AJ574">
      <text>
        <t xml:space="preserve">Responder updated this value.</t>
      </text>
    </comment>
    <comment authorId="0" ref="AL574">
      <text>
        <t xml:space="preserve">Responder updated this value.</t>
      </text>
    </comment>
    <comment authorId="0" ref="AQ574">
      <text>
        <t xml:space="preserve">Responder updated this value.</t>
      </text>
    </comment>
    <comment authorId="0" ref="AR574">
      <text>
        <t xml:space="preserve">Responder updated this value.</t>
      </text>
    </comment>
    <comment authorId="0" ref="AW574">
      <text>
        <t xml:space="preserve">Responder updated this value.</t>
      </text>
    </comment>
    <comment authorId="0" ref="BC574">
      <text>
        <t xml:space="preserve">Responder updated this value.</t>
      </text>
    </comment>
    <comment authorId="0" ref="BJ574">
      <text>
        <t xml:space="preserve">Responder updated this value.</t>
      </text>
    </comment>
    <comment authorId="0" ref="BM574">
      <text>
        <t xml:space="preserve">Responder updated this value.</t>
      </text>
    </comment>
    <comment authorId="0" ref="BN574">
      <text>
        <t xml:space="preserve">Responder updated this value.</t>
      </text>
    </comment>
    <comment authorId="0" ref="BQ574">
      <text>
        <t xml:space="preserve">Responder updated this value.</t>
      </text>
    </comment>
    <comment authorId="0" ref="AB575">
      <text>
        <t xml:space="preserve">Responder updated this value.</t>
      </text>
    </comment>
    <comment authorId="0" ref="AC575">
      <text>
        <t xml:space="preserve">Responder updated this value.</t>
      </text>
    </comment>
    <comment authorId="0" ref="AW575">
      <text>
        <t xml:space="preserve">Responder updated this value.</t>
      </text>
    </comment>
    <comment authorId="0" ref="BJ575">
      <text>
        <t xml:space="preserve">Responder updated this value.</t>
      </text>
    </comment>
    <comment authorId="0" ref="BQ575">
      <text>
        <t xml:space="preserve">Responder updated this value.</t>
      </text>
    </comment>
    <comment authorId="0" ref="BW575">
      <text>
        <t xml:space="preserve">Responder updated this value.</t>
      </text>
    </comment>
    <comment authorId="0" ref="J576">
      <text>
        <t xml:space="preserve">Responder updated this value.</t>
      </text>
    </comment>
    <comment authorId="0" ref="AN576">
      <text>
        <t xml:space="preserve">Responder updated this value.</t>
      </text>
    </comment>
    <comment authorId="0" ref="BQ576">
      <text>
        <t xml:space="preserve">Responder updated this value.</t>
      </text>
    </comment>
    <comment authorId="0" ref="BW576">
      <text>
        <t xml:space="preserve">Responder updated this value.</t>
      </text>
    </comment>
    <comment authorId="0" ref="BQ577">
      <text>
        <t xml:space="preserve">Responder updated this value.</t>
      </text>
    </comment>
    <comment authorId="0" ref="AQ578">
      <text>
        <t xml:space="preserve">Responder updated this value.</t>
      </text>
    </comment>
    <comment authorId="0" ref="AR578">
      <text>
        <t xml:space="preserve">Responder updated this value.</t>
      </text>
    </comment>
    <comment authorId="0" ref="AS578">
      <text>
        <t xml:space="preserve">Responder updated this value.</t>
      </text>
    </comment>
    <comment authorId="0" ref="AT578">
      <text>
        <t xml:space="preserve">Responder updated this value.</t>
      </text>
    </comment>
    <comment authorId="0" ref="BC578">
      <text>
        <t xml:space="preserve">Responder updated this value.</t>
      </text>
    </comment>
    <comment authorId="0" ref="BJ578">
      <text>
        <t xml:space="preserve">Responder updated this value.</t>
      </text>
    </comment>
    <comment authorId="0" ref="BM578">
      <text>
        <t xml:space="preserve">Responder updated this value.</t>
      </text>
    </comment>
    <comment authorId="0" ref="BN578">
      <text>
        <t xml:space="preserve">Responder updated this value.</t>
      </text>
    </comment>
    <comment authorId="0" ref="BQ578">
      <text>
        <t xml:space="preserve">Responder updated this value.</t>
      </text>
    </comment>
    <comment authorId="0" ref="AQ579">
      <text>
        <t xml:space="preserve">Responder updated this value.</t>
      </text>
    </comment>
    <comment authorId="0" ref="BJ579">
      <text>
        <t xml:space="preserve">Responder updated this value.</t>
      </text>
    </comment>
    <comment authorId="0" ref="BN579">
      <text>
        <t xml:space="preserve">Responder updated this value.</t>
      </text>
    </comment>
    <comment authorId="0" ref="BQ579">
      <text>
        <t xml:space="preserve">Responder updated this value.</t>
      </text>
    </comment>
    <comment authorId="0" ref="BC580">
      <text>
        <t xml:space="preserve">Responder updated this value.</t>
      </text>
    </comment>
    <comment authorId="0" ref="BJ580">
      <text>
        <t xml:space="preserve">Responder updated this value.</t>
      </text>
    </comment>
    <comment authorId="0" ref="BL580">
      <text>
        <t xml:space="preserve">Responder updated this value.</t>
      </text>
    </comment>
    <comment authorId="0" ref="BM580">
      <text>
        <t xml:space="preserve">Responder updated this value.</t>
      </text>
    </comment>
    <comment authorId="0" ref="BQ580">
      <text>
        <t xml:space="preserve">Responder updated this value.</t>
      </text>
    </comment>
    <comment authorId="0" ref="BT580">
      <text>
        <t xml:space="preserve">Responder updated this value.</t>
      </text>
    </comment>
    <comment authorId="0" ref="BW580">
      <text>
        <t xml:space="preserve">Responder updated this value.</t>
      </text>
    </comment>
    <comment authorId="0" ref="AQ581">
      <text>
        <t xml:space="preserve">Responder updated this value.</t>
      </text>
    </comment>
    <comment authorId="0" ref="AS581">
      <text>
        <t xml:space="preserve">Responder updated this value.</t>
      </text>
    </comment>
    <comment authorId="0" ref="BJ581">
      <text>
        <t xml:space="preserve">Responder updated this value.</t>
      </text>
    </comment>
    <comment authorId="0" ref="BP581">
      <text>
        <t xml:space="preserve">Responder updated this value.</t>
      </text>
    </comment>
    <comment authorId="0" ref="BQ581">
      <text>
        <t xml:space="preserve">Responder updated this value.</t>
      </text>
    </comment>
    <comment authorId="0" ref="BR581">
      <text>
        <t xml:space="preserve">Responder updated this value.</t>
      </text>
    </comment>
    <comment authorId="0" ref="BS581">
      <text>
        <t xml:space="preserve">Responder updated this value.</t>
      </text>
    </comment>
    <comment authorId="0" ref="BT581">
      <text>
        <t xml:space="preserve">Responder updated this value.</t>
      </text>
    </comment>
    <comment authorId="0" ref="BW581">
      <text>
        <t xml:space="preserve">Responder updated this value.</t>
      </text>
    </comment>
    <comment authorId="0" ref="AR582">
      <text>
        <t xml:space="preserve">Responder updated this value.</t>
      </text>
    </comment>
    <comment authorId="0" ref="BA582">
      <text>
        <t xml:space="preserve">Responder updated this value.</t>
      </text>
    </comment>
    <comment authorId="0" ref="BJ582">
      <text>
        <t xml:space="preserve">Responder updated this value.</t>
      </text>
    </comment>
    <comment authorId="0" ref="BN582">
      <text>
        <t xml:space="preserve">Responder updated this value.</t>
      </text>
    </comment>
    <comment authorId="0" ref="BQ582">
      <text>
        <t xml:space="preserve">Responder updated this value.</t>
      </text>
    </comment>
    <comment authorId="0" ref="BQ583">
      <text>
        <t xml:space="preserve">Responder updated this value.</t>
      </text>
    </comment>
    <comment authorId="0" ref="BQ584">
      <text>
        <t xml:space="preserve">Responder updated this value.</t>
      </text>
    </comment>
    <comment authorId="0" ref="BW584">
      <text>
        <t xml:space="preserve">Responder updated this value.</t>
      </text>
    </comment>
    <comment authorId="0" ref="AS585">
      <text>
        <t xml:space="preserve">Responder updated this value.</t>
      </text>
    </comment>
    <comment authorId="0" ref="BJ585">
      <text>
        <t xml:space="preserve">Responder updated this value.</t>
      </text>
    </comment>
    <comment authorId="0" ref="BQ585">
      <text>
        <t xml:space="preserve">Responder updated this value.</t>
      </text>
    </comment>
    <comment authorId="0" ref="BW585">
      <text>
        <t xml:space="preserve">Responder updated this value.</t>
      </text>
    </comment>
    <comment authorId="0" ref="AQ586">
      <text>
        <t xml:space="preserve">Responder updated this value.</t>
      </text>
    </comment>
    <comment authorId="0" ref="AR586">
      <text>
        <t xml:space="preserve">Responder updated this value.</t>
      </text>
    </comment>
    <comment authorId="0" ref="AS586">
      <text>
        <t xml:space="preserve">Responder updated this value.</t>
      </text>
    </comment>
    <comment authorId="0" ref="BA586">
      <text>
        <t xml:space="preserve">Responder updated this value.</t>
      </text>
    </comment>
    <comment authorId="0" ref="BB586">
      <text>
        <t xml:space="preserve">Responder updated this value.</t>
      </text>
    </comment>
    <comment authorId="0" ref="BH586">
      <text>
        <t xml:space="preserve">Responder updated this value.</t>
      </text>
    </comment>
    <comment authorId="0" ref="BJ586">
      <text>
        <t xml:space="preserve">Responder updated this value.</t>
      </text>
    </comment>
    <comment authorId="0" ref="BL586">
      <text>
        <t xml:space="preserve">Responder updated this value.</t>
      </text>
    </comment>
    <comment authorId="0" ref="BN586">
      <text>
        <t xml:space="preserve">Responder updated this value.</t>
      </text>
    </comment>
    <comment authorId="0" ref="BQ586">
      <text>
        <t xml:space="preserve">Responder updated this value.</t>
      </text>
    </comment>
    <comment authorId="0" ref="BS586">
      <text>
        <t xml:space="preserve">Responder updated this value.</t>
      </text>
    </comment>
    <comment authorId="0" ref="BT586">
      <text>
        <t xml:space="preserve">Responder updated this value.</t>
      </text>
    </comment>
    <comment authorId="0" ref="BU586">
      <text>
        <t xml:space="preserve">Responder updated this value.</t>
      </text>
    </comment>
    <comment authorId="0" ref="BW586">
      <text>
        <t xml:space="preserve">Responder updated this value.</t>
      </text>
    </comment>
    <comment authorId="0" ref="AB587">
      <text>
        <t xml:space="preserve">Responder updated this value.</t>
      </text>
    </comment>
    <comment authorId="0" ref="AC587">
      <text>
        <t xml:space="preserve">Responder updated this value.</t>
      </text>
    </comment>
    <comment authorId="0" ref="AO587">
      <text>
        <t xml:space="preserve">Responder updated this value.</t>
      </text>
    </comment>
    <comment authorId="0" ref="AP587">
      <text>
        <t xml:space="preserve">Responder updated this value.</t>
      </text>
    </comment>
    <comment authorId="0" ref="AW587">
      <text>
        <t xml:space="preserve">Responder updated this value.</t>
      </text>
    </comment>
    <comment authorId="0" ref="BJ587">
      <text>
        <t xml:space="preserve">Responder updated this value.</t>
      </text>
    </comment>
    <comment authorId="0" ref="BL587">
      <text>
        <t xml:space="preserve">Responder updated this value.</t>
      </text>
    </comment>
    <comment authorId="0" ref="BM587">
      <text>
        <t xml:space="preserve">Responder updated this value.</t>
      </text>
    </comment>
    <comment authorId="0" ref="BQ587">
      <text>
        <t xml:space="preserve">Responder updated this value.</t>
      </text>
    </comment>
    <comment authorId="0" ref="BW587">
      <text>
        <t xml:space="preserve">Responder updated this value.</t>
      </text>
    </comment>
    <comment authorId="0" ref="BJ588">
      <text>
        <t xml:space="preserve">Responder updated this value.</t>
      </text>
    </comment>
    <comment authorId="0" ref="BQ588">
      <text>
        <t xml:space="preserve">Responder updated this value.</t>
      </text>
    </comment>
    <comment authorId="0" ref="BW588">
      <text>
        <t xml:space="preserve">Responder updated this value.</t>
      </text>
    </comment>
    <comment authorId="0" ref="AQ589">
      <text>
        <t xml:space="preserve">Responder updated this value.</t>
      </text>
    </comment>
    <comment authorId="0" ref="AT589">
      <text>
        <t xml:space="preserve">Responder updated this value.</t>
      </text>
    </comment>
    <comment authorId="0" ref="BQ589">
      <text>
        <t xml:space="preserve">Responder updated this value.</t>
      </text>
    </comment>
    <comment authorId="0" ref="AQ590">
      <text>
        <t xml:space="preserve">Responder updated this value.</t>
      </text>
    </comment>
    <comment authorId="0" ref="BN590">
      <text>
        <t xml:space="preserve">Responder updated this value.</t>
      </text>
    </comment>
    <comment authorId="0" ref="BQ590">
      <text>
        <t xml:space="preserve">Responder updated this value.</t>
      </text>
    </comment>
    <comment authorId="0" ref="AB591">
      <text>
        <t xml:space="preserve">Responder updated this value.</t>
      </text>
    </comment>
    <comment authorId="0" ref="AC591">
      <text>
        <t xml:space="preserve">Responder updated this value.</t>
      </text>
    </comment>
    <comment authorId="0" ref="AL591">
      <text>
        <t xml:space="preserve">Responder updated this value.</t>
      </text>
    </comment>
    <comment authorId="0" ref="AW591">
      <text>
        <t xml:space="preserve">Responder updated this value.</t>
      </text>
    </comment>
    <comment authorId="0" ref="BJ591">
      <text>
        <t xml:space="preserve">Responder updated this value.</t>
      </text>
    </comment>
    <comment authorId="0" ref="BQ591">
      <text>
        <t xml:space="preserve">Responder updated this value.</t>
      </text>
    </comment>
    <comment authorId="0" ref="BU591">
      <text>
        <t xml:space="preserve">Responder updated this value.</t>
      </text>
    </comment>
    <comment authorId="0" ref="BV591">
      <text>
        <t xml:space="preserve">Responder updated this value.</t>
      </text>
    </comment>
    <comment authorId="0" ref="BW591">
      <text>
        <t xml:space="preserve">Responder updated this value.</t>
      </text>
    </comment>
    <comment authorId="0" ref="AB592">
      <text>
        <t xml:space="preserve">Responder updated this value.</t>
      </text>
    </comment>
    <comment authorId="0" ref="AC592">
      <text>
        <t xml:space="preserve">Responder updated this value.</t>
      </text>
    </comment>
    <comment authorId="0" ref="AS592">
      <text>
        <t xml:space="preserve">Responder updated this value.</t>
      </text>
    </comment>
    <comment authorId="0" ref="AW592">
      <text>
        <t xml:space="preserve">Responder updated this value.</t>
      </text>
    </comment>
    <comment authorId="0" ref="AY592">
      <text>
        <t xml:space="preserve">Responder updated this value.</t>
      </text>
    </comment>
    <comment authorId="0" ref="BJ592">
      <text>
        <t xml:space="preserve">Responder updated this value.</t>
      </text>
    </comment>
    <comment authorId="0" ref="BL592">
      <text>
        <t xml:space="preserve">Responder updated this value.</t>
      </text>
    </comment>
    <comment authorId="0" ref="BM592">
      <text>
        <t xml:space="preserve">Responder updated this value.</t>
      </text>
    </comment>
    <comment authorId="0" ref="BQ592">
      <text>
        <t xml:space="preserve">Responder updated this value.</t>
      </text>
    </comment>
    <comment authorId="0" ref="BW592">
      <text>
        <t xml:space="preserve">Responder updated this value.</t>
      </text>
    </comment>
    <comment authorId="0" ref="BA593">
      <text>
        <t xml:space="preserve">Responder updated this value.</t>
      </text>
    </comment>
    <comment authorId="0" ref="BJ593">
      <text>
        <t xml:space="preserve">Responder updated this value.</t>
      </text>
    </comment>
    <comment authorId="0" ref="BL593">
      <text>
        <t xml:space="preserve">Responder updated this value.</t>
      </text>
    </comment>
    <comment authorId="0" ref="BM593">
      <text>
        <t xml:space="preserve">Responder updated this value.</t>
      </text>
    </comment>
    <comment authorId="0" ref="BQ593">
      <text>
        <t xml:space="preserve">Responder updated this value.</t>
      </text>
    </comment>
    <comment authorId="0" ref="AQ594">
      <text>
        <t xml:space="preserve">Responder updated this value.</t>
      </text>
    </comment>
    <comment authorId="0" ref="BQ594">
      <text>
        <t xml:space="preserve">Responder updated this value.</t>
      </text>
    </comment>
    <comment authorId="0" ref="BT594">
      <text>
        <t xml:space="preserve">Responder updated this value.</t>
      </text>
    </comment>
    <comment authorId="0" ref="BW594">
      <text>
        <t xml:space="preserve">Responder updated this value.</t>
      </text>
    </comment>
    <comment authorId="0" ref="AB595">
      <text>
        <t xml:space="preserve">Responder updated this value.</t>
      </text>
    </comment>
    <comment authorId="0" ref="AC595">
      <text>
        <t xml:space="preserve">Responder updated this value.</t>
      </text>
    </comment>
    <comment authorId="0" ref="AL595">
      <text>
        <t xml:space="preserve">Responder updated this value.</t>
      </text>
    </comment>
    <comment authorId="0" ref="AM595">
      <text>
        <t xml:space="preserve">Responder updated this value.</t>
      </text>
    </comment>
    <comment authorId="0" ref="BL595">
      <text>
        <t xml:space="preserve">Responder updated this value.</t>
      </text>
    </comment>
    <comment authorId="0" ref="BN595">
      <text>
        <t xml:space="preserve">Responder updated this value.</t>
      </text>
    </comment>
    <comment authorId="0" ref="BQ595">
      <text>
        <t xml:space="preserve">Responder updated this value.</t>
      </text>
    </comment>
    <comment authorId="0" ref="AB596">
      <text>
        <t xml:space="preserve">Responder updated this value.</t>
      </text>
    </comment>
    <comment authorId="0" ref="AC596">
      <text>
        <t xml:space="preserve">Responder updated this value.</t>
      </text>
    </comment>
    <comment authorId="0" ref="AO596">
      <text>
        <t xml:space="preserve">Responder updated this value.</t>
      </text>
    </comment>
    <comment authorId="0" ref="AP596">
      <text>
        <t xml:space="preserve">Responder updated this value.</t>
      </text>
    </comment>
    <comment authorId="0" ref="AR596">
      <text>
        <t xml:space="preserve">Responder updated this value.</t>
      </text>
    </comment>
    <comment authorId="0" ref="AS596">
      <text>
        <t xml:space="preserve">Responder updated this value.</t>
      </text>
    </comment>
    <comment authorId="0" ref="AT596">
      <text>
        <t xml:space="preserve">Responder updated this value.</t>
      </text>
    </comment>
    <comment authorId="0" ref="AW596">
      <text>
        <t xml:space="preserve">Responder updated this value.</t>
      </text>
    </comment>
    <comment authorId="0" ref="BE596">
      <text>
        <t xml:space="preserve">Responder updated this value.</t>
      </text>
    </comment>
    <comment authorId="0" ref="BL596">
      <text>
        <t xml:space="preserve">Responder updated this value.</t>
      </text>
    </comment>
    <comment authorId="0" ref="BM596">
      <text>
        <t xml:space="preserve">Responder updated this value.</t>
      </text>
    </comment>
    <comment authorId="0" ref="BQ596">
      <text>
        <t xml:space="preserve">Responder updated this value.</t>
      </text>
    </comment>
    <comment authorId="0" ref="BW596">
      <text>
        <t xml:space="preserve">Responder updated this value.</t>
      </text>
    </comment>
    <comment authorId="0" ref="AQ597">
      <text>
        <t xml:space="preserve">Responder updated this value.</t>
      </text>
    </comment>
    <comment authorId="0" ref="AR597">
      <text>
        <t xml:space="preserve">Responder updated this value.</t>
      </text>
    </comment>
    <comment authorId="0" ref="AS597">
      <text>
        <t xml:space="preserve">Responder updated this value.</t>
      </text>
    </comment>
    <comment authorId="0" ref="BA597">
      <text>
        <t xml:space="preserve">Responder updated this value.</t>
      </text>
    </comment>
    <comment authorId="0" ref="BQ597">
      <text>
        <t xml:space="preserve">Responder updated this value.</t>
      </text>
    </comment>
    <comment authorId="0" ref="BT597">
      <text>
        <t xml:space="preserve">Responder updated this value.</t>
      </text>
    </comment>
    <comment authorId="0" ref="BW597">
      <text>
        <t xml:space="preserve">Responder updated this value.</t>
      </text>
    </comment>
    <comment authorId="0" ref="BQ598">
      <text>
        <t xml:space="preserve">Responder updated this value.</t>
      </text>
    </comment>
    <comment authorId="0" ref="AO599">
      <text>
        <t xml:space="preserve">Responder updated this value.</t>
      </text>
    </comment>
    <comment authorId="0" ref="AQ599">
      <text>
        <t xml:space="preserve">Responder updated this value.</t>
      </text>
    </comment>
    <comment authorId="0" ref="AR599">
      <text>
        <t xml:space="preserve">Responder updated this value.</t>
      </text>
    </comment>
    <comment authorId="0" ref="AS599">
      <text>
        <t xml:space="preserve">Responder updated this value.</t>
      </text>
    </comment>
    <comment authorId="0" ref="BA599">
      <text>
        <t xml:space="preserve">Responder updated this value.</t>
      </text>
    </comment>
    <comment authorId="0" ref="BC599">
      <text>
        <t xml:space="preserve">Responder updated this value.</t>
      </text>
    </comment>
    <comment authorId="0" ref="BQ599">
      <text>
        <t xml:space="preserve">Responder updated this value.</t>
      </text>
    </comment>
    <comment authorId="0" ref="BT599">
      <text>
        <t xml:space="preserve">Responder updated this value.</t>
      </text>
    </comment>
    <comment authorId="0" ref="BW599">
      <text>
        <t xml:space="preserve">Responder updated this value.</t>
      </text>
    </comment>
    <comment authorId="0" ref="BQ600">
      <text>
        <t xml:space="preserve">Responder updated this value.</t>
      </text>
    </comment>
    <comment authorId="0" ref="AW601">
      <text>
        <t xml:space="preserve">Responder updated this value.</t>
      </text>
    </comment>
    <comment authorId="0" ref="BC601">
      <text>
        <t xml:space="preserve">Responder updated this value.</t>
      </text>
    </comment>
    <comment authorId="0" ref="BJ601">
      <text>
        <t xml:space="preserve">Responder updated this value.</t>
      </text>
    </comment>
    <comment authorId="0" ref="BN601">
      <text>
        <t xml:space="preserve">Responder updated this value.</t>
      </text>
    </comment>
    <comment authorId="0" ref="BQ601">
      <text>
        <t xml:space="preserve">Responder updated this value.</t>
      </text>
    </comment>
    <comment authorId="0" ref="BW601">
      <text>
        <t xml:space="preserve">Responder updated this value.</t>
      </text>
    </comment>
    <comment authorId="0" ref="AO602">
      <text>
        <t xml:space="preserve">Responder updated this value.</t>
      </text>
    </comment>
    <comment authorId="0" ref="AP602">
      <text>
        <t xml:space="preserve">Responder updated this value.</t>
      </text>
    </comment>
    <comment authorId="0" ref="BI602">
      <text>
        <t xml:space="preserve">Responder updated this value.</t>
      </text>
    </comment>
    <comment authorId="0" ref="BL602">
      <text>
        <t xml:space="preserve">Responder updated this value.</t>
      </text>
    </comment>
    <comment authorId="0" ref="BM602">
      <text>
        <t xml:space="preserve">Responder updated this value.</t>
      </text>
    </comment>
    <comment authorId="0" ref="BQ602">
      <text>
        <t xml:space="preserve">Responder updated this value.</t>
      </text>
    </comment>
    <comment authorId="0" ref="AO603">
      <text>
        <t xml:space="preserve">Responder updated this value.</t>
      </text>
    </comment>
    <comment authorId="0" ref="AQ603">
      <text>
        <t xml:space="preserve">Responder updated this value.</t>
      </text>
    </comment>
    <comment authorId="0" ref="AR603">
      <text>
        <t xml:space="preserve">Responder updated this value.</t>
      </text>
    </comment>
    <comment authorId="0" ref="AS603">
      <text>
        <t xml:space="preserve">Responder updated this value.</t>
      </text>
    </comment>
    <comment authorId="0" ref="AT603">
      <text>
        <t xml:space="preserve">Responder updated this value.</t>
      </text>
    </comment>
    <comment authorId="0" ref="AU603">
      <text>
        <t xml:space="preserve">Responder updated this value.</t>
      </text>
    </comment>
    <comment authorId="0" ref="BG603">
      <text>
        <t xml:space="preserve">Responder updated this value.</t>
      </text>
    </comment>
    <comment authorId="0" ref="BH603">
      <text>
        <t xml:space="preserve">Responder updated this value.</t>
      </text>
    </comment>
    <comment authorId="0" ref="BJ603">
      <text>
        <t xml:space="preserve">Responder updated this value.</t>
      </text>
    </comment>
    <comment authorId="0" ref="BM603">
      <text>
        <t xml:space="preserve">Responder updated this value.</t>
      </text>
    </comment>
    <comment authorId="0" ref="BQ603">
      <text>
        <t xml:space="preserve">Responder updated this value.</t>
      </text>
    </comment>
    <comment authorId="0" ref="BR603">
      <text>
        <t xml:space="preserve">Responder updated this value.</t>
      </text>
    </comment>
    <comment authorId="0" ref="BS603">
      <text>
        <t xml:space="preserve">Responder updated this value.</t>
      </text>
    </comment>
    <comment authorId="0" ref="BT603">
      <text>
        <t xml:space="preserve">Responder updated this value.</t>
      </text>
    </comment>
    <comment authorId="0" ref="BV603">
      <text>
        <t xml:space="preserve">Responder updated this value.</t>
      </text>
    </comment>
    <comment authorId="0" ref="BW603">
      <text>
        <t xml:space="preserve">Responder updated this value.</t>
      </text>
    </comment>
    <comment authorId="0" ref="BQ604">
      <text>
        <t xml:space="preserve">Responder updated this value.</t>
      </text>
    </comment>
    <comment authorId="0" ref="AS605">
      <text>
        <t xml:space="preserve">Responder updated this value.</t>
      </text>
    </comment>
    <comment authorId="0" ref="BJ605">
      <text>
        <t xml:space="preserve">Responder updated this value.</t>
      </text>
    </comment>
    <comment authorId="0" ref="BL605">
      <text>
        <t xml:space="preserve">Responder updated this value.</t>
      </text>
    </comment>
    <comment authorId="0" ref="BM605">
      <text>
        <t xml:space="preserve">Responder updated this value.</t>
      </text>
    </comment>
    <comment authorId="0" ref="BQ605">
      <text>
        <t xml:space="preserve">Responder updated this value.</t>
      </text>
    </comment>
    <comment authorId="0" ref="BW605">
      <text>
        <t xml:space="preserve">Responder updated this value.</t>
      </text>
    </comment>
    <comment authorId="0" ref="AY606">
      <text>
        <t xml:space="preserve">Responder updated this value.</t>
      </text>
    </comment>
    <comment authorId="0" ref="BC606">
      <text>
        <t xml:space="preserve">Responder updated this value.</t>
      </text>
    </comment>
    <comment authorId="0" ref="BJ606">
      <text>
        <t xml:space="preserve">Responder updated this value.</t>
      </text>
    </comment>
    <comment authorId="0" ref="BL606">
      <text>
        <t xml:space="preserve">Responder updated this value.</t>
      </text>
    </comment>
    <comment authorId="0" ref="BM606">
      <text>
        <t xml:space="preserve">Responder updated this value.</t>
      </text>
    </comment>
    <comment authorId="0" ref="BQ606">
      <text>
        <t xml:space="preserve">Responder updated this value.</t>
      </text>
    </comment>
    <comment authorId="0" ref="BS606">
      <text>
        <t xml:space="preserve">Responder updated this value.</t>
      </text>
    </comment>
    <comment authorId="0" ref="BU606">
      <text>
        <t xml:space="preserve">Responder updated this value.</t>
      </text>
    </comment>
    <comment authorId="0" ref="BV606">
      <text>
        <t xml:space="preserve">Responder updated this value.</t>
      </text>
    </comment>
    <comment authorId="0" ref="BW606">
      <text>
        <t xml:space="preserve">Responder updated this value.</t>
      </text>
    </comment>
    <comment authorId="0" ref="BC607">
      <text>
        <t xml:space="preserve">Responder updated this value.</t>
      </text>
    </comment>
    <comment authorId="0" ref="BJ607">
      <text>
        <t xml:space="preserve">Responder updated this value.</t>
      </text>
    </comment>
    <comment authorId="0" ref="BN607">
      <text>
        <t xml:space="preserve">Responder updated this value.</t>
      </text>
    </comment>
    <comment authorId="0" ref="BQ607">
      <text>
        <t xml:space="preserve">Responder updated this value.</t>
      </text>
    </comment>
    <comment authorId="0" ref="BS607">
      <text>
        <t xml:space="preserve">Responder updated this value.</t>
      </text>
    </comment>
    <comment authorId="0" ref="BU607">
      <text>
        <t xml:space="preserve">Responder updated this value.</t>
      </text>
    </comment>
    <comment authorId="0" ref="BV607">
      <text>
        <t xml:space="preserve">Responder updated this value.</t>
      </text>
    </comment>
    <comment authorId="0" ref="BW607">
      <text>
        <t xml:space="preserve">Responder updated this value.</t>
      </text>
    </comment>
    <comment authorId="0" ref="AM608">
      <text>
        <t xml:space="preserve">Responder updated this value.</t>
      </text>
    </comment>
    <comment authorId="0" ref="AQ608">
      <text>
        <t xml:space="preserve">Responder updated this value.</t>
      </text>
    </comment>
    <comment authorId="0" ref="AR608">
      <text>
        <t xml:space="preserve">Responder updated this value.</t>
      </text>
    </comment>
    <comment authorId="0" ref="AW608">
      <text>
        <t xml:space="preserve">Responder updated this value.</t>
      </text>
    </comment>
    <comment authorId="0" ref="BA608">
      <text>
        <t xml:space="preserve">Responder updated this value.</t>
      </text>
    </comment>
    <comment authorId="0" ref="BF608">
      <text>
        <t xml:space="preserve">Responder updated this value.</t>
      </text>
    </comment>
    <comment authorId="0" ref="BM608">
      <text>
        <t xml:space="preserve">Responder updated this value.</t>
      </text>
    </comment>
    <comment authorId="0" ref="BN608">
      <text>
        <t xml:space="preserve">Responder updated this value.</t>
      </text>
    </comment>
    <comment authorId="0" ref="BQ608">
      <text>
        <t xml:space="preserve">Responder updated this value.</t>
      </text>
    </comment>
    <comment authorId="0" ref="AS609">
      <text>
        <t xml:space="preserve">Responder updated this value.</t>
      </text>
    </comment>
    <comment authorId="0" ref="AW609">
      <text>
        <t xml:space="preserve">Responder updated this value.</t>
      </text>
    </comment>
    <comment authorId="0" ref="BW609">
      <text>
        <t xml:space="preserve">Responder updated this value.</t>
      </text>
    </comment>
    <comment authorId="0" ref="AB610">
      <text>
        <t xml:space="preserve">Responder updated this value.</t>
      </text>
    </comment>
    <comment authorId="0" ref="AC610">
      <text>
        <t xml:space="preserve">Responder updated this value.</t>
      </text>
    </comment>
    <comment authorId="0" ref="BS610">
      <text>
        <t xml:space="preserve">Responder updated this value.</t>
      </text>
    </comment>
    <comment authorId="0" ref="BW610">
      <text>
        <t xml:space="preserve">Responder updated this value.</t>
      </text>
    </comment>
    <comment authorId="0" ref="P622">
      <text>
        <t xml:space="preserve">Responder updated this value.</t>
      </text>
    </comment>
    <comment authorId="0" ref="AL622">
      <text>
        <t xml:space="preserve">Responder updated this value.</t>
      </text>
    </comment>
    <comment authorId="0" ref="AM622">
      <text>
        <t xml:space="preserve">Responder updated this value.</t>
      </text>
    </comment>
    <comment authorId="0" ref="AQ622">
      <text>
        <t xml:space="preserve">Responder updated this value.</t>
      </text>
    </comment>
    <comment authorId="0" ref="AR622">
      <text>
        <t xml:space="preserve">Responder updated this value.</t>
      </text>
    </comment>
    <comment authorId="0" ref="AS622">
      <text>
        <t xml:space="preserve">Responder updated this value.</t>
      </text>
    </comment>
    <comment authorId="0" ref="AT622">
      <text>
        <t xml:space="preserve">Responder updated this value.</t>
      </text>
    </comment>
    <comment authorId="0" ref="BN622">
      <text>
        <t xml:space="preserve">Responder updated this value.</t>
      </text>
    </comment>
    <comment authorId="0" ref="AO632">
      <text>
        <t xml:space="preserve">Responder updated this value.</t>
      </text>
    </comment>
    <comment authorId="0" ref="AP632">
      <text>
        <t xml:space="preserve">Responder updated this value.</t>
      </text>
    </comment>
    <comment authorId="0" ref="BJ632">
      <text>
        <t xml:space="preserve">Responder updated this value.</t>
      </text>
    </comment>
    <comment authorId="0" ref="BJ643">
      <text>
        <t xml:space="preserve">Responder updated this value.</t>
      </text>
    </comment>
    <comment authorId="0" ref="P666">
      <text>
        <t xml:space="preserve">Responder updated this value.</t>
      </text>
    </comment>
    <comment authorId="0" ref="AW666">
      <text>
        <t xml:space="preserve">Responder updated this value.</t>
      </text>
    </comment>
    <comment authorId="0" ref="BJ701">
      <text>
        <t xml:space="preserve">Responder updated this value.</t>
      </text>
    </comment>
    <comment authorId="0" ref="BG703">
      <text>
        <t xml:space="preserve">Responder updated this value.</t>
      </text>
    </comment>
    <comment authorId="0" ref="AM713">
      <text>
        <t xml:space="preserve">Responder updated this value.</t>
      </text>
    </comment>
    <comment authorId="0" ref="BN714">
      <text>
        <t xml:space="preserve">Responder updated this value.</t>
      </text>
    </comment>
    <comment authorId="0" ref="BN727">
      <text>
        <t xml:space="preserve">Responder updated this value.</t>
      </text>
    </comment>
  </commentList>
</comments>
</file>

<file path=xl/sharedStrings.xml><?xml version="1.0" encoding="utf-8"?>
<sst xmlns="http://schemas.openxmlformats.org/spreadsheetml/2006/main" count="38712" uniqueCount="19204">
  <si>
    <t>S.NO</t>
  </si>
  <si>
    <t>NAME OF STUDENT</t>
  </si>
  <si>
    <t>BRANCH</t>
  </si>
  <si>
    <t>RECRUITERS</t>
  </si>
  <si>
    <t>PACKAGE IN LAKHS</t>
  </si>
  <si>
    <t>Shruti Deepak Dhumne</t>
  </si>
  <si>
    <t>Computer</t>
  </si>
  <si>
    <t>Veritas Technologies LLC</t>
  </si>
  <si>
    <t>Rajesh Sarat Sahoo</t>
  </si>
  <si>
    <t>Avaya India</t>
  </si>
  <si>
    <t>Yash Rameshwar Charpe</t>
  </si>
  <si>
    <t>BMC</t>
  </si>
  <si>
    <t>Vaishnavi Ashok Jadhav</t>
  </si>
  <si>
    <t>PhonePe</t>
  </si>
  <si>
    <t>Mukesh Gulab Gurpude</t>
  </si>
  <si>
    <t>Shwetali Satish Desai</t>
  </si>
  <si>
    <t>Mayur Babasaheb Gadhave</t>
  </si>
  <si>
    <t>Coditas</t>
  </si>
  <si>
    <t>Om Virendra Dhamdhere</t>
  </si>
  <si>
    <t>Tejas Sanjivkumar Zope</t>
  </si>
  <si>
    <t>Infosys</t>
  </si>
  <si>
    <t>Atharv Sanjay Udawant</t>
  </si>
  <si>
    <t>ADISHWAR SHARMA</t>
  </si>
  <si>
    <t>Abhijeet Maruti Dhanwate</t>
  </si>
  <si>
    <t>Anuj Santosh Barave</t>
  </si>
  <si>
    <t>Aaditya Shivprakash Barve</t>
  </si>
  <si>
    <t>eQ Technologic</t>
  </si>
  <si>
    <t>Aditya Chandrakant Bedre</t>
  </si>
  <si>
    <t>Kshitija Vinod Lade</t>
  </si>
  <si>
    <t>Kylas - Sell.do</t>
  </si>
  <si>
    <t>Aaditya Giridhar Faye</t>
  </si>
  <si>
    <t>Deloitte</t>
  </si>
  <si>
    <t>Aniket Kumar Yadav</t>
  </si>
  <si>
    <t>Atharva Dattatraya Khonde</t>
  </si>
  <si>
    <t>Divya Jayendra Chaudhari</t>
  </si>
  <si>
    <t>Kapil Vilas Khairkar</t>
  </si>
  <si>
    <t>Prajwal Yadav Chobitkar</t>
  </si>
  <si>
    <t>Prathamesh Rajesh Katkhade</t>
  </si>
  <si>
    <t>Pratik Dattu Karle</t>
  </si>
  <si>
    <t>Sahil Shrichand Bhawani</t>
  </si>
  <si>
    <t>Sakshi Shailesh Jagtap</t>
  </si>
  <si>
    <t>Sharwari Bhojraj Ambade</t>
  </si>
  <si>
    <t>Shreya Kailas Gaikwad</t>
  </si>
  <si>
    <t>Siddhi Manoj Naik</t>
  </si>
  <si>
    <t>Smita Hanmant Jadhav</t>
  </si>
  <si>
    <t>Tanmay Joshi</t>
  </si>
  <si>
    <t>Tanuja Ratan Neharkar</t>
  </si>
  <si>
    <t>Vedant Avinash Dawange</t>
  </si>
  <si>
    <t>Vipul Patel</t>
  </si>
  <si>
    <t>Yash Ramesh Fulzele</t>
  </si>
  <si>
    <t>Uddhav Rajendra Patil</t>
  </si>
  <si>
    <t>Digite Infotech Pvt. Lt</t>
  </si>
  <si>
    <t>Anushka Yadav</t>
  </si>
  <si>
    <t>ZS Associates Pvt. Ltd.</t>
  </si>
  <si>
    <t>Komal Sadashiv Bonde</t>
  </si>
  <si>
    <t>Mayur Sunil Ghodekar</t>
  </si>
  <si>
    <t>ZS Associates</t>
  </si>
  <si>
    <t>Nikhil Madhavrao Kinikar</t>
  </si>
  <si>
    <t>Dewansh Singh</t>
  </si>
  <si>
    <t>Quantiphi Analytics Solutions Pvt. Ltd.</t>
  </si>
  <si>
    <t>Vyankatesh Sunil Khandke</t>
  </si>
  <si>
    <t>Cisco</t>
  </si>
  <si>
    <t>Sonali Suresh Gaikwad</t>
  </si>
  <si>
    <t>KPIT Technologies</t>
  </si>
  <si>
    <t>Karan Sajeeth</t>
  </si>
  <si>
    <t>Eaton Technologies</t>
  </si>
  <si>
    <t>ORACLE Software</t>
  </si>
  <si>
    <t>Abzooba India Infotech Pvt. Ltd.</t>
  </si>
  <si>
    <t>Anish Ganesh Bhat</t>
  </si>
  <si>
    <t>Amdocs</t>
  </si>
  <si>
    <t>Himanshu Sanjay Sengar</t>
  </si>
  <si>
    <t>Mayuri Sanjay More</t>
  </si>
  <si>
    <t>Omkar Milind Shinde</t>
  </si>
  <si>
    <t>Rhushikesh Dnyaneshwar Hasabe</t>
  </si>
  <si>
    <t>Ritesh Ramchandra Kulkarni</t>
  </si>
  <si>
    <t>Sarang Pramod Wadode</t>
  </si>
  <si>
    <t>Yashvardhan Balasaheb Bhise</t>
  </si>
  <si>
    <t>Tanisha Tushar Nazare</t>
  </si>
  <si>
    <t>Celebal Technologies</t>
  </si>
  <si>
    <t>Elasticrun</t>
  </si>
  <si>
    <t>Accenture</t>
  </si>
  <si>
    <t>Aditi Sanjay Borkar</t>
  </si>
  <si>
    <t>Karanjot Singh</t>
  </si>
  <si>
    <t>Mayuresh Kumar</t>
  </si>
  <si>
    <t>Prachi Mahesh Channe</t>
  </si>
  <si>
    <t>Suparna Pulak Das</t>
  </si>
  <si>
    <t>Rushikesh Suresh Jadhav</t>
  </si>
  <si>
    <t>Oracle Financial Software Services Ltd</t>
  </si>
  <si>
    <t>Shriharsh Agrawal</t>
  </si>
  <si>
    <t>Charudatta Topare</t>
  </si>
  <si>
    <t>Innoplexus Consulting Services</t>
  </si>
  <si>
    <t>Suyog Phulchand Mahangade</t>
  </si>
  <si>
    <t>Cognizant</t>
  </si>
  <si>
    <t>Rutuja Vinod Khakare</t>
  </si>
  <si>
    <t>Innoplexus Consulting</t>
  </si>
  <si>
    <t>Rohit Gajanan Mundhe</t>
  </si>
  <si>
    <t>Amadeus Labs</t>
  </si>
  <si>
    <t>Vinayak Sharad Deshpande</t>
  </si>
  <si>
    <t>Principal Global</t>
  </si>
  <si>
    <t>Karthik Venkataramana Gunturi</t>
  </si>
  <si>
    <t>IBM System Labs</t>
  </si>
  <si>
    <t>Kalp Chobisa</t>
  </si>
  <si>
    <t>Tata communications Ltd</t>
  </si>
  <si>
    <t>Kaushik Rajendra Bhadane</t>
  </si>
  <si>
    <t>Manav Bhimrao Bhosale</t>
  </si>
  <si>
    <t>Interactive Brokers Pvt. Ltd.</t>
  </si>
  <si>
    <t>Mohit Manoj Pawar</t>
  </si>
  <si>
    <t>Harman International</t>
  </si>
  <si>
    <t>Rishav Indrajit Sinha</t>
  </si>
  <si>
    <t>UST Product</t>
  </si>
  <si>
    <t>Madanu Amisha</t>
  </si>
  <si>
    <t>Capgemini</t>
  </si>
  <si>
    <t>Ketaki Ganesh Mankar</t>
  </si>
  <si>
    <t>Infogen Labs</t>
  </si>
  <si>
    <t>Tejas Navnath Kalje</t>
  </si>
  <si>
    <t>Adwait Umesh Kharkar</t>
  </si>
  <si>
    <t>Hitachi Vantara</t>
  </si>
  <si>
    <t>Anurag Taparia</t>
  </si>
  <si>
    <t>ShareKhan (BNP Paribas)</t>
  </si>
  <si>
    <t>Nielsen IQ</t>
  </si>
  <si>
    <t>Pranav Devidas Hatwar</t>
  </si>
  <si>
    <t>TCS</t>
  </si>
  <si>
    <t>Ritiket Haridas Dukare</t>
  </si>
  <si>
    <t>Sanket Rajendra Houde</t>
  </si>
  <si>
    <t>Yash Santosh Agrawal</t>
  </si>
  <si>
    <t>Data-axle</t>
  </si>
  <si>
    <t>Somu Brijesh Sharma</t>
  </si>
  <si>
    <t>Veritas</t>
  </si>
  <si>
    <t>Whirpool</t>
  </si>
  <si>
    <t>Siddharth Prashant Kanikdale</t>
  </si>
  <si>
    <t>Huron Eurasia India Pvt. Ltd</t>
  </si>
  <si>
    <t>Pankaj Satyanarayan Singh</t>
  </si>
  <si>
    <t>TCS for Digital</t>
  </si>
  <si>
    <t>Aditya Kumar</t>
  </si>
  <si>
    <t>STEEP GRAPH</t>
  </si>
  <si>
    <t>Priyanka Madhukar Rathod</t>
  </si>
  <si>
    <t>Pratiksha Pradip Rale</t>
  </si>
  <si>
    <t>Prathemesh Rajesh Kathkhade</t>
  </si>
  <si>
    <t>Prerana Ramchandra Painter</t>
  </si>
  <si>
    <t>OPTIMUM SOLUTIONS</t>
  </si>
  <si>
    <t>Pratham Bharat Madhani</t>
  </si>
  <si>
    <t>Trellix</t>
  </si>
  <si>
    <t>Nandini Manoj Ghale</t>
  </si>
  <si>
    <t>Trinamix Inc</t>
  </si>
  <si>
    <t>Giesecke and Devrient MS India Pvt Ltd</t>
  </si>
  <si>
    <t>Shweta Rakesh Kumar</t>
  </si>
  <si>
    <t>Intellect Design Arena Ltd.</t>
  </si>
  <si>
    <t>Dashmesh Udayshankar Singh</t>
  </si>
  <si>
    <t>Bosch Global Software Technologies Pvt. Ltd</t>
  </si>
  <si>
    <t>Atul Rajendra Kshirsagar</t>
  </si>
  <si>
    <t>Kaustubh Ravindra Shelar</t>
  </si>
  <si>
    <t>Sanket Shrikrishna Mahajan</t>
  </si>
  <si>
    <t>Shivam Rajaram Shinde</t>
  </si>
  <si>
    <t>Shreyash Ashok Pantawane</t>
  </si>
  <si>
    <t>Shubham Irba Kendre</t>
  </si>
  <si>
    <t>Purva Sunil Potdukhe</t>
  </si>
  <si>
    <t>Yash Chandrakant Jaware</t>
  </si>
  <si>
    <t>Madhu Singh,</t>
  </si>
  <si>
    <t>Infocepts</t>
  </si>
  <si>
    <t>Raj Chandrashekhar Pandey</t>
  </si>
  <si>
    <t>Contentstack</t>
  </si>
  <si>
    <t>Sanika Anil Pareek</t>
  </si>
  <si>
    <t>Viraj Lalasaheb Yadav</t>
  </si>
  <si>
    <t>TCS (R&amp;I Division)</t>
  </si>
  <si>
    <t>TCS Ninja</t>
  </si>
  <si>
    <t>Sameer Manik Patil</t>
  </si>
  <si>
    <t>IT</t>
  </si>
  <si>
    <t>Prajyoti Maruti Patil</t>
  </si>
  <si>
    <t>Sumit Sahebrao Mahajan</t>
  </si>
  <si>
    <t>Prajwal Jagannath Kumbhar</t>
  </si>
  <si>
    <t>Amit kumar</t>
  </si>
  <si>
    <t>Keshav Dubey</t>
  </si>
  <si>
    <t>Chinmayi Shashikant Alshetty</t>
  </si>
  <si>
    <t>Hardik Kishor Jade</t>
  </si>
  <si>
    <t>Ajinkya Bharat Mahure</t>
  </si>
  <si>
    <t>Atharva Ajay Batwe</t>
  </si>
  <si>
    <t>Krishna Kant Phate</t>
  </si>
  <si>
    <t>Kunal Shinde</t>
  </si>
  <si>
    <t>Aniket Rajiv Sharma</t>
  </si>
  <si>
    <t>Atharva Sanjay Kumbhar</t>
  </si>
  <si>
    <t>Tejas Sanjay Thawari</t>
  </si>
  <si>
    <t>Pradyumna Ramdas Gayake</t>
  </si>
  <si>
    <t>Yash Dengre</t>
  </si>
  <si>
    <t>Himanshu Ravindra Shimpi</t>
  </si>
  <si>
    <t>Harsh Dnyaneshwar Bhosale</t>
  </si>
  <si>
    <t>Galaxe Solutions</t>
  </si>
  <si>
    <t>Deep Prashant Santoshwar</t>
  </si>
  <si>
    <t>Fardeen Farouque Khan</t>
  </si>
  <si>
    <t>Gaurav Chandrashekhar Likhar</t>
  </si>
  <si>
    <t>Dakshay Kumar</t>
  </si>
  <si>
    <t>Hariom Singh</t>
  </si>
  <si>
    <t>Harshal Anil Patil</t>
  </si>
  <si>
    <t>Shilpi Roy</t>
  </si>
  <si>
    <t>Shubham Bhim Kotgire</t>
  </si>
  <si>
    <t>Shubham Sukdev Kotkar</t>
  </si>
  <si>
    <t>Anjani Nandan</t>
  </si>
  <si>
    <t>Sneha Kharate</t>
  </si>
  <si>
    <t>Lalit Manohar Petkule</t>
  </si>
  <si>
    <t>Mrinal Anil Kasture</t>
  </si>
  <si>
    <t>Niraj Shahaji Dete</t>
  </si>
  <si>
    <t>Sanskruti Ramesh Joshi</t>
  </si>
  <si>
    <t>Divya Amit Tadas</t>
  </si>
  <si>
    <t>Komal Kishor Patil</t>
  </si>
  <si>
    <t>Sakshi Anil Londhe</t>
  </si>
  <si>
    <t>Ashwini Anand Raddekar</t>
  </si>
  <si>
    <t>InfoCepts</t>
  </si>
  <si>
    <t>Atharv Yogesh Yeole</t>
  </si>
  <si>
    <t>L&amp;T Infotech Ltd.</t>
  </si>
  <si>
    <t>Soham Satish Raut</t>
  </si>
  <si>
    <t>Aditya Birangal</t>
  </si>
  <si>
    <t>Namrata Gorakshanath Dhobale</t>
  </si>
  <si>
    <t>Harshada Dattatray Gawade</t>
  </si>
  <si>
    <t>Tanmay Ramchandra Ikare</t>
  </si>
  <si>
    <t>Helpshift</t>
  </si>
  <si>
    <t>Cimpress India</t>
  </si>
  <si>
    <t>Lalit Nandkishor Rajput</t>
  </si>
  <si>
    <t>Aston Shaji</t>
  </si>
  <si>
    <t>Atharva Anand Joshi</t>
  </si>
  <si>
    <t>Mindstix Software Labs</t>
  </si>
  <si>
    <t>Asmita Amarsinh Pawar</t>
  </si>
  <si>
    <t>Sr No</t>
  </si>
  <si>
    <t>Name of the students</t>
  </si>
  <si>
    <t>Email address</t>
  </si>
  <si>
    <t>Contact No</t>
  </si>
  <si>
    <t>Branch</t>
  </si>
  <si>
    <t>ABHIJIT VIJAY  DUKARE</t>
  </si>
  <si>
    <t>avdukare@mitaoe.ac.in</t>
  </si>
  <si>
    <t>91-7350363969</t>
  </si>
  <si>
    <t>CIVIL</t>
  </si>
  <si>
    <t>Aditya  Balowria</t>
  </si>
  <si>
    <t>aabalowria@mitaoe.ac.in</t>
  </si>
  <si>
    <t>91-9797421716</t>
  </si>
  <si>
    <t>BHAVSAR VEDANT  JITENDRA</t>
  </si>
  <si>
    <t>vjbhavsar@mitaoe.ac.in</t>
  </si>
  <si>
    <t>91-7972423738</t>
  </si>
  <si>
    <t>BUDGE PRANAV  PARMESHWAR</t>
  </si>
  <si>
    <t>ppbudge@mitaoe.ac.in</t>
  </si>
  <si>
    <t>91-9987300137</t>
  </si>
  <si>
    <t>CHATE SHIVHAR  ANKUSH</t>
  </si>
  <si>
    <t>sachate@mitaoe.ac.in</t>
  </si>
  <si>
    <t>91-9021821026</t>
  </si>
  <si>
    <t>CHAVAN PRATHAMESH  ARUN</t>
  </si>
  <si>
    <t>pachavan@mitaoe.ac.in</t>
  </si>
  <si>
    <t>91-8087457498</t>
  </si>
  <si>
    <t>CHOPADE VAIBHAVI  PARSHURAM</t>
  </si>
  <si>
    <t>vpchopade@mitaoe.ac.in</t>
  </si>
  <si>
    <t>91-7972679564</t>
  </si>
  <si>
    <t>DEKATE YOGAM  MAHENDRA</t>
  </si>
  <si>
    <t>ymdekate@mitaoe.ac.in</t>
  </si>
  <si>
    <t>91-9096518565</t>
  </si>
  <si>
    <t>DEORE HARISHCHANDRA  YASHWANT</t>
  </si>
  <si>
    <t>hydeore@mitaoe.ac.in</t>
  </si>
  <si>
    <t>91-7719861566</t>
  </si>
  <si>
    <t>DHAMSHEDWAR SANKET  GOPAL</t>
  </si>
  <si>
    <t>sgdhamshedwar@mitaoe.ac.in</t>
  </si>
  <si>
    <t>91-9067022777</t>
  </si>
  <si>
    <t>DONGRE MD AZHAR MD  KHALED</t>
  </si>
  <si>
    <t>akdongre@mitaoe.ac.in</t>
  </si>
  <si>
    <t>91-8830888810</t>
  </si>
  <si>
    <t>GADE SAMIKSHA  RAJENDRA</t>
  </si>
  <si>
    <t>srgade@mitaoe.ac.in</t>
  </si>
  <si>
    <t>91-7350534699</t>
  </si>
  <si>
    <t>GAWALI PRANJAL  VILAS</t>
  </si>
  <si>
    <t>pvgawali@mitaoe.ac.in</t>
  </si>
  <si>
    <t>91-9552581821</t>
  </si>
  <si>
    <t>GORE PRASAD  BALKRISHNA</t>
  </si>
  <si>
    <t>prasadgore@mitaoe.ac.in</t>
  </si>
  <si>
    <t>91-7620001365</t>
  </si>
  <si>
    <t>HALE SUMIT  VENKAT</t>
  </si>
  <si>
    <t>svhale@mitaoe.ac.in</t>
  </si>
  <si>
    <t>91-9067886484</t>
  </si>
  <si>
    <t>JAGTAP TEJAL  TANAJI</t>
  </si>
  <si>
    <t>ttjagtap@mitaoe.ac.in</t>
  </si>
  <si>
    <t>91-7741891530</t>
  </si>
  <si>
    <t>KADAM NISHANT  AJIT</t>
  </si>
  <si>
    <t>nakadam@mitaoe.ac.in</t>
  </si>
  <si>
    <t>91-7745072892</t>
  </si>
  <si>
    <t>KARMANKAR SHREYA  LALCHAND</t>
  </si>
  <si>
    <t>slkarmankar@mitaoe.ac.in</t>
  </si>
  <si>
    <t>91-8788534782</t>
  </si>
  <si>
    <t>KOLEKAR SAMADHAN  PRAKASH</t>
  </si>
  <si>
    <t>spkolekar@mitaoe.ac.in</t>
  </si>
  <si>
    <t>91-7045067242</t>
  </si>
  <si>
    <t>LANDGE PRATIK  RAJU</t>
  </si>
  <si>
    <t>prlandge@mitaoe.ac.in</t>
  </si>
  <si>
    <t>91-7498938990</t>
  </si>
  <si>
    <t>MADHUKAR RAMHARI  SHINDE</t>
  </si>
  <si>
    <t>mrshinde@mitaoe.ac.in</t>
  </si>
  <si>
    <t>91-9370948991</t>
  </si>
  <si>
    <t>MAHADIK RUTIK  PRADIP</t>
  </si>
  <si>
    <t>rpmahadik@mitaoe.ac.in</t>
  </si>
  <si>
    <t>91-8421246264</t>
  </si>
  <si>
    <t>MALWADE VISHAL  RAM</t>
  </si>
  <si>
    <t>vrmalwade@mitaoe.ac.in</t>
  </si>
  <si>
    <t>91-9766473002</t>
  </si>
  <si>
    <t>MANAJI VARUN  VILAS</t>
  </si>
  <si>
    <t>vvmanaji@mitaoe.ac.in</t>
  </si>
  <si>
    <t>91-9923700025</t>
  </si>
  <si>
    <t>MANDAVKAR ONKAR  SUBHASHRAO</t>
  </si>
  <si>
    <t>osmandavkar@mitaoe.ac.in</t>
  </si>
  <si>
    <t>91-7447437372</t>
  </si>
  <si>
    <t>MANE SHRUTI  PRAKASH</t>
  </si>
  <si>
    <t>spmane@mitaoe.ac.in</t>
  </si>
  <si>
    <t>91-7666384830</t>
  </si>
  <si>
    <t>MESHRAM ANSHUL  DADAJI</t>
  </si>
  <si>
    <t>admeshram@mitaoe.ac.in</t>
  </si>
  <si>
    <t>91-9765707358</t>
  </si>
  <si>
    <t>NARHARE RUTIKA  TUKARAM</t>
  </si>
  <si>
    <t>rtnarhare@mitaoe.ac.in</t>
  </si>
  <si>
    <t>91-9325614532</t>
  </si>
  <si>
    <t>NEERAJ  SHARMA</t>
  </si>
  <si>
    <t>nosharma@mitaoe.ac.in</t>
  </si>
  <si>
    <t>91-8491062836</t>
  </si>
  <si>
    <t>NEWARE ASHWIN  SHAM</t>
  </si>
  <si>
    <t>asneware@mitaoe.ac.in</t>
  </si>
  <si>
    <t>91-9730470259</t>
  </si>
  <si>
    <t>Omkar Venkat  Dumne</t>
  </si>
  <si>
    <t>ovdumne@mitaoe.ac.in</t>
  </si>
  <si>
    <t>91-9730942152</t>
  </si>
  <si>
    <t>Patil Shambhuraj  Ramkrushna</t>
  </si>
  <si>
    <t>shambhurajpatil@mitaoe.ac.in</t>
  </si>
  <si>
    <t>91-7038723110</t>
  </si>
  <si>
    <t>PAWAR MAYUR  BHAGWAN</t>
  </si>
  <si>
    <t>mbpawar@mitaoe.ac.in</t>
  </si>
  <si>
    <t>91-9960637632</t>
  </si>
  <si>
    <t>PAWAR NEHUL  SURESH</t>
  </si>
  <si>
    <t>nspawar@mitaoe.ac.in</t>
  </si>
  <si>
    <t>91-7020678399</t>
  </si>
  <si>
    <t>PUJARI SAKSHI  SANJAY</t>
  </si>
  <si>
    <t>sspujari@mitaoe.ac.in</t>
  </si>
  <si>
    <t>91-8999502120</t>
  </si>
  <si>
    <t>RAUT VEDIKA  BHANUDAS</t>
  </si>
  <si>
    <t>vbraut@mitaoe.ac.in</t>
  </si>
  <si>
    <t>91-9421121323</t>
  </si>
  <si>
    <t>SAHIL  SHARMA</t>
  </si>
  <si>
    <t>ssharma@mitaoe.ac.in</t>
  </si>
  <si>
    <t>91-9810039594</t>
  </si>
  <si>
    <t>SAKHARWADE SHREYASH  SHARAD</t>
  </si>
  <si>
    <t>sssakharwade@mitaoe.ac.in</t>
  </si>
  <si>
    <t>91-9511954773</t>
  </si>
  <si>
    <t>SHETTY KAUSHAL  SURENDRA</t>
  </si>
  <si>
    <t>ksshetty@mitaoe.ac.in</t>
  </si>
  <si>
    <t>91-8329927069</t>
  </si>
  <si>
    <t>SMRITI  SINGH</t>
  </si>
  <si>
    <t>smritisingh@mitaoe.ac.in</t>
  </si>
  <si>
    <t>91-7030246076</t>
  </si>
  <si>
    <t>SOMWANSHI ASHISH  SHIVAJI</t>
  </si>
  <si>
    <t>assomwanshi@mitaoe.ac.in</t>
  </si>
  <si>
    <t>91-9561533419</t>
  </si>
  <si>
    <t>SONAWANE NIKHIL  PANDURANG</t>
  </si>
  <si>
    <t>npsonawane@mitaoe.ac.in</t>
  </si>
  <si>
    <t>91-9168443376</t>
  </si>
  <si>
    <t>THAKUR OM  AJAYSINGH</t>
  </si>
  <si>
    <t>oathakur@mitaoe.ac.in</t>
  </si>
  <si>
    <t>91-8888180860</t>
  </si>
  <si>
    <t>VIBHUTE PRATIK  MAHESH</t>
  </si>
  <si>
    <t>pmvibhute@mitaoe.ac.in</t>
  </si>
  <si>
    <t>91-7387336991</t>
  </si>
  <si>
    <t>WANKHEDE PRAJWAL  PRAVIN</t>
  </si>
  <si>
    <t>ppwankhede@mitaoe.ac.in</t>
  </si>
  <si>
    <t>91-9960752396</t>
  </si>
  <si>
    <t>AADIRAJ DIGAMBAR NARARAYANE</t>
  </si>
  <si>
    <t>narayaneaadiraj@gmail.com</t>
  </si>
  <si>
    <t>91-7773937764</t>
  </si>
  <si>
    <t>COMP</t>
  </si>
  <si>
    <t>Aditya Chandrakant Karpe</t>
  </si>
  <si>
    <t>adityakarpe26@gmail.com</t>
  </si>
  <si>
    <t>91-7387624528</t>
  </si>
  <si>
    <t>JADHAV NEHA SHAM</t>
  </si>
  <si>
    <t>neha2001jadhav@gmail.com</t>
  </si>
  <si>
    <t>91-9284732130</t>
  </si>
  <si>
    <t>JADHAV SRUSHTI SACHIN</t>
  </si>
  <si>
    <t>srushtijadhav999@gmail.com</t>
  </si>
  <si>
    <t>91-9834881315</t>
  </si>
  <si>
    <t>KOMAL SADASHIV BONDE</t>
  </si>
  <si>
    <t>komalbonde2527@gmail.com</t>
  </si>
  <si>
    <t>91-9373958472</t>
  </si>
  <si>
    <t>MADANU AMISHA  X</t>
  </si>
  <si>
    <t>amisha.madanu@mitaoe.ac.in</t>
  </si>
  <si>
    <t>91-8007889726</t>
  </si>
  <si>
    <t>MAYURI SANJAY MORE</t>
  </si>
  <si>
    <t>mayurimore1908@gmail.com</t>
  </si>
  <si>
    <t>91-9284715923</t>
  </si>
  <si>
    <t>MORE PRITI BANDU</t>
  </si>
  <si>
    <t>pritimore615@gmail.com</t>
  </si>
  <si>
    <t>91-8999731368</t>
  </si>
  <si>
    <t>NANDINI MANOJ GHALE</t>
  </si>
  <si>
    <t>ghalenandini@gmail.com</t>
  </si>
  <si>
    <t>91-9356612714</t>
  </si>
  <si>
    <t>NIKHIL MADHAVRAO KINIKAR</t>
  </si>
  <si>
    <t>nmkinikar7@gmail.com</t>
  </si>
  <si>
    <t>91-9172899907</t>
  </si>
  <si>
    <t>omkar.shinde.0801@gmail.com</t>
  </si>
  <si>
    <t>91-9552014951</t>
  </si>
  <si>
    <t>prajwalchobitkar@gmail.com</t>
  </si>
  <si>
    <t>91-8600981839</t>
  </si>
  <si>
    <t>RATHOD PRIYANKA MADHUKAR</t>
  </si>
  <si>
    <t>priyanka.rathod@mitaoe.ac.in</t>
  </si>
  <si>
    <t>91-7875419235</t>
  </si>
  <si>
    <t>RISHABH DEEPAK SAUDAGAR</t>
  </si>
  <si>
    <t>rishabh.saudagar2001@gmail.com</t>
  </si>
  <si>
    <t>91-7447758935</t>
  </si>
  <si>
    <t>RITESH RAMCHANDRA KULKARNI</t>
  </si>
  <si>
    <t>ritesh.kulkarni@mitaoe.ac.in</t>
  </si>
  <si>
    <t>91-9284279213</t>
  </si>
  <si>
    <t>RUSHIKESH SURESH JADHAV</t>
  </si>
  <si>
    <t>rushikesh.jadhav@mitaoe.ac.in</t>
  </si>
  <si>
    <t>91-7798698674</t>
  </si>
  <si>
    <t>RUTUJA VINOD KHAKARE</t>
  </si>
  <si>
    <t>rutuja.khakare@mitaoe.ac.in</t>
  </si>
  <si>
    <t>91-9730828694</t>
  </si>
  <si>
    <t>SAKSHI SHAILESH JAGTAP</t>
  </si>
  <si>
    <t>sakshi.jagtap@mitaoe.ac.in</t>
  </si>
  <si>
    <t>91-8779744081</t>
  </si>
  <si>
    <t>SHRUTI DEEPAK DHUMNE</t>
  </si>
  <si>
    <t>shrutidhumne29@gmail.com</t>
  </si>
  <si>
    <t>91-8788933422</t>
  </si>
  <si>
    <t>TANUJA DILIP HAKEPATIL</t>
  </si>
  <si>
    <t>tanuja.hakepatil@mitaoe.ac.in</t>
  </si>
  <si>
    <t>91-7397863782</t>
  </si>
  <si>
    <t>UDDHAV RAJENDRA PATIL</t>
  </si>
  <si>
    <t>uddhav.patil@mitaoe.ac.in</t>
  </si>
  <si>
    <t>91-8600997436</t>
  </si>
  <si>
    <t>Utkarsha Mohan Gawade</t>
  </si>
  <si>
    <t>utkarshagawade1701@gmail.com</t>
  </si>
  <si>
    <t>91-9527738448</t>
  </si>
  <si>
    <t>Vaishnavi Sanjay Patil</t>
  </si>
  <si>
    <t>aishnavipatil4340@gmail.com</t>
  </si>
  <si>
    <t>91-9145335077</t>
  </si>
  <si>
    <t>VAISHNAVI SATISH JADHAV</t>
  </si>
  <si>
    <t>vaishnavi.jadhav@mitaoe.ac.in</t>
  </si>
  <si>
    <t>91-9527754147</t>
  </si>
  <si>
    <t>Vedashri Pravinrao Sonar</t>
  </si>
  <si>
    <t>vedashrisonar7@gmail.com</t>
  </si>
  <si>
    <t>91-9284717369</t>
  </si>
  <si>
    <t>Bhasme Samarth  Santosh</t>
  </si>
  <si>
    <t>ssbhasme@mitaoe.ac.in</t>
  </si>
  <si>
    <t>91-8087273190</t>
  </si>
  <si>
    <t>B.Tech First Year</t>
  </si>
  <si>
    <t>ITEWAD SHIVRAJ  SUBHASH</t>
  </si>
  <si>
    <t>ssitewad@mitaoe.ac.in</t>
  </si>
  <si>
    <t>91-7773923464</t>
  </si>
  <si>
    <t>PRANAV  DHERANGE</t>
  </si>
  <si>
    <t>0120190491@mailinator.com</t>
  </si>
  <si>
    <t>91-8460404566</t>
  </si>
  <si>
    <t>SNEHA  SETHI</t>
  </si>
  <si>
    <t>sssethi@mitaoe.ac.in</t>
  </si>
  <si>
    <t>91-8492092010</t>
  </si>
  <si>
    <t>ADITI DIPAK  BOBADE</t>
  </si>
  <si>
    <t>adbobade@mitaoe.ac.in</t>
  </si>
  <si>
    <t>91-9359022656</t>
  </si>
  <si>
    <t>CHEM</t>
  </si>
  <si>
    <t>AWALE JITESH  ASHOK</t>
  </si>
  <si>
    <t>jaawale@mitaoe.ac.in</t>
  </si>
  <si>
    <t>91-9075612216</t>
  </si>
  <si>
    <t>BATULE ADITYA  TRIMBAK</t>
  </si>
  <si>
    <t>atbatule@mitaoe.ac.in</t>
  </si>
  <si>
    <t>91-7218062146</t>
  </si>
  <si>
    <t>BHARADIA MUSKAN  MAHESH</t>
  </si>
  <si>
    <t>mmbharadia@mitaoe.ac.in</t>
  </si>
  <si>
    <t>91-9422441438</t>
  </si>
  <si>
    <t>BOBE TEJAS  SANDEEP</t>
  </si>
  <si>
    <t>tsbobe@mitaoe.ac.in</t>
  </si>
  <si>
    <t>91-7218495694</t>
  </si>
  <si>
    <t>CHAVAN SAAKSHEE  ANIL</t>
  </si>
  <si>
    <t>sachavan@mitaoe.ac.in</t>
  </si>
  <si>
    <t>91-9769410981</t>
  </si>
  <si>
    <t>CHAVHAN SHREYA  NAGORAO</t>
  </si>
  <si>
    <t>snchavhan@mitaoe.ac.in</t>
  </si>
  <si>
    <t>91-9588623179</t>
  </si>
  <si>
    <t>DHANVIJAY SAMRUDDHI  BHAIYYA</t>
  </si>
  <si>
    <t>sbdhanvijay@mitaoe.ac.in</t>
  </si>
  <si>
    <t>91-7721835102</t>
  </si>
  <si>
    <t>DUDHAL NANASAHEB  RAMCHANDRA</t>
  </si>
  <si>
    <t>nrdudhal@mitaoe.ac.in</t>
  </si>
  <si>
    <t>91-9130927358</t>
  </si>
  <si>
    <t>GARUDKAR NIKITA  SANJAYRAO</t>
  </si>
  <si>
    <t>nsgarudkar@mitaoe.ac.in</t>
  </si>
  <si>
    <t>91-9021008900</t>
  </si>
  <si>
    <t>GAUTAM  DAS</t>
  </si>
  <si>
    <t>gadas@mitaoe.ac.in</t>
  </si>
  <si>
    <t>91-9359563683</t>
  </si>
  <si>
    <t>INGAWALE SURAJ  WAMANRAO</t>
  </si>
  <si>
    <t>swingawale@mitaoe.ac.in</t>
  </si>
  <si>
    <t>91-7666294077</t>
  </si>
  <si>
    <t>KALE SANKET  SAKHARAM</t>
  </si>
  <si>
    <t>sanketkale@mitaoe.ac.in</t>
  </si>
  <si>
    <t>91-8208233484</t>
  </si>
  <si>
    <t>KHAPNE TUSHAR  BHARAT</t>
  </si>
  <si>
    <t>tbkhapne@mitaoe.ac.in</t>
  </si>
  <si>
    <t>91-7218737419</t>
  </si>
  <si>
    <t>KOLARKAR SUDARSHAN  SANJAY</t>
  </si>
  <si>
    <t>sskolarkar@mitaoe.ac.in</t>
  </si>
  <si>
    <t>91-7841967450</t>
  </si>
  <si>
    <t>KURAI SANKET  VINOD</t>
  </si>
  <si>
    <t>svkurai@mitaoe.ac.in</t>
  </si>
  <si>
    <t>91-9067791590</t>
  </si>
  <si>
    <t>LOKHANDE KUNAL  DHARMENDRA</t>
  </si>
  <si>
    <t>kdlokhande@mitaoe.ac.in</t>
  </si>
  <si>
    <t>91-7776887634</t>
  </si>
  <si>
    <t>LOLABHATTU PRADEEP KUMAR RAJU CHINNA BUTCHI  RAJU</t>
  </si>
  <si>
    <t>pclobabhattu@mitaoe.ac.in</t>
  </si>
  <si>
    <t>91-9158542842</t>
  </si>
  <si>
    <t>MAHALE OMKAR  SATISH</t>
  </si>
  <si>
    <t>osmahale@mitaoe.ac.in</t>
  </si>
  <si>
    <t>91-9359579622</t>
  </si>
  <si>
    <t>Mansuri Mohsin  Azim</t>
  </si>
  <si>
    <t>mamansuri@mitaoe.ac.in</t>
  </si>
  <si>
    <t>91-9665519196</t>
  </si>
  <si>
    <t>MAYANK RAJ  SAHA</t>
  </si>
  <si>
    <t>mrsaha@mitaoe.ac.in</t>
  </si>
  <si>
    <t>91-7764815996</t>
  </si>
  <si>
    <t>MIHIR  KORDE</t>
  </si>
  <si>
    <t>mrkorde@mitaoe.ac.in</t>
  </si>
  <si>
    <t>91-9307877305</t>
  </si>
  <si>
    <t>NADAR RADHA  KESAVAN</t>
  </si>
  <si>
    <t>rknadar@mitaoe.ac.in</t>
  </si>
  <si>
    <t>91-7888195458</t>
  </si>
  <si>
    <t>NAWALE SHIVAJI  JAGANATH</t>
  </si>
  <si>
    <t>sjnawale@mitaoe.ac.in</t>
  </si>
  <si>
    <t>91-8669664434</t>
  </si>
  <si>
    <t>PACHKHANDE SWAPNIL  RAMCHANDRA</t>
  </si>
  <si>
    <t>srpachkhande@mitaoe.ac.in</t>
  </si>
  <si>
    <t>91-9021425849</t>
  </si>
  <si>
    <t>PADOLE UDAY  BADRINATH</t>
  </si>
  <si>
    <t>ubpadole@mitaoe.ac.in</t>
  </si>
  <si>
    <t>91-9834773166</t>
  </si>
  <si>
    <t>PAWAR SUJIT  NAMDEO</t>
  </si>
  <si>
    <t>snpawar@mitaoe.ac.in</t>
  </si>
  <si>
    <t>91-8975028410</t>
  </si>
  <si>
    <t>RAMTEKE SEJAL  GUNRATAN</t>
  </si>
  <si>
    <t>sgramteke@mitaoe.ac.in</t>
  </si>
  <si>
    <t>91-9767984127</t>
  </si>
  <si>
    <t>Shaikh Sadaf  Rafiq</t>
  </si>
  <si>
    <t>sadafshaikh@mitaoe.ac.in</t>
  </si>
  <si>
    <t>91-9867074932</t>
  </si>
  <si>
    <t>SHELAKE VAIBHAV  LAXMAN</t>
  </si>
  <si>
    <t>vlshelake@mitaoe.ac.in</t>
  </si>
  <si>
    <t>91-7522965671</t>
  </si>
  <si>
    <t>SHENDKAR ADESH  NANDKUMAR</t>
  </si>
  <si>
    <t>ashendkar@mitaoe.ac.in</t>
  </si>
  <si>
    <t>91-9657466523</t>
  </si>
  <si>
    <t>TAMBE OM  BALASAHEB</t>
  </si>
  <si>
    <t>obtambe@mitaoe.ac.in</t>
  </si>
  <si>
    <t>91-9960083392</t>
  </si>
  <si>
    <t>THAKRE ANIMESH  GAJANAN</t>
  </si>
  <si>
    <t>agthakre@mitaoe.ac.in</t>
  </si>
  <si>
    <t>91-8390246468</t>
  </si>
  <si>
    <t>VIVEK VINOD  SHAMBHARKAR</t>
  </si>
  <si>
    <t>vvshambharkar@mitaoe.ac.in</t>
  </si>
  <si>
    <t>91-8806914678</t>
  </si>
  <si>
    <t>AADITYA GIRIDHAR  FAYE</t>
  </si>
  <si>
    <t>agfaye@mitaoe.ac.in</t>
  </si>
  <si>
    <t>91-8669807739</t>
  </si>
  <si>
    <t>AADITYA SHIVPRAKASH  BARVE</t>
  </si>
  <si>
    <t>asbarve@mitaoe.ac.in</t>
  </si>
  <si>
    <t>91-7038425996</t>
  </si>
  <si>
    <t>AAYUSH  PANDEY</t>
  </si>
  <si>
    <t>aspandye@mitaoe.ac.in</t>
  </si>
  <si>
    <t>91-9308691507</t>
  </si>
  <si>
    <t>ADISHWAR  SHARMA</t>
  </si>
  <si>
    <t>adishwarsharma@mitaoe.ac.in</t>
  </si>
  <si>
    <t>91-9149787050</t>
  </si>
  <si>
    <t>ADITYA  KUMAR</t>
  </si>
  <si>
    <t>kumaraditya@mitaoe.ac.in</t>
  </si>
  <si>
    <t>91-8956433843</t>
  </si>
  <si>
    <t>AGRAWAL SHRIHARSH  ANOOP</t>
  </si>
  <si>
    <t>saagrawal@mitaoe.ac.in</t>
  </si>
  <si>
    <t>91-7607434317</t>
  </si>
  <si>
    <t>AGRAWAL YASH  SANTOSH</t>
  </si>
  <si>
    <t>yashagrawal@mitaoe.ac.in</t>
  </si>
  <si>
    <t>91-9822945017</t>
  </si>
  <si>
    <t>AKHIL VIJAY  CHOPDE</t>
  </si>
  <si>
    <t>avchopde@mitaoe.ac.in</t>
  </si>
  <si>
    <t>91-8989544902</t>
  </si>
  <si>
    <t>Akshay  Rathod</t>
  </si>
  <si>
    <t>adrathod@mitaoe.ac.in</t>
  </si>
  <si>
    <t>91-8459995908</t>
  </si>
  <si>
    <t>AMBADE SHARWARI  BHOJRAJ</t>
  </si>
  <si>
    <t>sbambade@mitaoe.ac.in</t>
  </si>
  <si>
    <t>91-7397958194</t>
  </si>
  <si>
    <t>ANIKET KUMAR  YADAV</t>
  </si>
  <si>
    <t>aniketyadav@mitaoe.ac.in</t>
  </si>
  <si>
    <t>91-7350975415</t>
  </si>
  <si>
    <t>ANURAG  TAPARIA</t>
  </si>
  <si>
    <t>ajtaparia@mitaoe.ac.in</t>
  </si>
  <si>
    <t>91-8107228146</t>
  </si>
  <si>
    <t>ANUSHKA  YADAV</t>
  </si>
  <si>
    <t>aayadav@mitaoe.ac.in</t>
  </si>
  <si>
    <t>91-8881023113</t>
  </si>
  <si>
    <t>ARYA  KASHYAP</t>
  </si>
  <si>
    <t>aakashyap@mitaoe.ac.in</t>
  </si>
  <si>
    <t>91-7426854202</t>
  </si>
  <si>
    <t>ATHARVA DATTATRAYA  KHONDE</t>
  </si>
  <si>
    <t>adkhonde@mitaoe.ac.in</t>
  </si>
  <si>
    <t>91-9860210057</t>
  </si>
  <si>
    <t>Barave Anuj  Santosh</t>
  </si>
  <si>
    <t>asbarave@mitaoe.ac.in</t>
  </si>
  <si>
    <t>91-9766984161</t>
  </si>
  <si>
    <t>BARKUL NANDINI  SHIRISH</t>
  </si>
  <si>
    <t>nsbarkul@mitaoe.ac.in</t>
  </si>
  <si>
    <t>91-7498282988</t>
  </si>
  <si>
    <t>BEDRE ADITYA  CHANDRAKANT</t>
  </si>
  <si>
    <t>acbedre@mitaoe.ac.in</t>
  </si>
  <si>
    <t>91-9096318242</t>
  </si>
  <si>
    <t>BHADALE VAISHNAVI  BAJIRAO</t>
  </si>
  <si>
    <t>vbbhadale@mitaoe.ac.in</t>
  </si>
  <si>
    <t>91-7666246433</t>
  </si>
  <si>
    <t>BHADANE KAUSHIK  RAJENDRA</t>
  </si>
  <si>
    <t>krbhadane@mitaoe.ac.in</t>
  </si>
  <si>
    <t>91-9049998692</t>
  </si>
  <si>
    <t>Bhalme Aishwarya  Vinod</t>
  </si>
  <si>
    <t>avbhalme@mitaoe.ac.in</t>
  </si>
  <si>
    <t>91-9822455255</t>
  </si>
  <si>
    <t>BHANDEKAR ANIKET  GURUDEO</t>
  </si>
  <si>
    <t>agbhandekar@mitaoe.ac.in</t>
  </si>
  <si>
    <t>91-8390488899</t>
  </si>
  <si>
    <t>BHAT ANISH  GANESH</t>
  </si>
  <si>
    <t>agbhat@mitaoe.ac.in</t>
  </si>
  <si>
    <t>91-9850356547</t>
  </si>
  <si>
    <t>BHAWANI SAHIL  SHRICHAND</t>
  </si>
  <si>
    <t>ssbhawani@mitaoe.ac.in</t>
  </si>
  <si>
    <t>91-8698448948</t>
  </si>
  <si>
    <t>BHISE YASHVARDHAN  BALASAHEB</t>
  </si>
  <si>
    <t>ybbhise@mitaoe.ac.in</t>
  </si>
  <si>
    <t>91-9021323958</t>
  </si>
  <si>
    <t>BHOSALE MANAV  BHIMRAO</t>
  </si>
  <si>
    <t>mbbhosale@mitaoe.ac.in</t>
  </si>
  <si>
    <t>91-9867875466</t>
  </si>
  <si>
    <t>BHOSLE VINAYAK  SHAMRAO</t>
  </si>
  <si>
    <t>vsbhosle@mitaoe.ac.in</t>
  </si>
  <si>
    <t>91-9423138920</t>
  </si>
  <si>
    <t>BHUJBAL PRANAV  PARAG</t>
  </si>
  <si>
    <t>bhujbalpranav@mitaoe.ac.in</t>
  </si>
  <si>
    <t>91-9168599998</t>
  </si>
  <si>
    <t>BORKAR ADITI  SANJAY</t>
  </si>
  <si>
    <t>asborkar@mitaoe.ac.in</t>
  </si>
  <si>
    <t>91-9175090770</t>
  </si>
  <si>
    <t>CHANNE PRACHI  MAHESH</t>
  </si>
  <si>
    <t>pmchanne@mitaoe.ac.in</t>
  </si>
  <si>
    <t>91-9552959537</t>
  </si>
  <si>
    <t>CHARPE YASH  RAMESHWAR</t>
  </si>
  <si>
    <t>yrcharpe@mitaoe.ac.in</t>
  </si>
  <si>
    <t>91-9307719398</t>
  </si>
  <si>
    <t>CHARUDATTA  TOPARE</t>
  </si>
  <si>
    <t>cstopare@mitaoe.ac.in</t>
  </si>
  <si>
    <t>91-9422528319</t>
  </si>
  <si>
    <t>CHAUDHARI DIVYA  JAYENDRA</t>
  </si>
  <si>
    <t>djchaudhari@mitaoe.ac.in</t>
  </si>
  <si>
    <t>91-7666804994</t>
  </si>
  <si>
    <t>Chaudhari Khushal  Mahendra</t>
  </si>
  <si>
    <t>kmchaudhari@mitaoe.ac.in</t>
  </si>
  <si>
    <t>91-9022495243</t>
  </si>
  <si>
    <t>CHIKALE JANARDHAN  MADHAV</t>
  </si>
  <si>
    <t>jmchikale@mitaoe.ac.in</t>
  </si>
  <si>
    <t>91-9527553202</t>
  </si>
  <si>
    <t>CHIRAYU ADESH  SHAH</t>
  </si>
  <si>
    <t>chirayushah@mitaoe.ac.in</t>
  </si>
  <si>
    <t>91-9850091185</t>
  </si>
  <si>
    <t>DAHIKAR YEESHANT  SHESHRAO</t>
  </si>
  <si>
    <t>ysdahikar@mitaoe.ac.in</t>
  </si>
  <si>
    <t>91-8766952314</t>
  </si>
  <si>
    <t>DAWANGE VEDANT  AVINASH</t>
  </si>
  <si>
    <t>vadawange@mitaoe.ac.in</t>
  </si>
  <si>
    <t>91-9421318629</t>
  </si>
  <si>
    <t>DESAI SHWETALI  SATISH</t>
  </si>
  <si>
    <t>shwetalidesai@mitaoe.ac.in</t>
  </si>
  <si>
    <t>91-8975085923</t>
  </si>
  <si>
    <t>DESHMUKH VIKAS  RAMRAO</t>
  </si>
  <si>
    <t>vrdeshmukh@mitaoe.ac.in</t>
  </si>
  <si>
    <t>91-9075662549</t>
  </si>
  <si>
    <t>DESHPANDE VINAYAK  SHARAD</t>
  </si>
  <si>
    <t>vsdeshpande@mitaoe.ac.in</t>
  </si>
  <si>
    <t>91-7558318551</t>
  </si>
  <si>
    <t>DEWANSH  SINGH</t>
  </si>
  <si>
    <t>dasingh@mitaoe.ac.in</t>
  </si>
  <si>
    <t>91-7426827047</t>
  </si>
  <si>
    <t>DHAMDHERE OM  VIRENDRA</t>
  </si>
  <si>
    <t>ovdhamdhere@mitaoe.ac.in</t>
  </si>
  <si>
    <t>91-7888010348</t>
  </si>
  <si>
    <t>DHANWATE ABHIJEET  MARUTI</t>
  </si>
  <si>
    <t>amdhanwate@mitaoe.ac.in</t>
  </si>
  <si>
    <t>91-7218850667</t>
  </si>
  <si>
    <t>DHOTE KRISHNA  SHYAM</t>
  </si>
  <si>
    <t>ksdhote@mitaoe.ac.in</t>
  </si>
  <si>
    <t>91-8483923322</t>
  </si>
  <si>
    <t>DUKARE RITIKET  HARIDAS</t>
  </si>
  <si>
    <t>rhdukare@mitaoe.ac.in</t>
  </si>
  <si>
    <t>91-7620633310</t>
  </si>
  <si>
    <t>DUMBRE SAKSHI  DEVIDAS</t>
  </si>
  <si>
    <t>sddumbre@mitaoe.ac.in</t>
  </si>
  <si>
    <t>91-9011919446</t>
  </si>
  <si>
    <t>FULZELE YASH  RAMESH</t>
  </si>
  <si>
    <t>yrfulzele@mitaoe.ac.in</t>
  </si>
  <si>
    <t>91-7757045599</t>
  </si>
  <si>
    <t>GADHAVE MAYUR  BABASAHEB</t>
  </si>
  <si>
    <t>mbgadhave@mitaoe.ac.in</t>
  </si>
  <si>
    <t>91-7666174070</t>
  </si>
  <si>
    <t>GAIKWAD SHREYA  KAILAS</t>
  </si>
  <si>
    <t>skgaikwad@mitaoe.ac.in</t>
  </si>
  <si>
    <t>91-9766615429</t>
  </si>
  <si>
    <t>GAIKWAD SONALI  SURESH</t>
  </si>
  <si>
    <t>sonaligaikwad@mitaoe.ac.in</t>
  </si>
  <si>
    <t>91-7710910240</t>
  </si>
  <si>
    <t>GAVKHARE TUSHAR  PUNDLIK</t>
  </si>
  <si>
    <t>tpgavkhare@mitaoe.ac.in</t>
  </si>
  <si>
    <t>91-8766913520</t>
  </si>
  <si>
    <t>GAWADE SUSHANT  SHRAVAN</t>
  </si>
  <si>
    <t>sushantgawade@mitaoe.ac.in</t>
  </si>
  <si>
    <t>91-9657607292</t>
  </si>
  <si>
    <t>GAWANDE GOVIND  VASANT</t>
  </si>
  <si>
    <t>gvgawande@mitaoe.ac.in</t>
  </si>
  <si>
    <t>91-7420937899</t>
  </si>
  <si>
    <t>GEDAM KUNAL  SUMANT</t>
  </si>
  <si>
    <t>ksgedam@mitaoe.ac.in</t>
  </si>
  <si>
    <t>91-7020172736</t>
  </si>
  <si>
    <t>GIRHE NIRANJAN  DADASAHEB</t>
  </si>
  <si>
    <t>ndgirhe@mitaoe.ac.in</t>
  </si>
  <si>
    <t>91-7768989938</t>
  </si>
  <si>
    <t>GOLEGAONKAR SHREYAS  JANARDHAN</t>
  </si>
  <si>
    <t>sjgolegaonkar@mitaoe.ac.in</t>
  </si>
  <si>
    <t>91-9175761225</t>
  </si>
  <si>
    <t>HASABE RHUSHIKESH  DNYANESHWAR</t>
  </si>
  <si>
    <t>rshasabe@mitaoe.ac.in</t>
  </si>
  <si>
    <t>91-7741057855</t>
  </si>
  <si>
    <t>HATWAR PRANAV  DEVIDAS</t>
  </si>
  <si>
    <t>pdhatwar@mitaoe.ac.in</t>
  </si>
  <si>
    <t>91-7558351727</t>
  </si>
  <si>
    <t>HIMANSHU  SENGAR</t>
  </si>
  <si>
    <t>hssengar@mitaoe.ac.in</t>
  </si>
  <si>
    <t>91-7972389237</t>
  </si>
  <si>
    <t>HOUDE SANKET  RAJENDRA</t>
  </si>
  <si>
    <t>srhoude@mitaoe.ac.in</t>
  </si>
  <si>
    <t>91-8177993196</t>
  </si>
  <si>
    <t>JADHAV SMITA  HANMANT</t>
  </si>
  <si>
    <t>smitajadhav@mitaoe.ac.in</t>
  </si>
  <si>
    <t>91-9307733037</t>
  </si>
  <si>
    <t>JAWARE YASH  CHANDRAKANT</t>
  </si>
  <si>
    <t>ycjaware@mitaoe.ac.in</t>
  </si>
  <si>
    <t>91-7387503804</t>
  </si>
  <si>
    <t>KAD SWATEJA  SUNIL</t>
  </si>
  <si>
    <t>sskad@mitaoe.ac.in</t>
  </si>
  <si>
    <t>91-9881539691</t>
  </si>
  <si>
    <t>KADAM SHANTANU  EKNATH</t>
  </si>
  <si>
    <t>sekadam@mitaoe.ac.in</t>
  </si>
  <si>
    <t>91-8788906018</t>
  </si>
  <si>
    <t>KALE PRATIK  PRADIP</t>
  </si>
  <si>
    <t>ppkale@mitaoe.ac.in</t>
  </si>
  <si>
    <t>91-8390165026</t>
  </si>
  <si>
    <t>KALJE TEJAS  NAVNATH</t>
  </si>
  <si>
    <t>tnkalje@mitaoe.ac.in</t>
  </si>
  <si>
    <t>91-9518958549</t>
  </si>
  <si>
    <t>KALP  CHOBISA</t>
  </si>
  <si>
    <t>krchobisa@mitaoe.ac.in</t>
  </si>
  <si>
    <t>91-9950946414</t>
  </si>
  <si>
    <t>KANIKDALE SIDDHARTH  PRASHANT</t>
  </si>
  <si>
    <t>spkanikdale@mitaoe.ac.in</t>
  </si>
  <si>
    <t>91-9096995331</t>
  </si>
  <si>
    <t>KAPIL  KHAIRKAR</t>
  </si>
  <si>
    <t>kvkhairkar@mitaoe.ac.in</t>
  </si>
  <si>
    <t>91-9405548321</t>
  </si>
  <si>
    <t>KARAN  SAJEETH</t>
  </si>
  <si>
    <t>ksajeet@mitaoe.ac.in</t>
  </si>
  <si>
    <t>91-9284654961</t>
  </si>
  <si>
    <t>KARANJOT  SINGH</t>
  </si>
  <si>
    <t>kjsingh@mitaoe.ac.in</t>
  </si>
  <si>
    <t>91-7889540502</t>
  </si>
  <si>
    <t>KARLE PRATIK  DATTU</t>
  </si>
  <si>
    <t>pdkarle@mitaoe.ac.in</t>
  </si>
  <si>
    <t>91-9607704644</t>
  </si>
  <si>
    <t>KARTHIK VENKATARAMANA  GUNTURI</t>
  </si>
  <si>
    <t>kvguturi@mitaoe.ac.in</t>
  </si>
  <si>
    <t>91-9246882071</t>
  </si>
  <si>
    <t>KATKHADE PRATHAMESH  RAJESH</t>
  </si>
  <si>
    <t>prkatkhade@mitaoe.ac.in</t>
  </si>
  <si>
    <t>91-8108509757</t>
  </si>
  <si>
    <t>KENDRE SHUBHAM  IRBA</t>
  </si>
  <si>
    <t>sikendre@mitaoe.ac.in</t>
  </si>
  <si>
    <t>91-9049154428</t>
  </si>
  <si>
    <t>KESKAR SAURABH  KISAN</t>
  </si>
  <si>
    <t>skkeskar@mitaoe.ac.in</t>
  </si>
  <si>
    <t>91-9112916534</t>
  </si>
  <si>
    <t>KHANDKE VYANKATESH  SUNIL</t>
  </si>
  <si>
    <t>vskhandke@mitaoe.ac.in</t>
  </si>
  <si>
    <t>91-9890399407</t>
  </si>
  <si>
    <t>KHARKAR ADWAIT  UMESH</t>
  </si>
  <si>
    <t>aukharkar@mitaoe.ac.in</t>
  </si>
  <si>
    <t>91-8600317308</t>
  </si>
  <si>
    <t>KHEMANI AVENTIKA  BHAGWANDAS</t>
  </si>
  <si>
    <t>abkhemani@mitaoe.ac.in</t>
  </si>
  <si>
    <t>91-9595607085</t>
  </si>
  <si>
    <t>KHUNDE NIKHIL  PRATAPSINH</t>
  </si>
  <si>
    <t>npkhune@mitaoe.ac.in</t>
  </si>
  <si>
    <t>91-9307515550</t>
  </si>
  <si>
    <t>KOMB DHIRAJ  VASUDEV</t>
  </si>
  <si>
    <t>dvkomb@mitaoe.ac.in</t>
  </si>
  <si>
    <t>91-8087487250</t>
  </si>
  <si>
    <t>KSHIRSAGAR ATUL  RAJENDRA</t>
  </si>
  <si>
    <t>arkshirsagar@mitaoe.ac.in</t>
  </si>
  <si>
    <t>91-7517969899</t>
  </si>
  <si>
    <t>KUMAR  BABUL</t>
  </si>
  <si>
    <t>bskumar@mitaoe.ac.in</t>
  </si>
  <si>
    <t>91-8209060641</t>
  </si>
  <si>
    <t>KUMAR SHWETA  RAKESH</t>
  </si>
  <si>
    <t>srkumar@mitaoe.ac.in</t>
  </si>
  <si>
    <t>91-9284745235</t>
  </si>
  <si>
    <t>LAD SUNIL  RADHESHYAM</t>
  </si>
  <si>
    <t>srlad@mitaoe.ac.in</t>
  </si>
  <si>
    <t>91-9112640264</t>
  </si>
  <si>
    <t>MADHANI PRATHAM  BHARAT</t>
  </si>
  <si>
    <t>pbmadhani@mitaoe.ac.in</t>
  </si>
  <si>
    <t>91-9850466257</t>
  </si>
  <si>
    <t>MADHU  SINGH</t>
  </si>
  <si>
    <t>masingh@mitaoe.ac.in</t>
  </si>
  <si>
    <t>91-9767370262</t>
  </si>
  <si>
    <t>MAHAJAN AJAY  CHANDRAKANT</t>
  </si>
  <si>
    <t>acmahajan@mitaoe.ac.in</t>
  </si>
  <si>
    <t>91-9637602212</t>
  </si>
  <si>
    <t>MAHAJAN DNYANADA  SATISH</t>
  </si>
  <si>
    <t>dsmahajan@mitaoe.ac.in</t>
  </si>
  <si>
    <t>91-7058377913</t>
  </si>
  <si>
    <t>Mahajan Sanket  Shrikrishna</t>
  </si>
  <si>
    <t>sanketmahajan@mitaoe.ac.in</t>
  </si>
  <si>
    <t>91-7666965819</t>
  </si>
  <si>
    <t>MAHANGADE SUYOG  FULCHAND</t>
  </si>
  <si>
    <t>sfmahangade@mitaoe.ac.in</t>
  </si>
  <si>
    <t>91-9890611650</t>
  </si>
  <si>
    <t>MAMIDWAR DIVYANSHU  MANGESH</t>
  </si>
  <si>
    <t>dmmamidwar@mitaoe.ac.in</t>
  </si>
  <si>
    <t>91-7410945825</t>
  </si>
  <si>
    <t>MANISH  MANOHAR</t>
  </si>
  <si>
    <t>mmanohar@mitaoe.ac.in</t>
  </si>
  <si>
    <t>91-7352351523</t>
  </si>
  <si>
    <t>MANKAR KETAKI  GANESH</t>
  </si>
  <si>
    <t>kgmankar@mitaoe.ac.in</t>
  </si>
  <si>
    <t>91-8308842858</t>
  </si>
  <si>
    <t>MANORANJAN  JENA</t>
  </si>
  <si>
    <t>mjena@mitaoe.ac.in</t>
  </si>
  <si>
    <t>91-9637740832</t>
  </si>
  <si>
    <t>MAYURESH  KUMAR</t>
  </si>
  <si>
    <t>mayureshkumar@mitaoe.ac.in</t>
  </si>
  <si>
    <t>91-8130810418</t>
  </si>
  <si>
    <t>MUKESH  GURPUDE</t>
  </si>
  <si>
    <t>mggurpude@mitaoe.ac.in</t>
  </si>
  <si>
    <t>91-7796845665</t>
  </si>
  <si>
    <t>MUNDHE ROHIT  GAJANAN</t>
  </si>
  <si>
    <t>rgmundhe@mitaoe.ac.in</t>
  </si>
  <si>
    <t>91-7620901639</t>
  </si>
  <si>
    <t>MUNDHE SHRIKANT  TUKARAM</t>
  </si>
  <si>
    <t>stmundhe@mitaoe.ac.in</t>
  </si>
  <si>
    <t>91-7387939579</t>
  </si>
  <si>
    <t>MUNGASE SHREYASH  KAILAS</t>
  </si>
  <si>
    <t>skmungase@mitaoe.ac.in</t>
  </si>
  <si>
    <t>91-8605696041</t>
  </si>
  <si>
    <t>NAIK SIDDHI  MANOJ</t>
  </si>
  <si>
    <t>smnaik@mitaoe.ac.in</t>
  </si>
  <si>
    <t>91-9511752723</t>
  </si>
  <si>
    <t>NANGARE SANKET  KHANDU</t>
  </si>
  <si>
    <t>sknangare@mitaoe.ac.in</t>
  </si>
  <si>
    <t>91-7263035579</t>
  </si>
  <si>
    <t>NAYAK ABHISEK  DHIRENDRA</t>
  </si>
  <si>
    <t>abhiseknayak@mitaoe.ac.in</t>
  </si>
  <si>
    <t>91-7517656538</t>
  </si>
  <si>
    <t>NAZARE TANISHA  TUSHAR</t>
  </si>
  <si>
    <t>ttnazare@mitaoe.ac.in</t>
  </si>
  <si>
    <t>91-9011916680</t>
  </si>
  <si>
    <t>NEHARKAR TANUJA  RATAN</t>
  </si>
  <si>
    <t>trneharkar@mitaoe.ac.in</t>
  </si>
  <si>
    <t>91-7219624072</t>
  </si>
  <si>
    <t>NIRVIKAR NAYAN  BAPU</t>
  </si>
  <si>
    <t>nbnirvikar@mitaoe.ac.in</t>
  </si>
  <si>
    <t>91-8412069138</t>
  </si>
  <si>
    <t>OMKAR GOVIND  PAWAR</t>
  </si>
  <si>
    <t>ogpawar@mitaoe.ac.in</t>
  </si>
  <si>
    <t>91-9834474788</t>
  </si>
  <si>
    <t>PAINTER PRERNA  RAMCHANDRA</t>
  </si>
  <si>
    <t>prpainter@mitaoe.ac.in</t>
  </si>
  <si>
    <t>91-7666482252</t>
  </si>
  <si>
    <t>PANDEY RAJ  CHANDRASHEKHAR</t>
  </si>
  <si>
    <t>rcpandey@mitaoe.ac.in</t>
  </si>
  <si>
    <t>91-8850197889</t>
  </si>
  <si>
    <t>PANTAWANE SHREYASH  ASHOK</t>
  </si>
  <si>
    <t>sapantawane@mitaoe.ac.in</t>
  </si>
  <si>
    <t>91-9970825319</t>
  </si>
  <si>
    <t>PATEL VIPUL  RAJU</t>
  </si>
  <si>
    <t>vrpatel@mitaoe.ac.in</t>
  </si>
  <si>
    <t>91-9822758435</t>
  </si>
  <si>
    <t>PATIL AMAN  ABHAY</t>
  </si>
  <si>
    <t>amanpatil@mitaoe.ac.in</t>
  </si>
  <si>
    <t>91-8390733889</t>
  </si>
  <si>
    <t>PATIL VAIBHAV  BAJIRAO</t>
  </si>
  <si>
    <t>vbpatil@mitaoe.ac.in</t>
  </si>
  <si>
    <t>91-9284795763</t>
  </si>
  <si>
    <t>PAWAR MOHIT  MANOJKUMAR</t>
  </si>
  <si>
    <t>mohitpawar@mitaoe.ac.in</t>
  </si>
  <si>
    <t>91-8459679290</t>
  </si>
  <si>
    <t>POTDUKHE PURVA  SUNIL</t>
  </si>
  <si>
    <t>pspotdukhe@mitaoe.ac.in</t>
  </si>
  <si>
    <t>91-7758991877</t>
  </si>
  <si>
    <t>PRATHAM  BHARDWAJ</t>
  </si>
  <si>
    <t>psbhardwaj@mitaoe.ac.in</t>
  </si>
  <si>
    <t>91-9334314222</t>
  </si>
  <si>
    <t>RAHUL KUMAR  PRADHAN</t>
  </si>
  <si>
    <t>rkpradhan@mitaoe.ac.in</t>
  </si>
  <si>
    <t>91-7498789514</t>
  </si>
  <si>
    <t>RAJVANSH  SINGH</t>
  </si>
  <si>
    <t>rajvanshsingh@mitaoe.ac.in</t>
  </si>
  <si>
    <t>91-7006321221</t>
  </si>
  <si>
    <t>RALE PRATIKSHA  PRADIP</t>
  </si>
  <si>
    <t>pprale@mitaoe.ac.in</t>
  </si>
  <si>
    <t>91-9689418575</t>
  </si>
  <si>
    <t>RATHOD KAUSTUBH  RANGRAO</t>
  </si>
  <si>
    <t>krrathod@mitaoe.ac.in</t>
  </si>
  <si>
    <t>91-9623831867</t>
  </si>
  <si>
    <t>Ravi  Kumar</t>
  </si>
  <si>
    <t>ravii577@gmail.com</t>
  </si>
  <si>
    <t>91-9988776655</t>
  </si>
  <si>
    <t>RITIK DILIP  BHASARKAR</t>
  </si>
  <si>
    <t>rdbhasarkar@mitaoe.ac.in</t>
  </si>
  <si>
    <t>91-7038686953</t>
  </si>
  <si>
    <t>SAHOO RAJESH  SARAT</t>
  </si>
  <si>
    <t>rssahoo@mitaoe.ac.in</t>
  </si>
  <si>
    <t>91-7350942803</t>
  </si>
  <si>
    <t>SALUNKHE PRANAV  SURESH</t>
  </si>
  <si>
    <t>pranavsalunkhe@mitaoe.ac.in</t>
  </si>
  <si>
    <t>91-9011357015</t>
  </si>
  <si>
    <t>SANIKA ANIL  PAREEK</t>
  </si>
  <si>
    <t>sapareek@mitaoe.ac.in</t>
  </si>
  <si>
    <t>91-7776058336</t>
  </si>
  <si>
    <t>SARANG  WADODE</t>
  </si>
  <si>
    <t>spwadode@mitaoe.ac.in</t>
  </si>
  <si>
    <t>91-9764466799</t>
  </si>
  <si>
    <t>SHA SAMEER  AMIN</t>
  </si>
  <si>
    <t>sasha@mitaoe.ac.in</t>
  </si>
  <si>
    <t>91-7741804700</t>
  </si>
  <si>
    <t>SHARMA SOMU  BRIJESH</t>
  </si>
  <si>
    <t>sbsharma@mitaoe.ac.in</t>
  </si>
  <si>
    <t>91-9022349965</t>
  </si>
  <si>
    <t>SHELAR KAUSTUBH  RAVINDRA</t>
  </si>
  <si>
    <t>krshelar@mitaoe.ac.in</t>
  </si>
  <si>
    <t>91-7666745559</t>
  </si>
  <si>
    <t>SHINDE SHIVAM  RAJARAM</t>
  </si>
  <si>
    <t>shivamshinde@mitaoe.ac.in</t>
  </si>
  <si>
    <t>91-9307870170</t>
  </si>
  <si>
    <t>SHUKLA KEDAR  RAJENDRA</t>
  </si>
  <si>
    <t>krshukla@mitaoe.ac.in</t>
  </si>
  <si>
    <t>91-8007024008</t>
  </si>
  <si>
    <t>SINGH DASHMESH  UDAYSHANKAR</t>
  </si>
  <si>
    <t>dusingh@mitaoe.ac.in</t>
  </si>
  <si>
    <t>91-9028623572</t>
  </si>
  <si>
    <t>SINGH PANKAJ SATYA  NARAYAN</t>
  </si>
  <si>
    <t>pssingh@mitaoe.ac.in</t>
  </si>
  <si>
    <t>91-8830836814</t>
  </si>
  <si>
    <t>SINHA  RISHAV</t>
  </si>
  <si>
    <t>risinha@mitaoe.ac.in</t>
  </si>
  <si>
    <t>91-8910900163</t>
  </si>
  <si>
    <t>SUPARNA  DAS</t>
  </si>
  <si>
    <t>spdas@mitaoe.ac.in</t>
  </si>
  <si>
    <t>91-9096826559</t>
  </si>
  <si>
    <t>TANMAY  JOSHI</t>
  </si>
  <si>
    <t>tbjoshi@mitaoe.ac.in</t>
  </si>
  <si>
    <t>91-9784198155</t>
  </si>
  <si>
    <t>UDAWANT ATHARV  SANJAY</t>
  </si>
  <si>
    <t>asudawant@mitaoe.ac.in</t>
  </si>
  <si>
    <t>91-9881024537</t>
  </si>
  <si>
    <t>Vaishnavi Ashok  Jadhav</t>
  </si>
  <si>
    <t>vajadhav@mitaoe.ac.in</t>
  </si>
  <si>
    <t>91-9373446355</t>
  </si>
  <si>
    <t>VIDYASAGAR YADNESH  SANJAY</t>
  </si>
  <si>
    <t>ysvidyasagar@mitaoe.ac.in</t>
  </si>
  <si>
    <t>91-7666992339</t>
  </si>
  <si>
    <t>VITTHAL SAI  KAUL</t>
  </si>
  <si>
    <t>vskaul@mitaoe.ac.in</t>
  </si>
  <si>
    <t>91-8700758387</t>
  </si>
  <si>
    <t>YADAV VIRAJ  LALASAHEB</t>
  </si>
  <si>
    <t>vlyadav@mitaoe.ac.in</t>
  </si>
  <si>
    <t>91-8857882527</t>
  </si>
  <si>
    <t>ZOPE TEJAS  SANJIVKUMAR</t>
  </si>
  <si>
    <t>tszope@mitaoe.ac.in</t>
  </si>
  <si>
    <t>91-8208963034</t>
  </si>
  <si>
    <t>AKSHAY KUNDLIK CHAURE</t>
  </si>
  <si>
    <t>akshay.chaure@mitaoe.ac.in</t>
  </si>
  <si>
    <t>91-9096416852</t>
  </si>
  <si>
    <t>ATHARV MANGESH UTTARWAR</t>
  </si>
  <si>
    <t>atharv.uttarwar@mitaoe.ac.in</t>
  </si>
  <si>
    <t>91-7020256218</t>
  </si>
  <si>
    <t>CHAITANYA SUNIL UMBARKAR</t>
  </si>
  <si>
    <t>chaitanya.umbarkar@mitaoe.ac.in</t>
  </si>
  <si>
    <t>91-9146930905</t>
  </si>
  <si>
    <t>CHANDA BHUSHAN NAGDEOTE</t>
  </si>
  <si>
    <t>chanda.nagdeote@mitaoe.ac.in</t>
  </si>
  <si>
    <t>91-7498617181</t>
  </si>
  <si>
    <t>DEEPAK NARSINH KULKARNI</t>
  </si>
  <si>
    <t>deepaknkulkarni123@gmail.com</t>
  </si>
  <si>
    <t>91-9322674843</t>
  </si>
  <si>
    <t>DNYANESHWAR RAJU INGALE</t>
  </si>
  <si>
    <t>ingle4141@gmail.com</t>
  </si>
  <si>
    <t>91-9922530712</t>
  </si>
  <si>
    <t>GANESH SOPAN MALI</t>
  </si>
  <si>
    <t>ganeshmalibudhoda@gmail.com</t>
  </si>
  <si>
    <t>91-7420888945</t>
  </si>
  <si>
    <t>Harshada Harishchandra Giradkar</t>
  </si>
  <si>
    <t>harshadagiradkar30@gmail.com</t>
  </si>
  <si>
    <t>91-9623338873</t>
  </si>
  <si>
    <t>KIRTI SHARADRAO BORGHARE</t>
  </si>
  <si>
    <t>kirti.borghare@mitaoe.ac.in</t>
  </si>
  <si>
    <t>91-8600917168</t>
  </si>
  <si>
    <t>MANSI DEEPAK SURVE</t>
  </si>
  <si>
    <t>survemansi180@gmail.com</t>
  </si>
  <si>
    <t>91-8007091267</t>
  </si>
  <si>
    <t>NAIM ASHOKALLI FAKIR</t>
  </si>
  <si>
    <t>naim.fakir@mitaoe.ac.in</t>
  </si>
  <si>
    <t>91-8669476210</t>
  </si>
  <si>
    <t>NAMDEV GANPATI JADHAV</t>
  </si>
  <si>
    <t>namdevjadhav65444@gmail.com</t>
  </si>
  <si>
    <t>91-7758080101</t>
  </si>
  <si>
    <t>NIKHIL SATISH SHINDE</t>
  </si>
  <si>
    <t>nikhil.shinde@mitaoe.ac.in</t>
  </si>
  <si>
    <t>91-7028968383</t>
  </si>
  <si>
    <t>NITIN DADARAO DORALE</t>
  </si>
  <si>
    <t>nitindorale7057@gmail.com</t>
  </si>
  <si>
    <t>91-7057273135</t>
  </si>
  <si>
    <t>ONKAR SHEKHAR MOHITE</t>
  </si>
  <si>
    <t>onkar.mohite@mitaoe.ac.in</t>
  </si>
  <si>
    <t>91-7775881196</t>
  </si>
  <si>
    <t>PALASH VINOD BORKAR</t>
  </si>
  <si>
    <t>palash.borkar@mitaoe.ac.in</t>
  </si>
  <si>
    <t>91-9373676888</t>
  </si>
  <si>
    <t>PRABODH DINESH LAMSOGE</t>
  </si>
  <si>
    <t>prabodhdlamsoge@gmail.com</t>
  </si>
  <si>
    <t>91-8766834791</t>
  </si>
  <si>
    <t>Pratiksha Uddhavrao Shinde</t>
  </si>
  <si>
    <t>shindepratiksha803@gmail.com</t>
  </si>
  <si>
    <t>91-8308543274</t>
  </si>
  <si>
    <t>RAHUL GOVARDHAN RATHOD</t>
  </si>
  <si>
    <t>rrathod741998@gmail.com</t>
  </si>
  <si>
    <t>91-9325358574</t>
  </si>
  <si>
    <t>RAJESH ANIL LOTEKAR</t>
  </si>
  <si>
    <t>rajesh.lotekar@mitaoe.ac.in</t>
  </si>
  <si>
    <t>91-7083304771</t>
  </si>
  <si>
    <t>RUSHIKESH BABASAHEB ANANDGAOKAR</t>
  </si>
  <si>
    <t>rushikesh.anandgaokar@mitaoe.ac.in</t>
  </si>
  <si>
    <t>91-7447502029</t>
  </si>
  <si>
    <t>Rutik Dasharatha kadukar</t>
  </si>
  <si>
    <t>rutik15kadukar@gmail.com</t>
  </si>
  <si>
    <t>91-7796439230</t>
  </si>
  <si>
    <t>SAKSHI NITANTRAO CHAKKARWAR</t>
  </si>
  <si>
    <t>sakshi.chakkarwar@mitaoe.ac.in</t>
  </si>
  <si>
    <t>91-7378637020</t>
  </si>
  <si>
    <t>SALMAN PIRMOHAMMAD SHEIKH</t>
  </si>
  <si>
    <t>sheikhsalman81213@gmail.com</t>
  </si>
  <si>
    <t>91-9075882416</t>
  </si>
  <si>
    <t>SATYAM NILKANTHAPPA DANGE</t>
  </si>
  <si>
    <t>dangesatyam1999@gmail.com</t>
  </si>
  <si>
    <t>91-8605179657</t>
  </si>
  <si>
    <t>SHARAD RAJU CHAVHAN</t>
  </si>
  <si>
    <t>sharad.chavhan@mitaoe.ac.in</t>
  </si>
  <si>
    <t>91-8379014373</t>
  </si>
  <si>
    <t>SHEKHAR EKNATH TELE</t>
  </si>
  <si>
    <t>shekhar.tele@mitaoe.ac.in</t>
  </si>
  <si>
    <t>91-9370094347</t>
  </si>
  <si>
    <t>SIDDHARTH VINOD PATIL</t>
  </si>
  <si>
    <t>siddharth.patil@mitaoe.ac.in</t>
  </si>
  <si>
    <t>91-8668263760</t>
  </si>
  <si>
    <t>SUJATA PITTAMBAR DEKATE</t>
  </si>
  <si>
    <t>sujatadekate629@gmail.com</t>
  </si>
  <si>
    <t>91-7499536709</t>
  </si>
  <si>
    <t>Suraj Santosh Khartode</t>
  </si>
  <si>
    <t>surajkhartode1515@gmail.com</t>
  </si>
  <si>
    <t>91-7557571515</t>
  </si>
  <si>
    <t>SUSHANT SANJAY URANE</t>
  </si>
  <si>
    <t>sushant.urane@mitaoe.ac.in</t>
  </si>
  <si>
    <t>91-7378531279</t>
  </si>
  <si>
    <t>Tejal Milind Khandalkar</t>
  </si>
  <si>
    <t>tejalkhandalkar@gmail.com</t>
  </si>
  <si>
    <t>91-7757976752</t>
  </si>
  <si>
    <t>TEJASWINI BABAN GAIKWAD</t>
  </si>
  <si>
    <t>tejaswinig876@gmail.com</t>
  </si>
  <si>
    <t>91-7498077416</t>
  </si>
  <si>
    <t>TEJASWINI GANGADHARJI WADHAVE</t>
  </si>
  <si>
    <t>tejaswini.wadhave@mitaoe.ac.in</t>
  </si>
  <si>
    <t>91-9561525595</t>
  </si>
  <si>
    <t>VAIBHAV GORAKH GAIKWAD</t>
  </si>
  <si>
    <t>vaibhavgaikwad2525@gmail.com</t>
  </si>
  <si>
    <t>91-9970201315</t>
  </si>
  <si>
    <t>VAIBHAV SUDHAKAR INGLE</t>
  </si>
  <si>
    <t>vaibhav.ingle@mitaoe.ac.in</t>
  </si>
  <si>
    <t>91-9673870676</t>
  </si>
  <si>
    <t>VAIBHAV SUNIL TAMBARE</t>
  </si>
  <si>
    <t>tambarevaibhav017@gmail.com</t>
  </si>
  <si>
    <t>91-9373003819</t>
  </si>
  <si>
    <t>VINIT SHIVAJI SATALE</t>
  </si>
  <si>
    <t>vinit.satale@mitaoe.ac.in</t>
  </si>
  <si>
    <t>91-9619571730</t>
  </si>
  <si>
    <t>AAKASH PRAKASH RATHOD</t>
  </si>
  <si>
    <t>rathodaakash386@gmail.com</t>
  </si>
  <si>
    <t>91-7448069295</t>
  </si>
  <si>
    <t>ABDUL LATIF SALIM SAUDAGAR</t>
  </si>
  <si>
    <t>abdullatif.saudagar@mitaoe.ac.in</t>
  </si>
  <si>
    <t>91-7796092945</t>
  </si>
  <si>
    <t>AJINKYA BALASAHEB KAD</t>
  </si>
  <si>
    <t>ajinkyakad5688@gmail.com</t>
  </si>
  <si>
    <t>91-9373667780</t>
  </si>
  <si>
    <t>BURDE JATIN DHARMENDRA</t>
  </si>
  <si>
    <t>burde.jatin@gmail.com</t>
  </si>
  <si>
    <t>91-7057585511</t>
  </si>
  <si>
    <t>CHHATRE SUMIT NILKANTH</t>
  </si>
  <si>
    <t>sumit.chhatre@mitaoe.ac.in</t>
  </si>
  <si>
    <t>91-7709451169</t>
  </si>
  <si>
    <t>CHINMAY SANJAY KATRUWAR</t>
  </si>
  <si>
    <t>chinmay.katruwar@mitaoe.ac.in</t>
  </si>
  <si>
    <t>91-9834858288</t>
  </si>
  <si>
    <t>DIPAK NANA TAYADE</t>
  </si>
  <si>
    <t>dipak.tayade@mitaoe.ac.in</t>
  </si>
  <si>
    <t>91-9370592746</t>
  </si>
  <si>
    <t>Ganesh Dnyanoba Boyane</t>
  </si>
  <si>
    <t>ganeshboyane20@gmail.com</t>
  </si>
  <si>
    <t>91-7776079291</t>
  </si>
  <si>
    <t>HEMANT VILAS BHORE</t>
  </si>
  <si>
    <t>hemant.bhore@mitaoe.ac.in</t>
  </si>
  <si>
    <t>91-7219817453</t>
  </si>
  <si>
    <t>HYDER MANZOOR A</t>
  </si>
  <si>
    <t>haiderbhat05@gmail.com</t>
  </si>
  <si>
    <t>91-7006238755</t>
  </si>
  <si>
    <t>KESHRAJ RAJABHAU TONAGE</t>
  </si>
  <si>
    <t>keshrajtonge2001@gmail.com</t>
  </si>
  <si>
    <t>91-8788834120</t>
  </si>
  <si>
    <t>KHANDEKAR VARAD VIDYADHAR</t>
  </si>
  <si>
    <t>varadkhandekar123@gmail.com</t>
  </si>
  <si>
    <t>91-9130691522</t>
  </si>
  <si>
    <t>Komal Dinanath kakde</t>
  </si>
  <si>
    <t>komalkakde19@gmail.com</t>
  </si>
  <si>
    <t>91-8888617893</t>
  </si>
  <si>
    <t>MADHURA PANDURANG IRLAAPLLE</t>
  </si>
  <si>
    <t>madhurair01@gmail.com</t>
  </si>
  <si>
    <t>91-7757058007</t>
  </si>
  <si>
    <t>MANISH SURESH BHABAD</t>
  </si>
  <si>
    <t>manish.bhabad@mitaoe.ac.in</t>
  </si>
  <si>
    <t>91-9623259771</t>
  </si>
  <si>
    <t>MILIND ANJIRAM UJGARE</t>
  </si>
  <si>
    <t>milind.ujgare@mitaoe.ac.in</t>
  </si>
  <si>
    <t>91-9067746065</t>
  </si>
  <si>
    <t>NEHA SADHU KOLEKAR</t>
  </si>
  <si>
    <t>neha.kolekar@mitaoe.ac.in</t>
  </si>
  <si>
    <t>91-9860865730</t>
  </si>
  <si>
    <t>PANKAJ MACHCHINDRA YADAV</t>
  </si>
  <si>
    <t>pankaj.yadav@mitaoe.ac.in</t>
  </si>
  <si>
    <t>91-8830286167</t>
  </si>
  <si>
    <t>PAYAL BHAUSAHEB CHAUGULE</t>
  </si>
  <si>
    <t>chaugulepayal14@gmail.com</t>
  </si>
  <si>
    <t>91-8329341709</t>
  </si>
  <si>
    <t>PRATHAMESH KIRAN PATIL</t>
  </si>
  <si>
    <t>prathamesh.patil@mitaoe.ac.in</t>
  </si>
  <si>
    <t>91-8766516486</t>
  </si>
  <si>
    <t>Rutuja Sunil Ghule</t>
  </si>
  <si>
    <t>rutujaghule76@gmail.com</t>
  </si>
  <si>
    <t>91-9881600682</t>
  </si>
  <si>
    <t>Salman Kasim Shaikh</t>
  </si>
  <si>
    <t>shaikhsalmank18@gmail.com</t>
  </si>
  <si>
    <t>91-8080063178</t>
  </si>
  <si>
    <t>Sameer Sunil Maske</t>
  </si>
  <si>
    <t>sammaske303@gmail.com</t>
  </si>
  <si>
    <t>91-7028084601</t>
  </si>
  <si>
    <t>SANDIP SANJAY BUTEPWAD</t>
  </si>
  <si>
    <t>sandip.butepwad@mitaoe.ac.in</t>
  </si>
  <si>
    <t>91-9325689313</t>
  </si>
  <si>
    <t>SHAILESH MANOHAR BUDHARAM</t>
  </si>
  <si>
    <t>shailesh.budharam@mitaoe.ac.in</t>
  </si>
  <si>
    <t>91-9518915039</t>
  </si>
  <si>
    <t>Shweta Arun Jagtap</t>
  </si>
  <si>
    <t>shwetajagtap5848@gmail.com</t>
  </si>
  <si>
    <t>91-9892713484</t>
  </si>
  <si>
    <t>Shweta Popat Shinde</t>
  </si>
  <si>
    <t>shwetapshinde0330@gmail.com</t>
  </si>
  <si>
    <t>91-8698894565</t>
  </si>
  <si>
    <t>TIRUPATI JANARDHAN KHAPLE</t>
  </si>
  <si>
    <t>tirupatijk.a124@gmail.com</t>
  </si>
  <si>
    <t>91-7391918374</t>
  </si>
  <si>
    <t>TOUPHIK BABAN SHAIKH</t>
  </si>
  <si>
    <t>shaikhtouphik@gmail.com</t>
  </si>
  <si>
    <t>91-9960879432</t>
  </si>
  <si>
    <t>Umesh Pralhad Khillare</t>
  </si>
  <si>
    <t>umeshkhillare358ss@gmail.com</t>
  </si>
  <si>
    <t>91-9503109886</t>
  </si>
  <si>
    <t>WAGDARE SHUBHAM SANJAY</t>
  </si>
  <si>
    <t>shubhamwagdare1@gmail.com</t>
  </si>
  <si>
    <t>91-9309772410</t>
  </si>
  <si>
    <t>Yogesh Sanjay Shelar</t>
  </si>
  <si>
    <t>yogeshshelar93473@gmail.com</t>
  </si>
  <si>
    <t>91-9764763180</t>
  </si>
  <si>
    <t>Aarti Bhagwan Chaure</t>
  </si>
  <si>
    <t>aartichaure27@gmail.com</t>
  </si>
  <si>
    <t>91-7499172408</t>
  </si>
  <si>
    <t>E&amp;TC</t>
  </si>
  <si>
    <t>ABHISHEK RAJARAM SANDHAN</t>
  </si>
  <si>
    <t>abhisandhan201@gmail.com</t>
  </si>
  <si>
    <t>91-8766402676</t>
  </si>
  <si>
    <t>ABHISHEK UTTAMRAO MOROPE</t>
  </si>
  <si>
    <t>abhishekmorope@gmail.com</t>
  </si>
  <si>
    <t>91-8623942016</t>
  </si>
  <si>
    <t>Jaya Santosh Sonawane</t>
  </si>
  <si>
    <t>jayasonawane985@gmail.com</t>
  </si>
  <si>
    <t>91-8459257892</t>
  </si>
  <si>
    <t>PRACHI RAJENDRA SHINKAR</t>
  </si>
  <si>
    <t>prachishinkar12345@gmail.com</t>
  </si>
  <si>
    <t>91-9359017529</t>
  </si>
  <si>
    <t>RUTURAJ SUNIL JAVERI</t>
  </si>
  <si>
    <t>ruturaj.javeri@mitaoe.ac.in</t>
  </si>
  <si>
    <t>91-7385117052</t>
  </si>
  <si>
    <t>SAGAR SHASHIKANT BOKEFODE</t>
  </si>
  <si>
    <t>sagarbokefode007@gmail.com</t>
  </si>
  <si>
    <t>91-8975681938</t>
  </si>
  <si>
    <t>SAUMYA SUNIL BAND</t>
  </si>
  <si>
    <t>saumya.band@mitaoe.ac.in</t>
  </si>
  <si>
    <t>91-7264089301</t>
  </si>
  <si>
    <t>SAYALI PRAKASH PAWAR</t>
  </si>
  <si>
    <t>pawarsayali626@gmail.com</t>
  </si>
  <si>
    <t>91-8080012314</t>
  </si>
  <si>
    <t>SHAM MARKANDESHWAR THORAT</t>
  </si>
  <si>
    <t>shyamthorat2000@gmail.com</t>
  </si>
  <si>
    <t>91-9112125489</t>
  </si>
  <si>
    <t>SNEHANKITA MOHAN BANKAR</t>
  </si>
  <si>
    <t>snehankitabankar74@gmail.com</t>
  </si>
  <si>
    <t>91-9405852579</t>
  </si>
  <si>
    <t>SURAJ NAMDEV JAYBHAYE</t>
  </si>
  <si>
    <t>surajjaybhaye99@gmail.com</t>
  </si>
  <si>
    <t>91-8856868124</t>
  </si>
  <si>
    <t>URMILA TATYA CHAVAN</t>
  </si>
  <si>
    <t>urmila.chavan@mitaoe.ac.in</t>
  </si>
  <si>
    <t>91-8669002590</t>
  </si>
  <si>
    <t>VAIBHAV ANIL KALE</t>
  </si>
  <si>
    <t>vaibhavkale1608@gmail.com</t>
  </si>
  <si>
    <t>91-7559331002</t>
  </si>
  <si>
    <t>VAISHNAVI KISHOR MORE</t>
  </si>
  <si>
    <t>vaishnavi.more@mitaoe.ac.in</t>
  </si>
  <si>
    <t>91-9307160375</t>
  </si>
  <si>
    <t>VAISHNAVI LAXMAN LIMBHORE</t>
  </si>
  <si>
    <t>vaishnavilimbhore121@gmail.com</t>
  </si>
  <si>
    <t>91-9834666323</t>
  </si>
  <si>
    <t>VENKATESH MADHUKAR YANGANTI</t>
  </si>
  <si>
    <t>venkateshyanganti@gmail.com</t>
  </si>
  <si>
    <t>91-7620053307</t>
  </si>
  <si>
    <t>VISWJEET MOHAN MORE</t>
  </si>
  <si>
    <t>vishwajeetmore5596@gmail.com</t>
  </si>
  <si>
    <t>91-7738304953</t>
  </si>
  <si>
    <t>ABHISHEK NAGNATH KHANDAGLE</t>
  </si>
  <si>
    <t>abhishek.khandagale@mitaoe.ac.in</t>
  </si>
  <si>
    <t>91-8010102669</t>
  </si>
  <si>
    <t>ETX</t>
  </si>
  <si>
    <t>ANJALI GANGADHAR KANDHARE</t>
  </si>
  <si>
    <t>anjali.kandhare@mitaoe.ac.in</t>
  </si>
  <si>
    <t>91-7387934482</t>
  </si>
  <si>
    <t>AYUSH SUNIL JADHAO</t>
  </si>
  <si>
    <t>ayushsjadhao@gmail.com</t>
  </si>
  <si>
    <t>91-8483925246</t>
  </si>
  <si>
    <t>Dipak Gangadhar Kandhare</t>
  </si>
  <si>
    <t>dipak.kandhare@mitaoe.ac.in</t>
  </si>
  <si>
    <t>91-7387924482</t>
  </si>
  <si>
    <t>Mayuri Prashant Ambegawe</t>
  </si>
  <si>
    <t>mayuriambegawe@gmail.com</t>
  </si>
  <si>
    <t>91-9175856148</t>
  </si>
  <si>
    <t>Pallavi venkat Gundre</t>
  </si>
  <si>
    <t>pallavigundre17@gmail.com</t>
  </si>
  <si>
    <t>91-9284091616</t>
  </si>
  <si>
    <t>PIYUSH KAILAS GUNDE</t>
  </si>
  <si>
    <t>piyush.gunde@mitaoe.ac.in</t>
  </si>
  <si>
    <t>91-7773931137</t>
  </si>
  <si>
    <t>RHUSHIKESH ANANDA PARKHAD</t>
  </si>
  <si>
    <t>rhushikesh.parkhad@mitaoe.ac.in</t>
  </si>
  <si>
    <t>91-8830878364</t>
  </si>
  <si>
    <t>RUSHIKESH DATTARAJ KARANJKAR</t>
  </si>
  <si>
    <t>karanjkarrushikesh@icloud.com</t>
  </si>
  <si>
    <t>91-7620832721</t>
  </si>
  <si>
    <t>RUSHIKESH NAGESH BHAGWAT</t>
  </si>
  <si>
    <t>rushibhagwat23@gmail.com</t>
  </si>
  <si>
    <t>91-7218718758</t>
  </si>
  <si>
    <t>Rushikesh Yadunath Bhuyekar</t>
  </si>
  <si>
    <t>rybhuyekar@gmail.com</t>
  </si>
  <si>
    <t>91-9049099390</t>
  </si>
  <si>
    <t>Shivlila Ramesh Vishwakarma</t>
  </si>
  <si>
    <t>vishwakarmashivalila@gmail.com</t>
  </si>
  <si>
    <t>91-7499395112</t>
  </si>
  <si>
    <t>VANSH SUNIL GAIKWAD</t>
  </si>
  <si>
    <t>vansh.gaikwad@mitaoe.ac.in</t>
  </si>
  <si>
    <t>91-7030889683</t>
  </si>
  <si>
    <t>ABHIJEET ASHOK GANDHI</t>
  </si>
  <si>
    <t>abhijeetgandhi01@gmail.com</t>
  </si>
  <si>
    <t>91-7498120156</t>
  </si>
  <si>
    <t>AISHWARYA UMAKANT CHOUTHE</t>
  </si>
  <si>
    <t>aishwaryachouthe66@gmail.com</t>
  </si>
  <si>
    <t>91-9850085820</t>
  </si>
  <si>
    <t>ATHARVA ANAND JOSHI</t>
  </si>
  <si>
    <t>atharva.joshi@mitaoe.ac.in</t>
  </si>
  <si>
    <t>91-8329108177</t>
  </si>
  <si>
    <t>DETE NIRAJ SHAHAJI</t>
  </si>
  <si>
    <t>nirajdete73626@gmail.com</t>
  </si>
  <si>
    <t>91-9146725202</t>
  </si>
  <si>
    <t>KOMAL KISHOR PATIL</t>
  </si>
  <si>
    <t>komal.patil@mitaoe.ac.in</t>
  </si>
  <si>
    <t>91-9028123960</t>
  </si>
  <si>
    <t>KUNAL NANDKUMAR SHINDE</t>
  </si>
  <si>
    <t>kunalshinde066@gmail.com</t>
  </si>
  <si>
    <t>91-8793822046</t>
  </si>
  <si>
    <t>MAYURI RAMESH SATHE</t>
  </si>
  <si>
    <t>mayuri.sathe@mitaoe.ac.in</t>
  </si>
  <si>
    <t>91-7517056250</t>
  </si>
  <si>
    <t>PRAJYOTI MARUTI PATIL</t>
  </si>
  <si>
    <t>prajyoti.patil@mitaoe.ac.in</t>
  </si>
  <si>
    <t>91-7499665497</t>
  </si>
  <si>
    <t>Pranil Vinayak Ghatage</t>
  </si>
  <si>
    <t>ghatagepv2001@gmail.com</t>
  </si>
  <si>
    <t>91-9545508862</t>
  </si>
  <si>
    <t>SAMEER MANIK PATIL</t>
  </si>
  <si>
    <t>sameer.patil@mitaoe.ac.in</t>
  </si>
  <si>
    <t>91-8788414032</t>
  </si>
  <si>
    <t>Swaraj Pravinkumar Kurapati</t>
  </si>
  <si>
    <t>swarajkurapati919@gmail.com</t>
  </si>
  <si>
    <t>91-9284217830</t>
  </si>
  <si>
    <t>ADITYA VIVEK PATHAK</t>
  </si>
  <si>
    <t>pathak.aditya@mitaoe.ac.in</t>
  </si>
  <si>
    <t>91-8605708740</t>
  </si>
  <si>
    <t>MECH</t>
  </si>
  <si>
    <t>AKASH NAMDEO DAMDHAR</t>
  </si>
  <si>
    <t>akashdamdhar5@gmail.com</t>
  </si>
  <si>
    <t>91-9637235160</t>
  </si>
  <si>
    <t>AKASH RAMDAS VISHVE</t>
  </si>
  <si>
    <t>akash.vishve@mitaoe.ac.in</t>
  </si>
  <si>
    <t>91-9689938595</t>
  </si>
  <si>
    <t>AKASH VILAS SHAMBHARKAR</t>
  </si>
  <si>
    <t>akashshambharkar0158@gmail.com</t>
  </si>
  <si>
    <t>91-9890538427</t>
  </si>
  <si>
    <t>AKSHAY SOMNATH GITE</t>
  </si>
  <si>
    <t>akshay.gite@mitaoe.ac.in</t>
  </si>
  <si>
    <t>91-7030541640</t>
  </si>
  <si>
    <t>AMIN AKHTAR SAYYED</t>
  </si>
  <si>
    <t>amin.sayyed@mitaoe.ac.in</t>
  </si>
  <si>
    <t>91-8668403650</t>
  </si>
  <si>
    <t>AMOL BALU SONAWANE</t>
  </si>
  <si>
    <t>amiol.sonawane@mitaoe.ac.in</t>
  </si>
  <si>
    <t>91-8308881135</t>
  </si>
  <si>
    <t>ANIRUDHA SHAHAJI THORAT</t>
  </si>
  <si>
    <t>anirudha.thorat@mitaoe.ac.in</t>
  </si>
  <si>
    <t>91-9834957715</t>
  </si>
  <si>
    <t>ANKITA NAVNATH KHOSE</t>
  </si>
  <si>
    <t>ankita.khose@mitaoe.ac.in</t>
  </si>
  <si>
    <t>91-8975682327</t>
  </si>
  <si>
    <t>ANURAJ ANILRAO MARATHE</t>
  </si>
  <si>
    <t>anuraj.marathe@mitaoe.ac.in</t>
  </si>
  <si>
    <t>91-8010486141</t>
  </si>
  <si>
    <t>ARPITA KISAN FUNDE</t>
  </si>
  <si>
    <t>arpitafunde2002@gmail.com</t>
  </si>
  <si>
    <t>91-7038267906</t>
  </si>
  <si>
    <t>ASHISH MAHARUDRA BIRAJDAR</t>
  </si>
  <si>
    <t>ashish.birajdar@mitaoe.ac.in</t>
  </si>
  <si>
    <t>91-7507570056</t>
  </si>
  <si>
    <t>Ashlesha Sharad Suwase</t>
  </si>
  <si>
    <t>ashsuwase@gmail.com</t>
  </si>
  <si>
    <t>91-9765650923</t>
  </si>
  <si>
    <t>ASHUTOSH HARIDAS SHINDE</t>
  </si>
  <si>
    <t>ashutosh.shinde@mitaoe.ac.in</t>
  </si>
  <si>
    <t>91-9322484758</t>
  </si>
  <si>
    <t>Atharv Dilip Bedse</t>
  </si>
  <si>
    <t>atharvbedse@gmail.com</t>
  </si>
  <si>
    <t>91-9309857608</t>
  </si>
  <si>
    <t>Atharv Santosh Ambavale</t>
  </si>
  <si>
    <t>atharv.ambavale@mitaoe.ac.in</t>
  </si>
  <si>
    <t>91-9096602444</t>
  </si>
  <si>
    <t>DARSHAN HEMANT KUWAR</t>
  </si>
  <si>
    <t>kuwardarshan2001@gmail.com</t>
  </si>
  <si>
    <t>91-7264834176</t>
  </si>
  <si>
    <t>DIVYA RAVINDRA CHAUDHARI</t>
  </si>
  <si>
    <t>divya.chaudhari@mitaoe.ac.in</t>
  </si>
  <si>
    <t>91-9284270782</t>
  </si>
  <si>
    <t>KALYANI SUNIL SHIRODE</t>
  </si>
  <si>
    <t>kalyani.shirode@mitaoe.ac.in</t>
  </si>
  <si>
    <t>91-8421965715</t>
  </si>
  <si>
    <t>KESHAV BABURAO SHINDE</t>
  </si>
  <si>
    <t>keshvshinde393@gmail.com</t>
  </si>
  <si>
    <t>91-9130606952</t>
  </si>
  <si>
    <t>krantisinha Bharat Jagtap</t>
  </si>
  <si>
    <t>krantisinhajagtap@gmail.com</t>
  </si>
  <si>
    <t>91-7083846707</t>
  </si>
  <si>
    <t>KUNAL RAMLAL CHAUDHARI</t>
  </si>
  <si>
    <t>kunal.chaudhari@mitaoe.ac.in</t>
  </si>
  <si>
    <t>91-9076327633</t>
  </si>
  <si>
    <t>KUNAL SUNIL ATTARDE</t>
  </si>
  <si>
    <t>kunalattarde43@gmail.com</t>
  </si>
  <si>
    <t>91-8657010114</t>
  </si>
  <si>
    <t>MACHINDRANATH BABASAHEB BOTHE</t>
  </si>
  <si>
    <t>machindrabothe01@gmail.com</t>
  </si>
  <si>
    <t>91-8847799830</t>
  </si>
  <si>
    <t>Mahesh Sunil Shindge</t>
  </si>
  <si>
    <t>maheshshindge2151@gmail.com</t>
  </si>
  <si>
    <t>91-8999657163</t>
  </si>
  <si>
    <t>MANAL YUVRAJ KAMBLE</t>
  </si>
  <si>
    <t>manal.kamble@mitaoe.ac.in</t>
  </si>
  <si>
    <t>91-9765447740</t>
  </si>
  <si>
    <t>MANAV RAMAKANT TAK</t>
  </si>
  <si>
    <t>manavtak222@gmail.com</t>
  </si>
  <si>
    <t>91-9284115335</t>
  </si>
  <si>
    <t>MANGESH KUWARLAL BISEN</t>
  </si>
  <si>
    <t>mangesh.bisen@mitaoe.ac.in</t>
  </si>
  <si>
    <t>91-9168112438</t>
  </si>
  <si>
    <t>MANIKUMAR ARJUN CHAVHAN</t>
  </si>
  <si>
    <t>manikumar.chavhan@mitaoe.ac.in</t>
  </si>
  <si>
    <t>91-9764505700</t>
  </si>
  <si>
    <t>MANOJ RAJKUMAR SHINDE</t>
  </si>
  <si>
    <t>manoj.shinde@mitaoe.ac.in</t>
  </si>
  <si>
    <t>91-7219102072</t>
  </si>
  <si>
    <t>MAYUR BHAGWANTRAO  SARODE</t>
  </si>
  <si>
    <t>mayur.sarode@mitaoe.ac.in</t>
  </si>
  <si>
    <t>91-9545666546</t>
  </si>
  <si>
    <t>MIHIR RAHUL MULAY</t>
  </si>
  <si>
    <t>mihir.mulay@mitaoe.ac.in</t>
  </si>
  <si>
    <t>91-9082412740</t>
  </si>
  <si>
    <t>Mohit Hitesh Thakkar</t>
  </si>
  <si>
    <t>mohitthakkar1999@gmail.com</t>
  </si>
  <si>
    <t>91-7372973492</t>
  </si>
  <si>
    <t>Mohit Premsing Jadhav</t>
  </si>
  <si>
    <t>mohitjadhav2002@gmail.com</t>
  </si>
  <si>
    <t>91-9503190964</t>
  </si>
  <si>
    <t>NIMESH DASHRATH ZANJE</t>
  </si>
  <si>
    <t>nimesh.zanje@mitaoe.ac.in</t>
  </si>
  <si>
    <t>91-7350105644</t>
  </si>
  <si>
    <t>NIRANJAN MILIND WAGH</t>
  </si>
  <si>
    <t>niranjanwagh2001@gmail.com</t>
  </si>
  <si>
    <t>91-9021973683</t>
  </si>
  <si>
    <t>NISHAD MUKESHRAO DUDHE</t>
  </si>
  <si>
    <t>nishaddudhe22@gmail.com</t>
  </si>
  <si>
    <t>91-9834010553</t>
  </si>
  <si>
    <t>OMKAR RAJESH GATLEWAR</t>
  </si>
  <si>
    <t>omkar.gatlewar@mitaoe.ac.in</t>
  </si>
  <si>
    <t>91-8600277452</t>
  </si>
  <si>
    <t>ONKAR JALINDAR KALE</t>
  </si>
  <si>
    <t>onkar.kale@mitaoe.ac.in</t>
  </si>
  <si>
    <t>91-8767650369</t>
  </si>
  <si>
    <t>PARISH SANTOSH WANKHEDE</t>
  </si>
  <si>
    <t>pwankhede1111@gmail.com</t>
  </si>
  <si>
    <t>91-9404331043</t>
  </si>
  <si>
    <t>PAYAL PRABHAKAR BHATKAR</t>
  </si>
  <si>
    <t>payal.bhatkar@mitaoe.ac.in</t>
  </si>
  <si>
    <t>91-9730725468</t>
  </si>
  <si>
    <t>POOJA CHANDRAKANT DHARM</t>
  </si>
  <si>
    <t>dharmpooja531@gmail.com</t>
  </si>
  <si>
    <t>91-8329324325</t>
  </si>
  <si>
    <t>POOJA DATTATRAY GIRI</t>
  </si>
  <si>
    <t>pujagiri1711@gmail.com</t>
  </si>
  <si>
    <t>91-7559478272</t>
  </si>
  <si>
    <t>POOJA GAJANAN KHENTE</t>
  </si>
  <si>
    <t>pooja.khente@mitaoe.ac.in</t>
  </si>
  <si>
    <t>91-8888934155</t>
  </si>
  <si>
    <t>PRAJWAL PRADEEP AGARWAL</t>
  </si>
  <si>
    <t>prajwalagarwaln07@gmail.com</t>
  </si>
  <si>
    <t>91-9834936882</t>
  </si>
  <si>
    <t>PRAMODINI SANGAMESHWAR PATIL</t>
  </si>
  <si>
    <t>pramodini.patil@mitaoe.ac.in</t>
  </si>
  <si>
    <t>91-7057097944</t>
  </si>
  <si>
    <t>PRANAV SURENDRA MALASANE</t>
  </si>
  <si>
    <t>pranav.malasane@mitaoe.ac.in</t>
  </si>
  <si>
    <t>91-7875681325</t>
  </si>
  <si>
    <t>PRANIT RAJENDRA MAGDUM</t>
  </si>
  <si>
    <t>pranit.magdum@mitaoe.ac.in</t>
  </si>
  <si>
    <t>91-9767327692</t>
  </si>
  <si>
    <t>PRASAD KAILAS WAKCHAURE</t>
  </si>
  <si>
    <t>prasad.wakchaure@mitaoe.ac.in</t>
  </si>
  <si>
    <t>91-8550984066</t>
  </si>
  <si>
    <t>PRATHAMESH SUNIL DHAMNIKAR</t>
  </si>
  <si>
    <t>pdhamnikar@gmail.com</t>
  </si>
  <si>
    <t>91-9518379705</t>
  </si>
  <si>
    <t>Pratima Vinod Hatkar</t>
  </si>
  <si>
    <t>hatkarpratima9689@gmail.com</t>
  </si>
  <si>
    <t>91-9689515461</t>
  </si>
  <si>
    <t>Pravin Chandu Chavan</t>
  </si>
  <si>
    <t>pravinchavan2052001@gmail.com</t>
  </si>
  <si>
    <t>91-8317276357</t>
  </si>
  <si>
    <t>PRITAM RAJENDRA JADHAV</t>
  </si>
  <si>
    <t>pritam.jadhav@mitaoe.ac.in</t>
  </si>
  <si>
    <t>91-7218333953</t>
  </si>
  <si>
    <t>Raj Sunil Dhole</t>
  </si>
  <si>
    <t>rajdhole8@gmail.com</t>
  </si>
  <si>
    <t>91-7058996464</t>
  </si>
  <si>
    <t>Rajeshwari Chandrashekhar Shinde</t>
  </si>
  <si>
    <t>rajeshwari.shinde@mitaoe.ac.in</t>
  </si>
  <si>
    <t>91-9130329068</t>
  </si>
  <si>
    <t>RAJU GOVIND KADAM</t>
  </si>
  <si>
    <t>kadamraju803@gmail.com</t>
  </si>
  <si>
    <t>91-9370716248</t>
  </si>
  <si>
    <t>RAM MADHAV NAGHORE</t>
  </si>
  <si>
    <t>ramnaghore555@gmail.com</t>
  </si>
  <si>
    <t>91-7666445729</t>
  </si>
  <si>
    <t>RITUL PUNDALIK CHIRDE</t>
  </si>
  <si>
    <t>ritul.chirde@mitaoe.ac.in</t>
  </si>
  <si>
    <t>91-9920907322</t>
  </si>
  <si>
    <t>ROHAN SHANTARAM PATIL</t>
  </si>
  <si>
    <t>rohan.patil@mitaoe.ac.in</t>
  </si>
  <si>
    <t>91-9518335912</t>
  </si>
  <si>
    <t>ROHIT SUHAS FULZELE</t>
  </si>
  <si>
    <t>rohit.fulzele@mitaoe.ac.in</t>
  </si>
  <si>
    <t>91-7709301036</t>
  </si>
  <si>
    <t>ROSHANI PANSHARINATH RAIPURE</t>
  </si>
  <si>
    <t>roshani.raipure@mitaoe.ac.in</t>
  </si>
  <si>
    <t>91-8551940384</t>
  </si>
  <si>
    <t>RUGVED PRAKASH NAIGAONKAR</t>
  </si>
  <si>
    <t>rugvednaigaonkar23@gmail.com</t>
  </si>
  <si>
    <t>91-9112723981</t>
  </si>
  <si>
    <t>RUSHIKESH DATTATRAY MUNDHE</t>
  </si>
  <si>
    <t>rushikesh.mundhe@mitaoe.ac.in</t>
  </si>
  <si>
    <t>91-9623698962</t>
  </si>
  <si>
    <t>RUTUJA ASHOK TARKASE</t>
  </si>
  <si>
    <t>rutujatarkase149@gmail.com</t>
  </si>
  <si>
    <t>91-9822978352</t>
  </si>
  <si>
    <t>SAINATH UTTAM AYEWAR</t>
  </si>
  <si>
    <t>sainath.ayewar@mitaoe.ac.in</t>
  </si>
  <si>
    <t>91-9172308130</t>
  </si>
  <si>
    <t>SALMAN SIKANDAR TAMBOLI</t>
  </si>
  <si>
    <t>salmantamboli2911@gmail.com</t>
  </si>
  <si>
    <t>91-9112428804</t>
  </si>
  <si>
    <t>SANDEEP ARVIND KULKARNI</t>
  </si>
  <si>
    <t>sandeep.kulkarni@mitaoe.ac.in</t>
  </si>
  <si>
    <t>91-8149894280</t>
  </si>
  <si>
    <t>SANDIP PARMESHVAR DHUMAL</t>
  </si>
  <si>
    <t>sandipdhumal521@gmail.com</t>
  </si>
  <si>
    <t>91-9834516703</t>
  </si>
  <si>
    <t>SARANG ANIL RAMPELLIWAR</t>
  </si>
  <si>
    <t>sarang.rampelliwar@mitaoe.ac.in</t>
  </si>
  <si>
    <t>91-9130968522</t>
  </si>
  <si>
    <t>SATYAM RAJENDRA KHAIRE</t>
  </si>
  <si>
    <t>satyamkhaire2@gmail.com</t>
  </si>
  <si>
    <t>91-9834094230</t>
  </si>
  <si>
    <t>SAURABH SHRIRAM GUNTURKAR</t>
  </si>
  <si>
    <t>saurabh.gunturkar@mitaoe.ac.in</t>
  </si>
  <si>
    <t>91-7756079565</t>
  </si>
  <si>
    <t>Shaikh Siraj  Ujalesab</t>
  </si>
  <si>
    <t>shaikhsiraj8292@gmail.com</t>
  </si>
  <si>
    <t>91-9503505642</t>
  </si>
  <si>
    <t>SHANKAR GANPAT KARHALE</t>
  </si>
  <si>
    <t>shankar.karhale@mitaoe.ac.in</t>
  </si>
  <si>
    <t>91-8600097104</t>
  </si>
  <si>
    <t>SHANTANU DHANANJAY PATIL</t>
  </si>
  <si>
    <t>shantanup775@gmail.com</t>
  </si>
  <si>
    <t>91-8411917370</t>
  </si>
  <si>
    <t>SHIVAM DILIPRAO MANDAVGADE</t>
  </si>
  <si>
    <t>shivammandavgade@gmail.com</t>
  </si>
  <si>
    <t>91-7219479933</t>
  </si>
  <si>
    <t>SHRADHA RAMRAO RATHOD</t>
  </si>
  <si>
    <t>shradha.rathod@mitaoea.ac.in</t>
  </si>
  <si>
    <t>91-9579764223</t>
  </si>
  <si>
    <t>SHRIRAM VITTHAL LAHOR</t>
  </si>
  <si>
    <t>shriram.lahor@mitaoe.ac.in</t>
  </si>
  <si>
    <t>91-9766384766</t>
  </si>
  <si>
    <t>SHUBHAM AABA SONAWANE</t>
  </si>
  <si>
    <t>shubhamsonawane747@gmail.com</t>
  </si>
  <si>
    <t>91-8552060355</t>
  </si>
  <si>
    <t>SHUBHAM ACHALKUMAR MALKUNJIKAR</t>
  </si>
  <si>
    <t>shubham.malkunjikar@mitaoe.ac.in</t>
  </si>
  <si>
    <t>91-7972845448</t>
  </si>
  <si>
    <t>SHUBHAM DHARMRAJ CHOUGULE</t>
  </si>
  <si>
    <t>shubham.chougule@mitaoe.ac.in</t>
  </si>
  <si>
    <t>91-8007942338</t>
  </si>
  <si>
    <t>SHUBHAM DNYANESHWAR URMODE</t>
  </si>
  <si>
    <t>shubham.urmode@mitaoe.ac.in</t>
  </si>
  <si>
    <t>91-8669552564</t>
  </si>
  <si>
    <t>SHUBHAM PRAVIN MAHAJAN</t>
  </si>
  <si>
    <t>shubhammahajan762001@gmail.com</t>
  </si>
  <si>
    <t>91-9511953947</t>
  </si>
  <si>
    <t>Shubham Vijay Shikhare</t>
  </si>
  <si>
    <t>shubham.shikhare@mitaoe.ac.in</t>
  </si>
  <si>
    <t>91-8779626259</t>
  </si>
  <si>
    <t>SUDNYAN DHULAPPA WALE</t>
  </si>
  <si>
    <t>sudnyan.wale@mitaoe.ac.in</t>
  </si>
  <si>
    <t>91-7218469811</t>
  </si>
  <si>
    <t>SUMEDH KISHOR SHELKE</t>
  </si>
  <si>
    <t>sumedh.shelke@mitaoe.ac.in</t>
  </si>
  <si>
    <t>91-7773944574</t>
  </si>
  <si>
    <t>SUSHANT BALASAHEB INGAWALE</t>
  </si>
  <si>
    <t>sushant.ingawale@mitaoe.ac.in</t>
  </si>
  <si>
    <t>91-8484832727</t>
  </si>
  <si>
    <t>Tanuja Padmakar Himparge</t>
  </si>
  <si>
    <t>himpargetanuja@gmail.com</t>
  </si>
  <si>
    <t>91-8788559822</t>
  </si>
  <si>
    <t>Trupti Dattatrya Barkade</t>
  </si>
  <si>
    <t>trupti.barkade@mitaoe.ac.in</t>
  </si>
  <si>
    <t>91-8530203498</t>
  </si>
  <si>
    <t>UTKARSH PURUSHOTTAM SURYAWANSHI</t>
  </si>
  <si>
    <t>utkarshpsuryawanshi@gmail.com</t>
  </si>
  <si>
    <t>91-7057961585</t>
  </si>
  <si>
    <t>Vaishnavi Vijay Gudaghe</t>
  </si>
  <si>
    <t>vaishnavi.gudaghe@mitaoe.ac.in</t>
  </si>
  <si>
    <t>91-9970784787</t>
  </si>
  <si>
    <t>VARAD NANDKISHOR MADHAVI</t>
  </si>
  <si>
    <t>varad.madhavi@gmail.com</t>
  </si>
  <si>
    <t>91-7420033492</t>
  </si>
  <si>
    <t>VIKRANT DILIP NARAD</t>
  </si>
  <si>
    <t>naradvikrant@gmail.com</t>
  </si>
  <si>
    <t>91-7400248161</t>
  </si>
  <si>
    <t>Vishal Tanaji Gaikwad</t>
  </si>
  <si>
    <t>vishalgaikwad46797@gmail.com</t>
  </si>
  <si>
    <t>91-9834323808</t>
  </si>
  <si>
    <t>Vishnu Kisan Patil</t>
  </si>
  <si>
    <t>patilvishnu2001@gmail.com</t>
  </si>
  <si>
    <t>91-9284039401</t>
  </si>
  <si>
    <t>VYANKATESH RAJKUMAR MANKAR</t>
  </si>
  <si>
    <t>vyankateshmankar@gmail.com</t>
  </si>
  <si>
    <t>91-9403915499</t>
  </si>
  <si>
    <t>VYAVHARE NILESH BALAJI</t>
  </si>
  <si>
    <t>vyavharenil@gmail.com</t>
  </si>
  <si>
    <t>91-7507403009</t>
  </si>
  <si>
    <t>WAGH KETAN RAMDAS</t>
  </si>
  <si>
    <t>ketna.wagh@mitaoe.ac.in</t>
  </si>
  <si>
    <t>91-9730304952</t>
  </si>
  <si>
    <t>YASH RAJENDRA SUJGURE</t>
  </si>
  <si>
    <t>sujgureyash@hotmail.com</t>
  </si>
  <si>
    <t>91-7720816899</t>
  </si>
  <si>
    <t>Abhijeet Rajendra  Kadoo</t>
  </si>
  <si>
    <t>arkadoo@mitaoe.ac.in</t>
  </si>
  <si>
    <t>91-9049181342</t>
  </si>
  <si>
    <t>ABHINAV  SINGH</t>
  </si>
  <si>
    <t>amsingh@mitaoe.ac.in</t>
  </si>
  <si>
    <t>91-7767008681</t>
  </si>
  <si>
    <t>ABHISHEK  MISHRA</t>
  </si>
  <si>
    <t>asmishra@mitaoe.ac.in</t>
  </si>
  <si>
    <t>91-9082438101</t>
  </si>
  <si>
    <t>ADITYA  RAJ</t>
  </si>
  <si>
    <t>adityaraj@mitaoe.ac.in</t>
  </si>
  <si>
    <t>91-6203924049</t>
  </si>
  <si>
    <t>ADWAIT NILESH  THANGAN</t>
  </si>
  <si>
    <t>anthangan@mitaoe.ac.in</t>
  </si>
  <si>
    <t>91-9860292314</t>
  </si>
  <si>
    <t>AGARKAR SANCHIT  SHASHANK</t>
  </si>
  <si>
    <t>ssagarkar@mitaoe.ac.in</t>
  </si>
  <si>
    <t>91-7218792147</t>
  </si>
  <si>
    <t>AGARWAL HARSH  MANOJ</t>
  </si>
  <si>
    <t>hmagarwal@mitaoe.ac.in</t>
  </si>
  <si>
    <t>91-7410047699</t>
  </si>
  <si>
    <t>AHIRRAO KAUSTUBH  ANIL</t>
  </si>
  <si>
    <t>kaahirrao@mitaoe.ac.in</t>
  </si>
  <si>
    <t>91-7507202669</t>
  </si>
  <si>
    <t>AKARSH  SHARAT</t>
  </si>
  <si>
    <t>asharat@mitaoe.ac.in</t>
  </si>
  <si>
    <t>91-9440899535</t>
  </si>
  <si>
    <t>AMIT  ANAND</t>
  </si>
  <si>
    <t>amitanand@mitaoe.ac.in</t>
  </si>
  <si>
    <t>91-7782801323</t>
  </si>
  <si>
    <t>AMOL RAJIV  GOTH</t>
  </si>
  <si>
    <t>argothi@mitaoe.ac.in</t>
  </si>
  <si>
    <t>91-9405128751</t>
  </si>
  <si>
    <t>Aniket</t>
  </si>
  <si>
    <t>aniketsingh@mitaoe.ac.in</t>
  </si>
  <si>
    <t>91-9546407824</t>
  </si>
  <si>
    <t>ARADWAD ANIKET  KISHOR</t>
  </si>
  <si>
    <t>akaradwad@mitaoe.ac.in</t>
  </si>
  <si>
    <t>91-9284154828</t>
  </si>
  <si>
    <t>ATHANI AKASH  SURESH</t>
  </si>
  <si>
    <t>athani@mitaoe.ac.in</t>
  </si>
  <si>
    <t>91-9606790229</t>
  </si>
  <si>
    <t>AUNDKAR GAURAV  SHIVAJI</t>
  </si>
  <si>
    <t>gsaundkar@mitaoe.ac.in</t>
  </si>
  <si>
    <t>91-7743843017</t>
  </si>
  <si>
    <t>AURADE NILESH  SAHEBRAO</t>
  </si>
  <si>
    <t>nsaurade@mitaoe.ac.in</t>
  </si>
  <si>
    <t>91-8888134855</t>
  </si>
  <si>
    <t>AYUSH  CHOUDHARY</t>
  </si>
  <si>
    <t>achoudhary@mitaoe.ac.in</t>
  </si>
  <si>
    <t>91-9119108584</t>
  </si>
  <si>
    <t>BABHULKAR SHARDUL  NITIN</t>
  </si>
  <si>
    <t>snbabhulkar@mitaoe.ac.in</t>
  </si>
  <si>
    <t>91-7620559885</t>
  </si>
  <si>
    <t>BALRAJE CHETAN  SATISH</t>
  </si>
  <si>
    <t>csbalraje@mitaoe.ac.in</t>
  </si>
  <si>
    <t>91-7972630853</t>
  </si>
  <si>
    <t>BARGE ANUJA  TRILOK</t>
  </si>
  <si>
    <t>atbarge@mitaoe.ac.in</t>
  </si>
  <si>
    <t>91-8169198194</t>
  </si>
  <si>
    <t>BARGE HARSHWARDHAN  VIJAY</t>
  </si>
  <si>
    <t>hvbarge@mitaoe.ac.in</t>
  </si>
  <si>
    <t>91-9075341243</t>
  </si>
  <si>
    <t>BAWKAR RUSHIKESH  KISHOR</t>
  </si>
  <si>
    <t>rkbawkar@mitaoe.ac.in</t>
  </si>
  <si>
    <t>91-7620356067</t>
  </si>
  <si>
    <t>BEDMUTHA MEET  GAUTAM</t>
  </si>
  <si>
    <t>mgbedmutha@mitaoe.ac.in</t>
  </si>
  <si>
    <t>91-8669343286</t>
  </si>
  <si>
    <t>BHAGWAT VAISHNAVI  GANESH</t>
  </si>
  <si>
    <t>vgbhagwat@mitaoe.ac.in</t>
  </si>
  <si>
    <t>91-7720850550</t>
  </si>
  <si>
    <t>BHANGALE LOKESH  DHANRAJ</t>
  </si>
  <si>
    <t>ldbhangale@mitaoe.ac.in</t>
  </si>
  <si>
    <t>91-9158920423</t>
  </si>
  <si>
    <t>BHINGARE AKASH  VINAYAK</t>
  </si>
  <si>
    <t>AVBHIGARE@mitaoe.ac.in</t>
  </si>
  <si>
    <t>91-7588761113</t>
  </si>
  <si>
    <t>BHOSLE AKSHATA  NURSHIMHASARASWATI</t>
  </si>
  <si>
    <t>anbhosle@mitaoe.ac.in</t>
  </si>
  <si>
    <t>91-9922728441</t>
  </si>
  <si>
    <t>BHUTADA SAHIL  JAGDISH</t>
  </si>
  <si>
    <t>sjbhutada@mitaoe.ac.in</t>
  </si>
  <si>
    <t>91-7775885228</t>
  </si>
  <si>
    <t>CHANDAN  YADAV</t>
  </si>
  <si>
    <t>cjyadav@mitaoe.ac.in</t>
  </si>
  <si>
    <t>91-9552710616</t>
  </si>
  <si>
    <t>CHANDERE GOKUL  PARASHARAM</t>
  </si>
  <si>
    <t>gpchandere@mitaoe.ac.in</t>
  </si>
  <si>
    <t>91-9158193094</t>
  </si>
  <si>
    <t>CHAUBE YASH  DINESH</t>
  </si>
  <si>
    <t>ydchaube@mitaoe.ac.in</t>
  </si>
  <si>
    <t>91-8828173916</t>
  </si>
  <si>
    <t>CHAVAN ASHWINI  NILESH</t>
  </si>
  <si>
    <t>anchavan@mitaoe.ac.in</t>
  </si>
  <si>
    <t>91-8329231480</t>
  </si>
  <si>
    <t>CHOUDHARY AVINASH  MEGHARAJ</t>
  </si>
  <si>
    <t>amchoudhary@mitaoe.ac.in</t>
  </si>
  <si>
    <t>91-7743985532</t>
  </si>
  <si>
    <t>DAMBHARE TUSHAR  RAJU</t>
  </si>
  <si>
    <t>trdambhare@mitaoe.ac.in</t>
  </si>
  <si>
    <t>91-8208711960</t>
  </si>
  <si>
    <t>DANI DEVASHISH  ARVIND</t>
  </si>
  <si>
    <t>dadani@mitaoe.ac.in</t>
  </si>
  <si>
    <t>91-8983451534</t>
  </si>
  <si>
    <t>DARWHEKAR KSHITIJ  VITTHAL</t>
  </si>
  <si>
    <t>kvdarwhekar@mitaoe.ac.in</t>
  </si>
  <si>
    <t>91-7709177583</t>
  </si>
  <si>
    <t>DEEKSHA  TOMAR</t>
  </si>
  <si>
    <t>deekshasinghtomar@mitaoe.ac.in</t>
  </si>
  <si>
    <t>91-7999869140</t>
  </si>
  <si>
    <t>DEEP  RAJ</t>
  </si>
  <si>
    <t>dpraj@mitaoe.ac.in</t>
  </si>
  <si>
    <t>91-7488259671</t>
  </si>
  <si>
    <t>DESHMUKH SHRIKANT  SADASHIV</t>
  </si>
  <si>
    <t>deshmukhss@mitaoe.ac.in</t>
  </si>
  <si>
    <t>91-8806369134</t>
  </si>
  <si>
    <t>DESHMUKH VAISHNAVI  SURESH</t>
  </si>
  <si>
    <t>vsdeshmukh@mitaoe.ac.in</t>
  </si>
  <si>
    <t>91-9588407826</t>
  </si>
  <si>
    <t>DESHPANDE ADITI  VINOD</t>
  </si>
  <si>
    <t>avdeshpande@mitaoe.ac.in</t>
  </si>
  <si>
    <t>91-9834345814</t>
  </si>
  <si>
    <t>DESHPANDE MANASI  PRASHANT</t>
  </si>
  <si>
    <t>mpdeshpande@mitaoe.ac.in</t>
  </si>
  <si>
    <t>91-8208092488</t>
  </si>
  <si>
    <t>DESHPANDE PALLAVI  PRAFULLA</t>
  </si>
  <si>
    <t>ppdeshpande@mitaoe.ac.in</t>
  </si>
  <si>
    <t>91-8149233750</t>
  </si>
  <si>
    <t>DHOTE ANIKET  RAVINDRA</t>
  </si>
  <si>
    <t>ardhote@mitaoe.ac.in</t>
  </si>
  <si>
    <t>91-7066590158</t>
  </si>
  <si>
    <t>DIWATE SHRUTI  MANISH</t>
  </si>
  <si>
    <t>smdiwate@mitaoe.ac.in</t>
  </si>
  <si>
    <t>91-7620275799</t>
  </si>
  <si>
    <t>EKNATHE SHRIHARI  SUNIL</t>
  </si>
  <si>
    <t>sseknathe@mitaoe.ac.in</t>
  </si>
  <si>
    <t>91-9834250862</t>
  </si>
  <si>
    <t>FARTADE KIRAN  SURESH</t>
  </si>
  <si>
    <t>ksfartade@mitaoe.ac.in</t>
  </si>
  <si>
    <t>91-7666730290</t>
  </si>
  <si>
    <t>GAIDHANE TRIVENI  SURESH</t>
  </si>
  <si>
    <t>tsgaidhane@mitaoe.ac.in</t>
  </si>
  <si>
    <t>91-8411052030</t>
  </si>
  <si>
    <t>GHODKE SANKALP  VIJAY</t>
  </si>
  <si>
    <t>svghodke@mitaoe.ac.in</t>
  </si>
  <si>
    <t>91-9421382649</t>
  </si>
  <si>
    <t>GHOGARE SURABHI  MILIND</t>
  </si>
  <si>
    <t>smghogare@mitaoe.ac.in</t>
  </si>
  <si>
    <t>91-8412937777</t>
  </si>
  <si>
    <t>GHULE YASHODHAN  SHRIKANT</t>
  </si>
  <si>
    <t>ysghule@mitaoe.ac.in</t>
  </si>
  <si>
    <t>91-7378708343</t>
  </si>
  <si>
    <t>GONDANE ABHAY  VIJAY</t>
  </si>
  <si>
    <t>avgondane@mitaoe.ac.in</t>
  </si>
  <si>
    <t>91-9503110590</t>
  </si>
  <si>
    <t>GORE SWAPNIL  KRISHNA</t>
  </si>
  <si>
    <t>skgore@mitaoe.ac.in</t>
  </si>
  <si>
    <t>91-8380967204</t>
  </si>
  <si>
    <t>HARAL ANAGHA  PRABHAKAR</t>
  </si>
  <si>
    <t>apharal@mitaoe.ac.in</t>
  </si>
  <si>
    <t>91-9834465928</t>
  </si>
  <si>
    <t>HARSH  SHARMA</t>
  </si>
  <si>
    <t>harshsharma@mitaoe.ac.in</t>
  </si>
  <si>
    <t>91-8793059881</t>
  </si>
  <si>
    <t>HULE PRASAD  KISHOR</t>
  </si>
  <si>
    <t>pkhule@mitaoe.ac.in</t>
  </si>
  <si>
    <t>91-8149232732</t>
  </si>
  <si>
    <t>INGOLE VIVEK  SANTOSH</t>
  </si>
  <si>
    <t>vsingole@mitaoe.ac.in</t>
  </si>
  <si>
    <t>91-9359725466</t>
  </si>
  <si>
    <t>JADHAV SHREYANSH  SANDEEP</t>
  </si>
  <si>
    <t>jadhavss@mitaoe.ac.in</t>
  </si>
  <si>
    <t>91-9075017971</t>
  </si>
  <si>
    <t>JADHAV VIRAJ  RAVINDRA</t>
  </si>
  <si>
    <t>vrjadhav@mitaoe.ac.in</t>
  </si>
  <si>
    <t>91-9421117036</t>
  </si>
  <si>
    <t>JAGADALE OMKAR  SHIVAJI</t>
  </si>
  <si>
    <t>osjagadale@mitaoe.ac.in</t>
  </si>
  <si>
    <t>91-9518794785</t>
  </si>
  <si>
    <t>KALE PRATIK  RAJENDRA</t>
  </si>
  <si>
    <t>prkale@mitaoe.ac.in</t>
  </si>
  <si>
    <t>91-9307585107</t>
  </si>
  <si>
    <t>KALSE ASAVARI  NANASAHEB</t>
  </si>
  <si>
    <t>ankalse@mitaoe.ac.in</t>
  </si>
  <si>
    <t>91-7498243543</t>
  </si>
  <si>
    <t>KAPASE AKSHAY  BAJIRAO</t>
  </si>
  <si>
    <t>abkapse@mitaoe.ac.in</t>
  </si>
  <si>
    <t>91-9890921333</t>
  </si>
  <si>
    <t>KHANDAGALE NIRANJAN  BALAJI</t>
  </si>
  <si>
    <t>nbkhandagale@mitaoe.ac.in</t>
  </si>
  <si>
    <t>91-9325821092</t>
  </si>
  <si>
    <t>KHANDAIT TEJAS  ANIL</t>
  </si>
  <si>
    <t>takhandait@mitaoe.ac.in</t>
  </si>
  <si>
    <t>91-8806699815</t>
  </si>
  <si>
    <t>KHARADE YASHRAJ  PRAMOD</t>
  </si>
  <si>
    <t>ypkharade@mitaoe.ac.in</t>
  </si>
  <si>
    <t>91-9922986971</t>
  </si>
  <si>
    <t>KOKATE RUTUJA  MARUTI</t>
  </si>
  <si>
    <t>rmkokate@mitaoe.ac.in</t>
  </si>
  <si>
    <t>91-9511951231</t>
  </si>
  <si>
    <t>KOLAWALE SAMIR  DHARMARAJ</t>
  </si>
  <si>
    <t>sdkolawale@mitaoe.ac.in</t>
  </si>
  <si>
    <t>91-9146915830</t>
  </si>
  <si>
    <t>KRISHNAKANT  KUMAR</t>
  </si>
  <si>
    <t>kskumar@mitaoe.ac.in</t>
  </si>
  <si>
    <t>91-7091359802</t>
  </si>
  <si>
    <t>KSHITIJ  BANGDE</t>
  </si>
  <si>
    <t>kvbangde@mitaoe.ac.in</t>
  </si>
  <si>
    <t>91-9373196060</t>
  </si>
  <si>
    <t>KULKARNI ONKAR  UMAKANT</t>
  </si>
  <si>
    <t>oukulkarni@mitaoe.ac.in</t>
  </si>
  <si>
    <t>91-7507186106</t>
  </si>
  <si>
    <t>KUTWAL NISARG  SHAHAJI</t>
  </si>
  <si>
    <t>nskutwal@mitaoe.ac.in</t>
  </si>
  <si>
    <t>91-9545097628</t>
  </si>
  <si>
    <t>MADHURENDRA  KUMAR</t>
  </si>
  <si>
    <t>madhurendra@mitaoe.ac.in</t>
  </si>
  <si>
    <t>91-7808330003</t>
  </si>
  <si>
    <t>MADKAR SAYALI  GAJANAN</t>
  </si>
  <si>
    <t>sgmadkar@mitaoe.ac.in</t>
  </si>
  <si>
    <t>91-9112437837</t>
  </si>
  <si>
    <t>MAHAJAN ATHARVA  SUNIL</t>
  </si>
  <si>
    <t>asmahajan@mitaoe.ac.in</t>
  </si>
  <si>
    <t>91-9922064901</t>
  </si>
  <si>
    <t>MANDAL DHIRAJ  DHIREN</t>
  </si>
  <si>
    <t>ddmandal@mitaoe.ac.in</t>
  </si>
  <si>
    <t>91-7304301172</t>
  </si>
  <si>
    <t>MANE AMIT  UJWALKUMAR</t>
  </si>
  <si>
    <t>aumane@mitaoe.ac.in</t>
  </si>
  <si>
    <t>91-7038762920</t>
  </si>
  <si>
    <t>MANE PRABHU  SHRIKANT</t>
  </si>
  <si>
    <t>psmane@mitaoe.ac.in</t>
  </si>
  <si>
    <t>91-9130922681</t>
  </si>
  <si>
    <t>MARATHE SHIVAM  ANIL</t>
  </si>
  <si>
    <t>samarathe@mitaoe.ac.in</t>
  </si>
  <si>
    <t>91-9881787136</t>
  </si>
  <si>
    <t>MESHRAM RUCHI  VIJAYKUMAR</t>
  </si>
  <si>
    <t>rvmeshram@mitaoe.ac.in</t>
  </si>
  <si>
    <t>91-9423102237</t>
  </si>
  <si>
    <t>Modak Abahs  Jayant</t>
  </si>
  <si>
    <t>ajmodak@mitaoe.ac.in</t>
  </si>
  <si>
    <t>91-9545778445</t>
  </si>
  <si>
    <t>MUDAGAL MANORAMA  JIVAJI</t>
  </si>
  <si>
    <t>mjmudagal@mitaoe.ac.in</t>
  </si>
  <si>
    <t>91-7841013533</t>
  </si>
  <si>
    <t>MUKHEDKAR VEDANT  DHANANJAY</t>
  </si>
  <si>
    <t>vdmukhedkar@mitaoe.ac.in</t>
  </si>
  <si>
    <t>91-7263863196</t>
  </si>
  <si>
    <t>MUKUND ADITYA  VISHWASRAO</t>
  </si>
  <si>
    <t>avmukund@mitaoe.ac.in</t>
  </si>
  <si>
    <t>91-9175312028</t>
  </si>
  <si>
    <t>NAIK GANESH  PUNDLIK</t>
  </si>
  <si>
    <t>gpnaik@mitaoe.ac.in</t>
  </si>
  <si>
    <t>91-8668806096</t>
  </si>
  <si>
    <t>NARKHEDE ANUP  ANANT</t>
  </si>
  <si>
    <t>aanarkhede@mitaoe.ac.in</t>
  </si>
  <si>
    <t>91-9067683076</t>
  </si>
  <si>
    <t>PANKAJ  CHAUDHARI</t>
  </si>
  <si>
    <t>chaudharipk@mitaoe.ac.in</t>
  </si>
  <si>
    <t>91-8605404120</t>
  </si>
  <si>
    <t>PARDHI SUSHANT  GIRDHARI</t>
  </si>
  <si>
    <t>sgpardhi@mitaoe.ac.in</t>
  </si>
  <si>
    <t>91-7709237411</t>
  </si>
  <si>
    <t>PAREKH PRATIK  SANTOSH</t>
  </si>
  <si>
    <t>psparekh@mitaoe.ac.in</t>
  </si>
  <si>
    <t>91-7447437638</t>
  </si>
  <si>
    <t>PATHAK AVANISHKUMAR  PRADEEPKUMAR</t>
  </si>
  <si>
    <t>appathak@mitaoe.ac.in</t>
  </si>
  <si>
    <t>91-8600827858</t>
  </si>
  <si>
    <t>PATIL AMEY  UTTAM</t>
  </si>
  <si>
    <t>aupatil@mitaoe.ac.in</t>
  </si>
  <si>
    <t>91-9571290860</t>
  </si>
  <si>
    <t>PATIL DHIRAJ  MANGAL</t>
  </si>
  <si>
    <t>dmpatil@mitaoe.ac.in</t>
  </si>
  <si>
    <t>91-9834489801</t>
  </si>
  <si>
    <t>PATIL KSHITIJ  NARENDRA</t>
  </si>
  <si>
    <t>knpatil@mitaoe.ac.in</t>
  </si>
  <si>
    <t>91-7030024680</t>
  </si>
  <si>
    <t>PATSUTE ANKITA  SANJAY</t>
  </si>
  <si>
    <t>aspatsute@mitaoe.ac.in</t>
  </si>
  <si>
    <t>91-9860371442</t>
  </si>
  <si>
    <t>PAWAR  AKASH</t>
  </si>
  <si>
    <t>adpawar@mitaoe.ac.in</t>
  </si>
  <si>
    <t>91-9346706296</t>
  </si>
  <si>
    <t>PAWAR ANUSHKA  BHUJANG</t>
  </si>
  <si>
    <t>anushkapawar@mitaoe.ac.in</t>
  </si>
  <si>
    <t>91-9307781766</t>
  </si>
  <si>
    <t>PAWLE LAUKIK  SANJAY</t>
  </si>
  <si>
    <t>lspawle@mitaoe.ac.in</t>
  </si>
  <si>
    <t>91-9834792500</t>
  </si>
  <si>
    <t>PETE APURVA  SHYAM</t>
  </si>
  <si>
    <t>aspete@mitaoe.ac.in</t>
  </si>
  <si>
    <t>91-7387615996</t>
  </si>
  <si>
    <t>PHUTANE KOMAL  ANIL</t>
  </si>
  <si>
    <t>kaphutane@mitaoe.ac.in</t>
  </si>
  <si>
    <t>91-9284045394</t>
  </si>
  <si>
    <t>PIYUSH  WALDE</t>
  </si>
  <si>
    <t>ppwalde@mitaoe.ac.in</t>
  </si>
  <si>
    <t>91-9923028295</t>
  </si>
  <si>
    <t>PRATYOOSH  ANAND</t>
  </si>
  <si>
    <t>ppanand@mitaoe.ac.in</t>
  </si>
  <si>
    <t>91-8789658484</t>
  </si>
  <si>
    <t>PRIYANSHU KUMAR  RAI</t>
  </si>
  <si>
    <t>pkrai@mitaoe.ac.in</t>
  </si>
  <si>
    <t>91-9334277023</t>
  </si>
  <si>
    <t>RAUT PRACHITI  SANTOSH</t>
  </si>
  <si>
    <t>prachitiraut@mitaoe.ac.in</t>
  </si>
  <si>
    <t>91-7758028585</t>
  </si>
  <si>
    <t>RISHIKESH  CHAPEKAR</t>
  </si>
  <si>
    <t>rkchapekar@mitaoe.ac.in</t>
  </si>
  <si>
    <t>91-8412991386</t>
  </si>
  <si>
    <t>ROY SHIVASHISH  VIJAYKUMAR</t>
  </si>
  <si>
    <t>svroy@mitaoe.ac.in</t>
  </si>
  <si>
    <t>91-7738182204</t>
  </si>
  <si>
    <t>RUDRAKSH ANIKET  ANIL</t>
  </si>
  <si>
    <t>aarudraksh@mitaoe.ac.in</t>
  </si>
  <si>
    <t>91-9922148422</t>
  </si>
  <si>
    <t>S THARUNYHA M  SENTHILKUMAR</t>
  </si>
  <si>
    <t>tharunyha@mitaoe.ac.in</t>
  </si>
  <si>
    <t>91-8999344733</t>
  </si>
  <si>
    <t>SANGALE TEJAS  RAJENDRA</t>
  </si>
  <si>
    <t>trsangale@mitaoe.ac.in</t>
  </si>
  <si>
    <t>91-8530355712</t>
  </si>
  <si>
    <t>SARTH  KUMAR</t>
  </si>
  <si>
    <t>kumarsarth@mitaoe.ac.in</t>
  </si>
  <si>
    <t>91-7038068731</t>
  </si>
  <si>
    <t>SAURKAR PRATIK  NILESH</t>
  </si>
  <si>
    <t>pnsaurkar@mitaoe.ac.in</t>
  </si>
  <si>
    <t>91-7666556908</t>
  </si>
  <si>
    <t>SAWANT PRATHAMESH  RAJENDRA</t>
  </si>
  <si>
    <t>psawant@mitaoe.ac.in</t>
  </si>
  <si>
    <t>91-7057702020</t>
  </si>
  <si>
    <t>SAYYAD SAIF  USMAN</t>
  </si>
  <si>
    <t>susayyad@mitaoe.ac.in</t>
  </si>
  <si>
    <t>91-9960421181</t>
  </si>
  <si>
    <t>SEJAL  ABROL</t>
  </si>
  <si>
    <t>srabrol@mitaoe.ac.in</t>
  </si>
  <si>
    <t>91-9622062947</t>
  </si>
  <si>
    <t>SHAH MITESH  MANOJ</t>
  </si>
  <si>
    <t>miteshshah@mitaoe.ac.in</t>
  </si>
  <si>
    <t>91-9021638301</t>
  </si>
  <si>
    <t>SHAH TANVI  KIRTI</t>
  </si>
  <si>
    <t>tanvishah@mitaoe.ac.in</t>
  </si>
  <si>
    <t>91-7517831951</t>
  </si>
  <si>
    <t>SHAR TEJAS  SUBHASH</t>
  </si>
  <si>
    <t>tsshar@mitaoe.ac.in</t>
  </si>
  <si>
    <t>91-8459443665</t>
  </si>
  <si>
    <t>SHINDE CHATAK  VITTHAL</t>
  </si>
  <si>
    <t>cvshinde@mitaoe.ac.in</t>
  </si>
  <si>
    <t>91-8975364020</t>
  </si>
  <si>
    <t>SHINDE SHRADDHA  SUNIL</t>
  </si>
  <si>
    <t>shraddhashinde@mitaoe.ac.in</t>
  </si>
  <si>
    <t>91-9370173915</t>
  </si>
  <si>
    <t>SHINDE VAIBHAV  SUNIL</t>
  </si>
  <si>
    <t>vaibhavshinde@mitaoe.ac.in</t>
  </si>
  <si>
    <t>91-7558732871</t>
  </si>
  <si>
    <t>SHIRSAT AADITYA  SHASHIKANT</t>
  </si>
  <si>
    <t>asshivsant@mitaoe.ac.in</t>
  </si>
  <si>
    <t>91-7020095413</t>
  </si>
  <si>
    <t>SHIVYA  SHRIVASTAVA</t>
  </si>
  <si>
    <t>ssshrivastava@mitaoe.ac.in</t>
  </si>
  <si>
    <t>91-8349038008</t>
  </si>
  <si>
    <t>SHRIWAS ANSH  ASHOK</t>
  </si>
  <si>
    <t>aashriwas@mitaoe.ac.in</t>
  </si>
  <si>
    <t>91-7057246993</t>
  </si>
  <si>
    <t>SHRUTI LAXMI  SHARMA</t>
  </si>
  <si>
    <t>slsharma@mitaoe.ac.in</t>
  </si>
  <si>
    <t>91-8777273663</t>
  </si>
  <si>
    <t>SHRUTI NITIN  PAWAR</t>
  </si>
  <si>
    <t>shrutipawar@mitaoe.ac.in</t>
  </si>
  <si>
    <t>91-9834287571</t>
  </si>
  <si>
    <t>SOVIK  SHARMA</t>
  </si>
  <si>
    <t>srsharma@mitaoe.ac.in</t>
  </si>
  <si>
    <t>91-9697950444</t>
  </si>
  <si>
    <t>Sumit Ramdas  Bhapkar</t>
  </si>
  <si>
    <t>srbhapkar@mitaoe.ac.in</t>
  </si>
  <si>
    <t>91-9881017131</t>
  </si>
  <si>
    <t>TADVI AQSA  MAHEMOOD</t>
  </si>
  <si>
    <t>amtadvi@mitaoe.ac.in</t>
  </si>
  <si>
    <t>91-9834960639</t>
  </si>
  <si>
    <t>TANGADE SAGAR  SHIVANAND</t>
  </si>
  <si>
    <t>sstangade@mitaoe.ac.in</t>
  </si>
  <si>
    <t>91-7666164718</t>
  </si>
  <si>
    <t>TANISHKA A  NAIR</t>
  </si>
  <si>
    <t>tanair@mitaoe.ac.in</t>
  </si>
  <si>
    <t>91-9028518861</t>
  </si>
  <si>
    <t>TUSHAR MAGAN  PATIL</t>
  </si>
  <si>
    <t>tmpatil@mitaoe.ac.in</t>
  </si>
  <si>
    <t>91-7798293571</t>
  </si>
  <si>
    <t>UDYANRAJE BHASKAR  BHOSALE</t>
  </si>
  <si>
    <t>ubbhosale@mitaoe.ac.in</t>
  </si>
  <si>
    <t>91-9657177196</t>
  </si>
  <si>
    <t>UNKULE PRANAV  PRAMOD</t>
  </si>
  <si>
    <t>ppunkule@mitaoe.ac.in</t>
  </si>
  <si>
    <t>91-9766958605</t>
  </si>
  <si>
    <t>VAIBHAV  DABGOTRA</t>
  </si>
  <si>
    <t>vdabgotra@mitaoe.ac.in</t>
  </si>
  <si>
    <t>91-9419115387</t>
  </si>
  <si>
    <t>VAIBHAV SATISH  DEVSHATWAR</t>
  </si>
  <si>
    <t>vsdevshatwar@mitaoe.ac.in</t>
  </si>
  <si>
    <t>91-9022099066</t>
  </si>
  <si>
    <t>VAISHNAVI D  GAIKWAD</t>
  </si>
  <si>
    <t>vdgaikwad@mitaoe.ac.in</t>
  </si>
  <si>
    <t>91-7775830346</t>
  </si>
  <si>
    <t>VEDANTIKA  WAGAJ</t>
  </si>
  <si>
    <t>vvwagaj@mitaoe.ac.in</t>
  </si>
  <si>
    <t>91-9145662848</t>
  </si>
  <si>
    <t>WADPELLI ATHARVA  ASHVIN</t>
  </si>
  <si>
    <t>aawadpelli@mitaoe.ac.in</t>
  </si>
  <si>
    <t>91-7276884753</t>
  </si>
  <si>
    <t>WASNIK RACHANA  RAVIKIRAN</t>
  </si>
  <si>
    <t>rrwasnik@mitaoe.ac.in</t>
  </si>
  <si>
    <t>91-8975981980</t>
  </si>
  <si>
    <t>YEOLE SIDDHANT  ASARAM</t>
  </si>
  <si>
    <t>sayeole@mitaoe.ac.in</t>
  </si>
  <si>
    <t>91-9403916384</t>
  </si>
  <si>
    <t>ANIRUDH  KHABYA</t>
  </si>
  <si>
    <t>akhabya@mitaoe.ac.in</t>
  </si>
  <si>
    <t>91-7877742248</t>
  </si>
  <si>
    <t>BAGUL YASH  PRASHANT</t>
  </si>
  <si>
    <t>ypbagul@mitaoe.ac.in</t>
  </si>
  <si>
    <t>91-9307660627</t>
  </si>
  <si>
    <t>CHAVAN RAMESHWAR  GAJANAN</t>
  </si>
  <si>
    <t>rgchavan@mitaoe.ac.in</t>
  </si>
  <si>
    <t>91-9503508503</t>
  </si>
  <si>
    <t>DERE SNEHAL  GANGADHAR</t>
  </si>
  <si>
    <t>sgdere@mitaoe.ac.in</t>
  </si>
  <si>
    <t>91-9175783315</t>
  </si>
  <si>
    <t>DESHMUKH AAYUSHI  NISHIKANT</t>
  </si>
  <si>
    <t>andeshmukh@mitaoe.ac.in</t>
  </si>
  <si>
    <t>91-7588817041</t>
  </si>
  <si>
    <t>DILBAGH  SINGH</t>
  </si>
  <si>
    <t>drsingh@mitaoe.ac.in</t>
  </si>
  <si>
    <t>91-8082741567</t>
  </si>
  <si>
    <t>HATTE SANTOSH  MADHAVRAO</t>
  </si>
  <si>
    <t>smhatte@mitaoe.ac.in</t>
  </si>
  <si>
    <t>91-8421174021</t>
  </si>
  <si>
    <t>HEMANE DHAWAL  DEVIDAS</t>
  </si>
  <si>
    <t>ddhemane@mitaoe.ac.in</t>
  </si>
  <si>
    <t>91-9309765073</t>
  </si>
  <si>
    <t>Jadhav Priti  Somnath</t>
  </si>
  <si>
    <t>pritijadhav@mitaoe.ac.in</t>
  </si>
  <si>
    <t>91-8975362587</t>
  </si>
  <si>
    <t>JADHAV VAISHNAVI  ARUN</t>
  </si>
  <si>
    <t>vaishnavijadhav@mitaoe.ac.in</t>
  </si>
  <si>
    <t>91-9922304966</t>
  </si>
  <si>
    <t>KHATANE SHRINIVAS  KALYAN</t>
  </si>
  <si>
    <t>skkhatane@mitaoe.ac.in</t>
  </si>
  <si>
    <t>91-9172102420</t>
  </si>
  <si>
    <t>LADE KSHITIJA  VINOD</t>
  </si>
  <si>
    <t>kvlade@mitaoe.ac.in</t>
  </si>
  <si>
    <t>91-9653322312</t>
  </si>
  <si>
    <t>METANGE MAHESH  DAMODHAR</t>
  </si>
  <si>
    <t>mdmetange@mitaoe.ac.in</t>
  </si>
  <si>
    <t>91-9975550595</t>
  </si>
  <si>
    <t>Nageshwar Krishnakant  Chandrakant</t>
  </si>
  <si>
    <t>kcnageshwar@mitaoe.ac.in</t>
  </si>
  <si>
    <t>91-8668850385</t>
  </si>
  <si>
    <t>NETAKE ADITYA  SANJAY</t>
  </si>
  <si>
    <t>asnetake@mitaoe.ac.in</t>
  </si>
  <si>
    <t>91-7744089704</t>
  </si>
  <si>
    <t>Nikam Kirti  Bhimrao</t>
  </si>
  <si>
    <t>kbnikam@mitaoe.ac.in</t>
  </si>
  <si>
    <t>91-9067740357</t>
  </si>
  <si>
    <t>PAWAR INDRAJIT  KISHOR</t>
  </si>
  <si>
    <t>ikpawar@mitaoe.ac.in</t>
  </si>
  <si>
    <t>91-7666360936</t>
  </si>
  <si>
    <t>PINNARWAR MAHESH  MAROTI</t>
  </si>
  <si>
    <t>mmpinnarwar@mitaoe.ac.in</t>
  </si>
  <si>
    <t>91-7499742225</t>
  </si>
  <si>
    <t>RISHISH KUMAR  OJHA</t>
  </si>
  <si>
    <t>rishish.ojha@mitaoe.ac.in</t>
  </si>
  <si>
    <t>91-8862967895</t>
  </si>
  <si>
    <t>SHREYASH A  MOUNDEKAR</t>
  </si>
  <si>
    <t>samoundekar@mitaoe.ac.in</t>
  </si>
  <si>
    <t>91-8446649504</t>
  </si>
  <si>
    <t>SONEKAR VANSHIKA  RAJU</t>
  </si>
  <si>
    <t>sonekarvr@mitaoe.ac.in</t>
  </si>
  <si>
    <t>91-9518977037</t>
  </si>
  <si>
    <t>WAGH CHAITANYA  SHRIHARI</t>
  </si>
  <si>
    <t>cswagh@mitaoe.ac.in</t>
  </si>
  <si>
    <t>91-9284820271</t>
  </si>
  <si>
    <t>ZODAPE SAMYAK  DHRUVADAS</t>
  </si>
  <si>
    <t>sdzodape@mitaoe.ac.in</t>
  </si>
  <si>
    <t>91-8983615771</t>
  </si>
  <si>
    <t>ABHISHEK  KUMAR</t>
  </si>
  <si>
    <t>kumaabhishekr@mitaoe.ac.in</t>
  </si>
  <si>
    <t>91-9801809501</t>
  </si>
  <si>
    <t>ADITYA  BIRANGAL</t>
  </si>
  <si>
    <t>aabirangal@mitaoe.ac.in</t>
  </si>
  <si>
    <t>91-9890082434</t>
  </si>
  <si>
    <t>Alshetty Chinmayi  Shashikant</t>
  </si>
  <si>
    <t>csalshetty@mitaoe.ac.in</t>
  </si>
  <si>
    <t>91-8637769820</t>
  </si>
  <si>
    <t>AMAN  KUMAR</t>
  </si>
  <si>
    <t>anilkumar@mitaoe.ac.in</t>
  </si>
  <si>
    <t>91-7232852865</t>
  </si>
  <si>
    <t>AMIT  KUMAR</t>
  </si>
  <si>
    <t>agkumar@mitaoe.ac.in</t>
  </si>
  <si>
    <t>91-9086168999</t>
  </si>
  <si>
    <t>ANIKET RAJIV  SHARMA</t>
  </si>
  <si>
    <t>aniketsharma@mitaoe.ac.in</t>
  </si>
  <si>
    <t>91-9823143305</t>
  </si>
  <si>
    <t>ANJANI  NANDAN</t>
  </si>
  <si>
    <t>anandan@mitaoe.ac.in</t>
  </si>
  <si>
    <t>91-9525570097</t>
  </si>
  <si>
    <t>ASHWINI ANAND  RADDEKAR</t>
  </si>
  <si>
    <t>aaraddekar@mitaoe.ac.in</t>
  </si>
  <si>
    <t>91-9341711305</t>
  </si>
  <si>
    <t>ASTON  SHAJI</t>
  </si>
  <si>
    <t>astonshaji@mitaoe.ac.in</t>
  </si>
  <si>
    <t>91-7420083890</t>
  </si>
  <si>
    <t>BATWE ATHARVA  AJAY</t>
  </si>
  <si>
    <t>aabatwe@mitaoe.ac.in</t>
  </si>
  <si>
    <t>91-8208942085</t>
  </si>
  <si>
    <t>BODKE ADITYA  ARUN</t>
  </si>
  <si>
    <t>aabodke@mitaoe.ac.in</t>
  </si>
  <si>
    <t>91-8329766708</t>
  </si>
  <si>
    <t>CHALVADHI SHIVATEJA  SHANKAR</t>
  </si>
  <si>
    <t>sschalvadhi@mitaoe.ac.in</t>
  </si>
  <si>
    <t>91-7499676370</t>
  </si>
  <si>
    <t>DAKSHAY  KUMAR</t>
  </si>
  <si>
    <t>djkumar@mitaoe.ac.in</t>
  </si>
  <si>
    <t>91-7006743429</t>
  </si>
  <si>
    <t>DEEP SANTOSHWAR  PRASHANT</t>
  </si>
  <si>
    <t>dpsantoshwar@mitaoe.ac.in</t>
  </si>
  <si>
    <t>91-9834577439</t>
  </si>
  <si>
    <t>DESHMUKH HARSHAL  PADAMRAO</t>
  </si>
  <si>
    <t>hpdeshmukh@mitaoe.ac.in</t>
  </si>
  <si>
    <t>91-7378933614</t>
  </si>
  <si>
    <t>DHOBALE NAMRATA  GORAKSHANATH</t>
  </si>
  <si>
    <t>ngdhobale@mitaoe.ac.in</t>
  </si>
  <si>
    <t>91-9922564066</t>
  </si>
  <si>
    <t>DIVNALE VAISHNAVI  VIJAY</t>
  </si>
  <si>
    <t>vvdivnale@mitaoe.ac.in</t>
  </si>
  <si>
    <t>91-8308932669</t>
  </si>
  <si>
    <t>ENDOLE VIVEK  ASHOK</t>
  </si>
  <si>
    <t>vaendole@mitaoe.ac.in</t>
  </si>
  <si>
    <t>91-7447249761</t>
  </si>
  <si>
    <t>EVA  KHAJURIA</t>
  </si>
  <si>
    <t>eakhajuria@mitaoe.ac.in</t>
  </si>
  <si>
    <t>91-9906608979</t>
  </si>
  <si>
    <t>Fardeen Khan Farouque  Khan</t>
  </si>
  <si>
    <t>ffkhan@mitaoe.ac.in</t>
  </si>
  <si>
    <t>91-7875480973</t>
  </si>
  <si>
    <t>Gaikwad Mahesh  Madhukar</t>
  </si>
  <si>
    <t>mmgaikwad@mitaoe.ac.in</t>
  </si>
  <si>
    <t>91-7769818735</t>
  </si>
  <si>
    <t>GAYAKE PRADYUMNA  RAMDAS</t>
  </si>
  <si>
    <t>prgayake@mitaoe.ac.in</t>
  </si>
  <si>
    <t>91-9359717399</t>
  </si>
  <si>
    <t>GHADGE PRATIK  GOVIND</t>
  </si>
  <si>
    <t>pgghadge@mitaoe.ac.in</t>
  </si>
  <si>
    <t>91-9373854882</t>
  </si>
  <si>
    <t>GHODEKAR MAYUR  SUNIL</t>
  </si>
  <si>
    <t>msghodekar@mitaoe.ac.in</t>
  </si>
  <si>
    <t>91-7522914357</t>
  </si>
  <si>
    <t>HARIOM  SINGH</t>
  </si>
  <si>
    <t>hariomsingh@mitaoe.ac.in</t>
  </si>
  <si>
    <t>91-8340331141</t>
  </si>
  <si>
    <t>HARSH DNYANESHWAR  BHOSALE</t>
  </si>
  <si>
    <t>hdbhosale@mitaoe.ac.in</t>
  </si>
  <si>
    <t>91-9075978234</t>
  </si>
  <si>
    <t>HRUSHIKESH RAMAKANT  CHAPKE</t>
  </si>
  <si>
    <t>hrchapke@mitaoe.ac.in</t>
  </si>
  <si>
    <t>91-8355973685</t>
  </si>
  <si>
    <t>IKARE TANMAY  RAMCHANDRA</t>
  </si>
  <si>
    <t>trikare@mitaoe.ac.in</t>
  </si>
  <si>
    <t>91-8855922810</t>
  </si>
  <si>
    <t>JADE HARDIK  KISHOR</t>
  </si>
  <si>
    <t>hkjade@mitaoe.ac.in</t>
  </si>
  <si>
    <t>91-9420665548</t>
  </si>
  <si>
    <t>JOSHI SANSKRUTI  RAMESH</t>
  </si>
  <si>
    <t>sanskrutijoshi@mitaoe.ac.in</t>
  </si>
  <si>
    <t>91-9075744316</t>
  </si>
  <si>
    <t>KAD ATHARV  KALURAM</t>
  </si>
  <si>
    <t>akkad@mitaoe.ac.in</t>
  </si>
  <si>
    <t>91-7083387528</t>
  </si>
  <si>
    <t>KASTURE MRINAL  ANIL</t>
  </si>
  <si>
    <t>makasture@mitaoe.ac.in</t>
  </si>
  <si>
    <t>91-8862060440</t>
  </si>
  <si>
    <t>KATHANE TANMAY  DILIPRAO</t>
  </si>
  <si>
    <t>dilipkathane@mitaoe.ac.in</t>
  </si>
  <si>
    <t>91-9923739122</t>
  </si>
  <si>
    <t>KESHAV  DUBEY</t>
  </si>
  <si>
    <t>kkdubey@mitaoe.ac.in</t>
  </si>
  <si>
    <t>91-7889624862</t>
  </si>
  <si>
    <t>KHAIRKAR SUJATA  MAHENDRA</t>
  </si>
  <si>
    <t>smkhairkar@mitaoe.ac.in</t>
  </si>
  <si>
    <t>91-9307800076</t>
  </si>
  <si>
    <t>KHARATE SNEHA  SUNIL</t>
  </si>
  <si>
    <t>sskharate@mitaoe.ac.in</t>
  </si>
  <si>
    <t>91-9552668475</t>
  </si>
  <si>
    <t>KHATAVKAR PRAKTAN  REVANSIDDHA</t>
  </si>
  <si>
    <t>prkhatavkar@mitaoe.ac.in</t>
  </si>
  <si>
    <t>91-9082262461</t>
  </si>
  <si>
    <t>KOLHE SAKSHI  JAYAWANT</t>
  </si>
  <si>
    <t>kolhejayawant@mitaoe.ac.in</t>
  </si>
  <si>
    <t>91-9822265248</t>
  </si>
  <si>
    <t>KOTGIRE SHUBHAM  BHIM</t>
  </si>
  <si>
    <t>sbkotgire@mitaoe.ac.in</t>
  </si>
  <si>
    <t>91-7498874484</t>
  </si>
  <si>
    <t>Kotkar Shubham  Sukdev</t>
  </si>
  <si>
    <t>sskotkar@mitaoe.ac.in</t>
  </si>
  <si>
    <t>91-9552324826</t>
  </si>
  <si>
    <t>KRISHANGI  VATS</t>
  </si>
  <si>
    <t>kvats@mitaoe.ac.in</t>
  </si>
  <si>
    <t>91-8102193929</t>
  </si>
  <si>
    <t>KRISHNA KANT  PHATE</t>
  </si>
  <si>
    <t>kpphate@mitaoe.ac.in</t>
  </si>
  <si>
    <t>91-7354723076</t>
  </si>
  <si>
    <t>KUMBHAR ATHARVA  SANJAY</t>
  </si>
  <si>
    <t>askumbhar@mitaoe.ac.in</t>
  </si>
  <si>
    <t>91-7020369149</t>
  </si>
  <si>
    <t>KUMBHAR PRAJWAL  JAGANNATH</t>
  </si>
  <si>
    <t>kumbharpj@mitaoe.ac.in</t>
  </si>
  <si>
    <t>91-8080024088</t>
  </si>
  <si>
    <t>LALIT MANOHAR  PETKULE</t>
  </si>
  <si>
    <t>IMPETKULE@mitaoe.ac.in</t>
  </si>
  <si>
    <t>91-9158942858</t>
  </si>
  <si>
    <t>LIKHAR GAURAV  CHANDRASHEKHAR</t>
  </si>
  <si>
    <t>gclikhar@mitaoe.ac.in</t>
  </si>
  <si>
    <t>91-9175426895</t>
  </si>
  <si>
    <t>MAHAJAN SUMIT  SAHEBRAO</t>
  </si>
  <si>
    <t>ssmahajan@mitaoe.ac.in</t>
  </si>
  <si>
    <t>91-9834603147</t>
  </si>
  <si>
    <t>Mahure Ajinkya  Bharat</t>
  </si>
  <si>
    <t>mahureab@mitaoe.ac.in</t>
  </si>
  <si>
    <t>91-7038148573</t>
  </si>
  <si>
    <t>MANSI  SINGH</t>
  </si>
  <si>
    <t>mansisingh@mitaoe.ac.in</t>
  </si>
  <si>
    <t>91-9506186497</t>
  </si>
  <si>
    <t>MORE ABHISHEK  BABAJI</t>
  </si>
  <si>
    <t>abmore@mitaoe.ac.in</t>
  </si>
  <si>
    <t>91-7709915693</t>
  </si>
  <si>
    <t>MUSKAN  KUMARI</t>
  </si>
  <si>
    <t>mkumari@mitaoe.ac.in</t>
  </si>
  <si>
    <t>91-9304728534</t>
  </si>
  <si>
    <t>NEHERE OMKAR  MAHESH</t>
  </si>
  <si>
    <t>omkarnehere@mitaoe.ac.in</t>
  </si>
  <si>
    <t>91-7038733671</t>
  </si>
  <si>
    <t>PARDHI HITESH  HULASH</t>
  </si>
  <si>
    <t>hhpardhi@mitaoe.ac.in</t>
  </si>
  <si>
    <t>91-9552020952</t>
  </si>
  <si>
    <t>PARTH  SRIVASTAVA</t>
  </si>
  <si>
    <t>davparth@mitaoe.ac.in</t>
  </si>
  <si>
    <t>91-7264001177</t>
  </si>
  <si>
    <t>PATEL FIZA  MANSOOR</t>
  </si>
  <si>
    <t>fmpatel@mitaoe.ac.in</t>
  </si>
  <si>
    <t>91-9518329892</t>
  </si>
  <si>
    <t>PATIL HARSHAL  ANIL</t>
  </si>
  <si>
    <t>harshalpatil@mitaoe.ac.in</t>
  </si>
  <si>
    <t>91-7709353526</t>
  </si>
  <si>
    <t>PAWAR ADARSH  JAGDISH</t>
  </si>
  <si>
    <t>adarshpawar@mitaoe.ac.in</t>
  </si>
  <si>
    <t>91-9834604385</t>
  </si>
  <si>
    <t>PAWAR ASMITA  AMARSINH</t>
  </si>
  <si>
    <t>aapawar@mitaoe.ac.in</t>
  </si>
  <si>
    <t>91-8329300923</t>
  </si>
  <si>
    <t>RAJPUT LALIT  NANDKISHOR</t>
  </si>
  <si>
    <t>lnrajput@mitaoe.ac.in</t>
  </si>
  <si>
    <t>91-7972306084</t>
  </si>
  <si>
    <t>RANE YASH  PRAVIN</t>
  </si>
  <si>
    <t>yprane@mitaoe.ac.in</t>
  </si>
  <si>
    <t>91-9011231446</t>
  </si>
  <si>
    <t>RAUT SOHAM  SATISH</t>
  </si>
  <si>
    <t>sohamraut@mitaoe.ac.in</t>
  </si>
  <si>
    <t>91-9850288554</t>
  </si>
  <si>
    <t>SAKSHI  LONDHE</t>
  </si>
  <si>
    <t>salondhe@mitaoe.ac.in</t>
  </si>
  <si>
    <t>91-9413687626</t>
  </si>
  <si>
    <t>SHEGOKAR NIKHIL  DEVENDRA</t>
  </si>
  <si>
    <t>ndshegokar@mitaoe.ac.in</t>
  </si>
  <si>
    <t>91-9867107228</t>
  </si>
  <si>
    <t>SHILPI  ROY</t>
  </si>
  <si>
    <t>ssroy@mitaoe.ac.in</t>
  </si>
  <si>
    <t>91-8540940891</t>
  </si>
  <si>
    <t>SHIMPI HIMANSHU  RAVINDRA</t>
  </si>
  <si>
    <t>hrshimpi@mitaoe.ac.in</t>
  </si>
  <si>
    <t>91-8237873292</t>
  </si>
  <si>
    <t>SIDDHESH  NIMAWAT</t>
  </si>
  <si>
    <t>spnimawat@mitaoe.ac.in</t>
  </si>
  <si>
    <t>91-7498041389</t>
  </si>
  <si>
    <t>Sule Vishal  Subhash</t>
  </si>
  <si>
    <t>vssule@mitaoe.ac.in</t>
  </si>
  <si>
    <t>91-9172888082</t>
  </si>
  <si>
    <t>TADAS DIVYA  AMIT</t>
  </si>
  <si>
    <t>datadas@mitaoe.ac.in</t>
  </si>
  <si>
    <t>91-7507640252</t>
  </si>
  <si>
    <t>THAWARI TEJAS  SANJAY</t>
  </si>
  <si>
    <t>tsthawari@mitaoe.ac.in</t>
  </si>
  <si>
    <t>91-9119469316</t>
  </si>
  <si>
    <t>YASH  DENGRE</t>
  </si>
  <si>
    <t>ypdengre@mitaoe.ac.in</t>
  </si>
  <si>
    <t>91-9981612034</t>
  </si>
  <si>
    <t>YEOLE ATHARV  YOGESH</t>
  </si>
  <si>
    <t>ayyeole@mitaoe.ac.in</t>
  </si>
  <si>
    <t>91-7666939542</t>
  </si>
  <si>
    <t>ZAMWAR ADARSH  KAMAL</t>
  </si>
  <si>
    <t>akzamwar@mitaoe.ac.in</t>
  </si>
  <si>
    <t>91-8888865587</t>
  </si>
  <si>
    <t>Abdulmuiz Jalil Ghori</t>
  </si>
  <si>
    <t>ghoriabdulmuiz@gmail.com</t>
  </si>
  <si>
    <t>91-9764830503</t>
  </si>
  <si>
    <t>ANANSH AVINASH  GUPTA</t>
  </si>
  <si>
    <t>aagupta@mitaoe.ac.in</t>
  </si>
  <si>
    <t>91-8667225443</t>
  </si>
  <si>
    <t>ATHAWALE SNEHA  MADHAVRAO</t>
  </si>
  <si>
    <t>smathawale@mitaoe.ac.in</t>
  </si>
  <si>
    <t>91-8600852848</t>
  </si>
  <si>
    <t>AVISHKAR  NIKAM</t>
  </si>
  <si>
    <t>avishkarnikam@mitaoe.ac.in</t>
  </si>
  <si>
    <t>91-9767891335</t>
  </si>
  <si>
    <t>BANSOD YASH  BHIMANAND</t>
  </si>
  <si>
    <t>ybbansod@mitaoe.ac.in</t>
  </si>
  <si>
    <t>91-8668908299</t>
  </si>
  <si>
    <t>BARGE KAUSTUBH  RAJKUMAR</t>
  </si>
  <si>
    <t>krbarge@mitaoe.ac.in</t>
  </si>
  <si>
    <t>91-9860807959</t>
  </si>
  <si>
    <t>BHADANE ROHAN  SUNIL</t>
  </si>
  <si>
    <t>rsbhadane@mitaoe.ac.in</t>
  </si>
  <si>
    <t>91-8329408333</t>
  </si>
  <si>
    <t>BHAGAT KSHANIK  DATTU</t>
  </si>
  <si>
    <t>kdbhagat@mitaoe.ac.in</t>
  </si>
  <si>
    <t>91-9518328604</t>
  </si>
  <si>
    <t>BHANGE PRATIK  VYANKATESH</t>
  </si>
  <si>
    <t>pvbhange@mitaoe.ac.in</t>
  </si>
  <si>
    <t>91-9922631690</t>
  </si>
  <si>
    <t>BHARAMBE SOHAM  SUNIL</t>
  </si>
  <si>
    <t>ssbharambe@mitaoe.ac.in</t>
  </si>
  <si>
    <t>91-9096380210</t>
  </si>
  <si>
    <t>BHARARE OM  SUNIL</t>
  </si>
  <si>
    <t>osbharare@mitaoe.ac.in</t>
  </si>
  <si>
    <t>91-9022071431</t>
  </si>
  <si>
    <t>BHASKAR ANUJ  VILAS</t>
  </si>
  <si>
    <t>avbhaskar@mitaoe.ac.in</t>
  </si>
  <si>
    <t>91-9987593733</t>
  </si>
  <si>
    <t>BHIDAVE HARIDAS  SHIVAJI</t>
  </si>
  <si>
    <t>hsbhidave@mitaoe.ac.in</t>
  </si>
  <si>
    <t>91-9922239912</t>
  </si>
  <si>
    <t>BHISE ADINATH  BALASAHEB</t>
  </si>
  <si>
    <t>abbhise@mitaoe.ac.in</t>
  </si>
  <si>
    <t>91-7875528809</t>
  </si>
  <si>
    <t>BHOJANE GANESH  BALBHIM</t>
  </si>
  <si>
    <t>gbbhojane@mitaoe.ac.in</t>
  </si>
  <si>
    <t>91-9011173005</t>
  </si>
  <si>
    <t>BHOSALE RANJEET  VIJAYRAO</t>
  </si>
  <si>
    <t>rvbhosale@mitaoe.ac.in</t>
  </si>
  <si>
    <t>91-9370235674</t>
  </si>
  <si>
    <t>BHUJBAL PRANALI  KISAN</t>
  </si>
  <si>
    <t>pkbhujbal@mitaoe.ac.in</t>
  </si>
  <si>
    <t>91-9834572946</t>
  </si>
  <si>
    <t>BILURE ONKAR  BHIMASHANKAR</t>
  </si>
  <si>
    <t>obbilure@mitaoe.ac.in</t>
  </si>
  <si>
    <t>91-9421072873</t>
  </si>
  <si>
    <t>BIRADAR AMOL  SHRINIVAS</t>
  </si>
  <si>
    <t>asbiradar@mitaoe.ac.in</t>
  </si>
  <si>
    <t>91-9518925142</t>
  </si>
  <si>
    <t>CHACHARKAR LALIT  TUKADUDAS</t>
  </si>
  <si>
    <t>ltchacharkar@mitaoe.ac.in</t>
  </si>
  <si>
    <t>91-9767406852</t>
  </si>
  <si>
    <t>CHAUDHARI SAYALI  SANJAY</t>
  </si>
  <si>
    <t>sschaudhari@mitaoe.ac.in</t>
  </si>
  <si>
    <t>91-9309890006</t>
  </si>
  <si>
    <t>CHAVAN MANGESH  SUBHASH</t>
  </si>
  <si>
    <t>mschavan@mitaoe.ac.in</t>
  </si>
  <si>
    <t>91-9881294798</t>
  </si>
  <si>
    <t>CHAVAN VINAYAK  VASUDEV</t>
  </si>
  <si>
    <t>vvchavan@mitaoe.ac.in</t>
  </si>
  <si>
    <t>91-9607720677</t>
  </si>
  <si>
    <t>CHENDAGE ONKAR  LAHU</t>
  </si>
  <si>
    <t>olchendage@mitaoe.ac.in</t>
  </si>
  <si>
    <t>91-7350690080</t>
  </si>
  <si>
    <t>CHITRAKAR NEHA  ARUN</t>
  </si>
  <si>
    <t>nachitrakar@mitaoe.ac.in</t>
  </si>
  <si>
    <t>91-7776013481</t>
  </si>
  <si>
    <t>DADAS SANDIP  JOTIRAM</t>
  </si>
  <si>
    <t>sjdadas@mitaoe.ac.in</t>
  </si>
  <si>
    <t>91-7385364794</t>
  </si>
  <si>
    <t>DAIV MIHIR  RAJENDRA</t>
  </si>
  <si>
    <t>mrdaiv@mitaoe.ac.in</t>
  </si>
  <si>
    <t>91-7066833967</t>
  </si>
  <si>
    <t>DALAL SAHARSH  SANDEEP</t>
  </si>
  <si>
    <t>ssdalal@mitaoe.ac.in</t>
  </si>
  <si>
    <t>91-7620028066</t>
  </si>
  <si>
    <t>DESHMUKH PRUTHVIRAJE  DADA</t>
  </si>
  <si>
    <t>pddeshmukh@mitaoe.ac.in</t>
  </si>
  <si>
    <t>91-9890559042</t>
  </si>
  <si>
    <t>DESHMUKH SHUBHAM  GAJANANRAO</t>
  </si>
  <si>
    <t>sgdeshmukh@mitaoe.ac.in</t>
  </si>
  <si>
    <t>91-7498935732</t>
  </si>
  <si>
    <t>DESHPANDE PRATHAMESH  ASHVINKUMAR</t>
  </si>
  <si>
    <t>padeshpande@mitaoe.ac.in</t>
  </si>
  <si>
    <t>91-9511899727</t>
  </si>
  <si>
    <t>DESHPANDE YASH  GOPAL</t>
  </si>
  <si>
    <t>ygdeshpande@mitaoe.ac.in</t>
  </si>
  <si>
    <t>91-9960449157</t>
  </si>
  <si>
    <t>DHAKNE NISHANT  SUDHAKAR</t>
  </si>
  <si>
    <t>nsdhakne@mitaoe.ac.in</t>
  </si>
  <si>
    <t>91-9158007705</t>
  </si>
  <si>
    <t>DHANDE CHIRAG  SURESH</t>
  </si>
  <si>
    <t>csdhande@mitaoe.ac.in</t>
  </si>
  <si>
    <t>91-9561687618</t>
  </si>
  <si>
    <t>DHANDE MOHIT  YOGRAJ</t>
  </si>
  <si>
    <t>mydhande@mitaoe.ac.in</t>
  </si>
  <si>
    <t>91-8888724412</t>
  </si>
  <si>
    <t>DONGARE SUCHAND  PRUTHVIRAJ</t>
  </si>
  <si>
    <t>spdongare@mitaoe.ac.in</t>
  </si>
  <si>
    <t>91-9307557124</t>
  </si>
  <si>
    <t>DUMBRE CHAITANY  KIRAN</t>
  </si>
  <si>
    <t>ckdumbre@mitaoe.ac.in</t>
  </si>
  <si>
    <t>91-7755926887</t>
  </si>
  <si>
    <t>FALGUNI JITENDRA  CHARDE</t>
  </si>
  <si>
    <t>fjcharde@mitaoe.ac.in</t>
  </si>
  <si>
    <t>91-7588653693</t>
  </si>
  <si>
    <t>GADGE NIRANJAN  BHARAT</t>
  </si>
  <si>
    <t>nbghadge@mitaoe.ac.in</t>
  </si>
  <si>
    <t>91-9763171611</t>
  </si>
  <si>
    <t>GAIKWAD PALLAVI  PRALHAD</t>
  </si>
  <si>
    <t>ppgaikwad@mitaoe.ac.in</t>
  </si>
  <si>
    <t>91-8208177068</t>
  </si>
  <si>
    <t>GAIKWAD PRATIK  ANIL</t>
  </si>
  <si>
    <t>pagaikwad@mitaoe.ac.in</t>
  </si>
  <si>
    <t>91-7972528934</t>
  </si>
  <si>
    <t>GANDHEWAR ASHUTOSH  KAMAL</t>
  </si>
  <si>
    <t>akgandhewar@mitaoe.ac.in</t>
  </si>
  <si>
    <t>91-9226149517</t>
  </si>
  <si>
    <t>Gandre Riddhesh  Madhukar</t>
  </si>
  <si>
    <t>rmgandre@mitaoe.ac.in</t>
  </si>
  <si>
    <t>91-9096374265</t>
  </si>
  <si>
    <t>GANGURDE DHIRAJ  PRAKASH</t>
  </si>
  <si>
    <t>dpgangurde@mitaoe.ac.in</t>
  </si>
  <si>
    <t>91-7378327677</t>
  </si>
  <si>
    <t>GAWADE HARSHADA  DATTATRAY</t>
  </si>
  <si>
    <t>hdgawade@mitaoe.ac.in</t>
  </si>
  <si>
    <t>91-9511872469</t>
  </si>
  <si>
    <t>GENGANE VAIBHAV  VIJAY</t>
  </si>
  <si>
    <t>vvgengane@mitaoe.ac.in</t>
  </si>
  <si>
    <t>91-9834445653</t>
  </si>
  <si>
    <t>GHODKI VEDANT  BALKRUSHNA</t>
  </si>
  <si>
    <t>vbghodki@mitaoe.ac.in</t>
  </si>
  <si>
    <t>91-9307683407</t>
  </si>
  <si>
    <t>GHOTANKAR AMEY  PRASHANT</t>
  </si>
  <si>
    <t>apghotankar@mitaoe.ac.in</t>
  </si>
  <si>
    <t>91-9403900084</t>
  </si>
  <si>
    <t>Gorwadkar Parth  Sunil</t>
  </si>
  <si>
    <t>psgorwadkar@mitaoe.ac.in</t>
  </si>
  <si>
    <t>91-9404132123</t>
  </si>
  <si>
    <t>GOURAV  GUPTA</t>
  </si>
  <si>
    <t>gsgupta@mitaoe.ac.in</t>
  </si>
  <si>
    <t>91-9307787236</t>
  </si>
  <si>
    <t>GURAV ASHISH  SOMNATH</t>
  </si>
  <si>
    <t>ashishgurav@mitaoe.ac.in</t>
  </si>
  <si>
    <t>91-7757820134</t>
  </si>
  <si>
    <t>HALIKHEDE SACHIN  SHESHERAO</t>
  </si>
  <si>
    <t>sshalikhede@mitaoe.ac.in</t>
  </si>
  <si>
    <t>91-9022004425</t>
  </si>
  <si>
    <t>HARDAS PRATIK  ASHOK</t>
  </si>
  <si>
    <t>pahardas@mitaoe.ac.in</t>
  </si>
  <si>
    <t>91-7666512716</t>
  </si>
  <si>
    <t>HITANSHU RAMESH  MACHHI</t>
  </si>
  <si>
    <t>hrmachhi@mitaoe.ac.in</t>
  </si>
  <si>
    <t>91-7666842151</t>
  </si>
  <si>
    <t>HONSHETTE ASHA  MADHAVRAO</t>
  </si>
  <si>
    <t>amhonshette@mitaoe.ac.in</t>
  </si>
  <si>
    <t>91-7888238445</t>
  </si>
  <si>
    <t>JATHAR HRISHIKESH  VIKAS</t>
  </si>
  <si>
    <t>hvjathar@mitaoe.ac.in</t>
  </si>
  <si>
    <t>91-9970283303</t>
  </si>
  <si>
    <t>JATTIEN KUMAR  SHARMA</t>
  </si>
  <si>
    <t>jksharma@mitaoe.ac.in</t>
  </si>
  <si>
    <t>91-9149473911</t>
  </si>
  <si>
    <t>JAWALE MEGHRAJ  SHRIKANT</t>
  </si>
  <si>
    <t>msjawale@mitaoe.ac.in</t>
  </si>
  <si>
    <t>91-8308185953</t>
  </si>
  <si>
    <t>JUMADE KAKSHANK  MAHESH</t>
  </si>
  <si>
    <t>kmumade@mitaoe.ac.in</t>
  </si>
  <si>
    <t>91-9284769501</t>
  </si>
  <si>
    <t>KAKDE JAYDEEP  ASHOK</t>
  </si>
  <si>
    <t>jakakde@mitaoe.ac.in</t>
  </si>
  <si>
    <t>91-7028236622</t>
  </si>
  <si>
    <t>KAMBLE SUBODH  VIJAY</t>
  </si>
  <si>
    <t>svkamble@mitaoe.ac.in</t>
  </si>
  <si>
    <t>91-8308457815</t>
  </si>
  <si>
    <t>KANATE VEDANT  VIRENDRA</t>
  </si>
  <si>
    <t>vvkanate@mitaoe.ac.in</t>
  </si>
  <si>
    <t>91-7020213426</t>
  </si>
  <si>
    <t>KARAD ANIRHUDHA  SUDHAKAR</t>
  </si>
  <si>
    <t>anirhudhakarad@mitaoe.ac.in</t>
  </si>
  <si>
    <t>91-9730746501</t>
  </si>
  <si>
    <t>KARAD PRIYANKA  BHASKAR</t>
  </si>
  <si>
    <t>pbkarad@mitaoe.ac.in</t>
  </si>
  <si>
    <t>91-8379971142</t>
  </si>
  <si>
    <t>KEDAR ANIKET  RAMDAS</t>
  </si>
  <si>
    <t>arkedar@mitaoe.ac.in</t>
  </si>
  <si>
    <t>91-7350589311</t>
  </si>
  <si>
    <t>KEDARI SAMRUDDHI  SURYAKANT</t>
  </si>
  <si>
    <t>sskedari@mitaoe.ac.in</t>
  </si>
  <si>
    <t>91-8087159496</t>
  </si>
  <si>
    <t>Khandare Vaibhav  Anil</t>
  </si>
  <si>
    <t>vakhandare@mitaoe.ac.in</t>
  </si>
  <si>
    <t>91-9834407602</t>
  </si>
  <si>
    <t>KHARWADE CHAITANYA  PRALHAD</t>
  </si>
  <si>
    <t>cpkharwade@mitaoe.ac.in</t>
  </si>
  <si>
    <t>91-7744073196</t>
  </si>
  <si>
    <t>KOLASE KRUSHNA  BALASAHEB</t>
  </si>
  <si>
    <t>kbkolase@mitaoe.ac.in</t>
  </si>
  <si>
    <t>91-7620412219</t>
  </si>
  <si>
    <t>KOLAWALE PRATHAMESH  SUNIL</t>
  </si>
  <si>
    <t>pskolawale@mitaoe.ac.in</t>
  </si>
  <si>
    <t>91-9373927586</t>
  </si>
  <si>
    <t>KORDE ADARSH  GAJANAN</t>
  </si>
  <si>
    <t>agkorde@mitaoe.ac.in</t>
  </si>
  <si>
    <t>91-8390122181</t>
  </si>
  <si>
    <t>KOTKAR ROHAN  RAJU</t>
  </si>
  <si>
    <t>rrkotkar@mitaoe.ac.in</t>
  </si>
  <si>
    <t>91-9637240034</t>
  </si>
  <si>
    <t>KULKARNI PRATHAMESH  CHANDRASHEKHAR</t>
  </si>
  <si>
    <t>pckulkarni@mitaoe.ac.in</t>
  </si>
  <si>
    <t>91-9373560787</t>
  </si>
  <si>
    <t>LICHADE TEJAS  NAMDEO</t>
  </si>
  <si>
    <t>tnlichade@mitaoe.ac.in</t>
  </si>
  <si>
    <t>91-9112492909</t>
  </si>
  <si>
    <t>LUV  SHARMA</t>
  </si>
  <si>
    <t>lpsharma@mitaoe.ac.in</t>
  </si>
  <si>
    <t>91-7898054044</t>
  </si>
  <si>
    <t>MALI ABHISHEK  SUNIL</t>
  </si>
  <si>
    <t>malias@mitaoe.ac.in</t>
  </si>
  <si>
    <t>91-7972993185</t>
  </si>
  <si>
    <t>MALI AVISHKAR  SURYAKANT</t>
  </si>
  <si>
    <t>avishkarmali@mitaoe.ac.in</t>
  </si>
  <si>
    <t>91-8379925435</t>
  </si>
  <si>
    <t>MANE MANAS  SHANKAR</t>
  </si>
  <si>
    <t>msmane@mitaoe.ac.in</t>
  </si>
  <si>
    <t>91-7888103160</t>
  </si>
  <si>
    <t>MANE YOGESH  TANAJI</t>
  </si>
  <si>
    <t>ytmane@mitaoe.ac.in</t>
  </si>
  <si>
    <t>91-9921415689</t>
  </si>
  <si>
    <t>MANGAR SAHIL  HARIJI</t>
  </si>
  <si>
    <t>shmangar@mitaoe.ac.in</t>
  </si>
  <si>
    <t>91-9673454458</t>
  </si>
  <si>
    <t>METKARI YOGESH  DNYANESHWAR</t>
  </si>
  <si>
    <t>ydmetkari@mitaoe.ac.in</t>
  </si>
  <si>
    <t>91-9112628895</t>
  </si>
  <si>
    <t>MULLA NIHAL  SIKANDER</t>
  </si>
  <si>
    <t>nsmulla@mitaoe.ac.in</t>
  </si>
  <si>
    <t>91-9730232556</t>
  </si>
  <si>
    <t>MUNGSE RUSHIKESH  MAHADEV</t>
  </si>
  <si>
    <t>rmmungse@mitaoe.ac.in</t>
  </si>
  <si>
    <t>91-7499487810</t>
  </si>
  <si>
    <t>NAGOLKAR VAIDEHI  VINOD</t>
  </si>
  <si>
    <t>vvnagolkar@mitaoe.ac.in</t>
  </si>
  <si>
    <t>91-9404376136</t>
  </si>
  <si>
    <t>NASHIKKAR SAUMITRA  RAJESH</t>
  </si>
  <si>
    <t>srnashikkar@mitaoe.ac.in</t>
  </si>
  <si>
    <t>91-9372594988</t>
  </si>
  <si>
    <t>NIKAM ROHAN  SANJEEVAN</t>
  </si>
  <si>
    <t>rsnikam@mitaoe.ac.in</t>
  </si>
  <si>
    <t>91-7666871625</t>
  </si>
  <si>
    <t>NIRAJ VIJAY  WADHE</t>
  </si>
  <si>
    <t>nvwadhe@mitaoe.ac.in</t>
  </si>
  <si>
    <t>91-7066774202</t>
  </si>
  <si>
    <t>OMBALE SUYASH  VASANT</t>
  </si>
  <si>
    <t>svombale@mitaoe.ac.in</t>
  </si>
  <si>
    <t>91-7798864027</t>
  </si>
  <si>
    <t>PANDE SANKET  SANJAY</t>
  </si>
  <si>
    <t>sspande@mitaoe.ac.in</t>
  </si>
  <si>
    <t>91-7057262159</t>
  </si>
  <si>
    <t>PARDESHI ARJUN  RAJUSING</t>
  </si>
  <si>
    <t>arpardeshi@mitaoe.ac.in</t>
  </si>
  <si>
    <t>91-7620186464</t>
  </si>
  <si>
    <t>PARVE SUYASH  SANJAY</t>
  </si>
  <si>
    <t>ssparve@mitaoe.ac.in</t>
  </si>
  <si>
    <t>91-9623007591</t>
  </si>
  <si>
    <t>PATIL DEEPAK  SANDEEP</t>
  </si>
  <si>
    <t>patilds@mitaoe.ac.in</t>
  </si>
  <si>
    <t>91-9130402728</t>
  </si>
  <si>
    <t>PATIL SUMEDH  SHITAL</t>
  </si>
  <si>
    <t>sumedhpatil@mitaoe.ac.in</t>
  </si>
  <si>
    <t>91-9561617347</t>
  </si>
  <si>
    <t>PATIL VISHAL  TIRTHARAJ</t>
  </si>
  <si>
    <t>vtpatil@mitaoe.ac.in</t>
  </si>
  <si>
    <t>91-9359130982</t>
  </si>
  <si>
    <t>PAWAR ABHISHEK  MILIND</t>
  </si>
  <si>
    <t>ampawar@mitaoe.ac.in</t>
  </si>
  <si>
    <t>91-9075622365</t>
  </si>
  <si>
    <t>PAWAR MAYUR  ANIL</t>
  </si>
  <si>
    <t>mapawar@mitaoe.ac.in</t>
  </si>
  <si>
    <t>91-7378793585</t>
  </si>
  <si>
    <t>POWAR SAURABH  BHIMRAO</t>
  </si>
  <si>
    <t>saurabhpowar@mitaoe.ac.in</t>
  </si>
  <si>
    <t>91-9867949254</t>
  </si>
  <si>
    <t>PRAKHAR  ADARSH</t>
  </si>
  <si>
    <t>padarsh@mitaoe.ac.in</t>
  </si>
  <si>
    <t>91-9102794214</t>
  </si>
  <si>
    <t>PRATIK MILIND  PATIL</t>
  </si>
  <si>
    <t>pmpatil@mitaoe.ac.in</t>
  </si>
  <si>
    <t>91-9309967892</t>
  </si>
  <si>
    <t>PUND ABHISHEK  NAGNATH</t>
  </si>
  <si>
    <t>anpund@mitaoe.ac.in</t>
  </si>
  <si>
    <t>91-9370996998</t>
  </si>
  <si>
    <t>RAUT TANAYA  TARACHAND</t>
  </si>
  <si>
    <t>ttraut@mitaoe.ac.in</t>
  </si>
  <si>
    <t>91-7875865900</t>
  </si>
  <si>
    <t>RISHABH  RAJ</t>
  </si>
  <si>
    <t>rraj@mitaoe.ac.in</t>
  </si>
  <si>
    <t>91-7260063444</t>
  </si>
  <si>
    <t>ROHITGIR GOKULGIR  GOSAVI</t>
  </si>
  <si>
    <t>rggosavi@mitaoe.ac.in</t>
  </si>
  <si>
    <t>91-9307576887</t>
  </si>
  <si>
    <t>SADAKAL PRATHAMESH  RAM</t>
  </si>
  <si>
    <t>prsadakal@mitaoe.ac.in</t>
  </si>
  <si>
    <t>91-8788352681</t>
  </si>
  <si>
    <t>SAHANE AMOL  SUNIL</t>
  </si>
  <si>
    <t>assahane@mitaoe.ac.in</t>
  </si>
  <si>
    <t>91-7517871635</t>
  </si>
  <si>
    <t>SAMYAK VNAYAK  DETHE</t>
  </si>
  <si>
    <t>svdethe@mitaoe.ac.in</t>
  </si>
  <si>
    <t>91-9226265670</t>
  </si>
  <si>
    <t>SANGOLKAR ATUL  ANKUSH</t>
  </si>
  <si>
    <t>aasangolkar@mitaoe.ac.in</t>
  </si>
  <si>
    <t>91-7757071635</t>
  </si>
  <si>
    <t>SARVE SHREYASH  ANIL</t>
  </si>
  <si>
    <t>sasarve@mitaoe.ac.in</t>
  </si>
  <si>
    <t>91-7385695457</t>
  </si>
  <si>
    <t>SATOTE NILIMA  GULAB</t>
  </si>
  <si>
    <t>ngsatote@mitaoe.ac.in</t>
  </si>
  <si>
    <t>91-7410501071</t>
  </si>
  <si>
    <t>SAUBHAGYA  MONAL</t>
  </si>
  <si>
    <t>scmonal@mitaoe.ac.in</t>
  </si>
  <si>
    <t>91-7424947990</t>
  </si>
  <si>
    <t>SHEIKH TAUHID  JAFAR</t>
  </si>
  <si>
    <t>tjsheikh@mitaoe.ac.in</t>
  </si>
  <si>
    <t>91-9673737188</t>
  </si>
  <si>
    <t>SHREYASH SUNIL  BHAGAT</t>
  </si>
  <si>
    <t>ssbhagat@mitaoe.ac.in</t>
  </si>
  <si>
    <t>91-8237623788</t>
  </si>
  <si>
    <t>SIDDHANT  TUPSAKHARE</t>
  </si>
  <si>
    <t>sstupsakhare@mitaoe.ac.in</t>
  </si>
  <si>
    <t>91-7083974481</t>
  </si>
  <si>
    <t>SOLANKI MOHIT  RAJENDRA</t>
  </si>
  <si>
    <t>mrsolanki@mitaoe.ac.in</t>
  </si>
  <si>
    <t>91-8149486040</t>
  </si>
  <si>
    <t>TELANG DHANASHREE  NAGNATH</t>
  </si>
  <si>
    <t>dntelang@mitaoe.ac.in</t>
  </si>
  <si>
    <t>91-9421847688</t>
  </si>
  <si>
    <t>THAKARE VIDHI  SACHIN</t>
  </si>
  <si>
    <t>vsthakare@mitaoe.ac.in</t>
  </si>
  <si>
    <t>91-7744846629</t>
  </si>
  <si>
    <t>THANGE RUSHIKESH  BABAN</t>
  </si>
  <si>
    <t>rbthange@mitaoe.ac.in</t>
  </si>
  <si>
    <t>91-9623482225</t>
  </si>
  <si>
    <t>THORAT SHREYASH  NANDU</t>
  </si>
  <si>
    <t>snthorat@mitaoe.ac.in</t>
  </si>
  <si>
    <t>91-7020758620</t>
  </si>
  <si>
    <t>TILE AARTI  SUBHASH</t>
  </si>
  <si>
    <t>astile@mitaoe.ac.in</t>
  </si>
  <si>
    <t>91-9552151304</t>
  </si>
  <si>
    <t>TOSHNIWAL YASH  OMPRAKASH</t>
  </si>
  <si>
    <t>yotoshinwar@mitaoe.ac.in</t>
  </si>
  <si>
    <t>91-9850694445</t>
  </si>
  <si>
    <t>TRIPATHI PRIYANSHU  RAJESH</t>
  </si>
  <si>
    <t>prtripathi@mitaoe.ac.in</t>
  </si>
  <si>
    <t>91-7021916530</t>
  </si>
  <si>
    <t>UGALE SIDDHESH  ARVIND</t>
  </si>
  <si>
    <t>saugale@mitaoe.ac.in</t>
  </si>
  <si>
    <t>91-9284325074</t>
  </si>
  <si>
    <t>UMBARKAR ATHARVA  BALASAHEB</t>
  </si>
  <si>
    <t>abumbarkar@mitaoe.ac.in</t>
  </si>
  <si>
    <t>91-9822661045</t>
  </si>
  <si>
    <t>UNDARE PRAJYOT  PRADIP</t>
  </si>
  <si>
    <t>ppundare@mitaoe.ac.in</t>
  </si>
  <si>
    <t>91-9604309490</t>
  </si>
  <si>
    <t>VAIKAR AMEY  AVINASH</t>
  </si>
  <si>
    <t>aavaikar@mitaoe.ac.in</t>
  </si>
  <si>
    <t>91-9657508499</t>
  </si>
  <si>
    <t>WAGH ABHISHEK  RAMDAS</t>
  </si>
  <si>
    <t>abhishekwagh@mitaoe.ac.in</t>
  </si>
  <si>
    <t>91-8806051617</t>
  </si>
  <si>
    <t>WAGHAMODE PRATIKSHA  RAMACHANDRA</t>
  </si>
  <si>
    <t>prwaghamode@mitaoe.ac.in</t>
  </si>
  <si>
    <t>91-7588377213</t>
  </si>
  <si>
    <t>WAYKOS ROHIT  MANGESH</t>
  </si>
  <si>
    <t>rmwaykos@mitaoe.ac.in</t>
  </si>
  <si>
    <t>91-9372679745</t>
  </si>
  <si>
    <t>Timestamp</t>
  </si>
  <si>
    <t>Email Address</t>
  </si>
  <si>
    <t>PRN (Permanent Registration Number)</t>
  </si>
  <si>
    <t>First Name</t>
  </si>
  <si>
    <t>Middle Name</t>
  </si>
  <si>
    <t>Last Name</t>
  </si>
  <si>
    <t>Gender</t>
  </si>
  <si>
    <t>Date Of Birth</t>
  </si>
  <si>
    <t>Year of Admission</t>
  </si>
  <si>
    <t>Type of Admission</t>
  </si>
  <si>
    <t>Do you wish to get College Placements?</t>
  </si>
  <si>
    <t>Opt-Out Form Placement (Undertaking)</t>
  </si>
  <si>
    <t>Personal Email</t>
  </si>
  <si>
    <t xml:space="preserve">College Mail ID </t>
  </si>
  <si>
    <t>LinkedIn Profile URL</t>
  </si>
  <si>
    <t>Mobile Number</t>
  </si>
  <si>
    <t>WhatsApp Number</t>
  </si>
  <si>
    <t>Alternate Number</t>
  </si>
  <si>
    <t>Father's Name ( Write NA if not Applicable )</t>
  </si>
  <si>
    <t>Mother's Name</t>
  </si>
  <si>
    <t xml:space="preserve">Permanent Address </t>
  </si>
  <si>
    <t>Current/Correspondence Address</t>
  </si>
  <si>
    <t>SSC (Class X) Percentage only  ( Do Not write % sign)</t>
  </si>
  <si>
    <t>Are you a Diploma Student?</t>
  </si>
  <si>
    <t>SGPA: SY Sem 1</t>
  </si>
  <si>
    <t>SGPA: SY Sem 2</t>
  </si>
  <si>
    <t>SGPA: TY Sem 1 ( Write NA if Awaiting)</t>
  </si>
  <si>
    <t>SGPA: TY Sem 2 ( Write NA if Awaiting)</t>
  </si>
  <si>
    <t>SGPA: BTech Sem 1 ( Write NA if Awaiting)</t>
  </si>
  <si>
    <t>SGPA: BTech Sem 2 ( Write NA if Awaiting)</t>
  </si>
  <si>
    <t xml:space="preserve">SGPA: FY Sem 1 </t>
  </si>
  <si>
    <t>SGPA: FY Sem 2</t>
  </si>
  <si>
    <t>HSC (Class XII) Percentage</t>
  </si>
  <si>
    <t>Diploma Percentage</t>
  </si>
  <si>
    <t>Did you give AMCAT Exam in SY?</t>
  </si>
  <si>
    <t>Did you give AMCAT Exam in TY?</t>
  </si>
  <si>
    <t>Avg. ELQ Score in SY</t>
  </si>
  <si>
    <t>Avg. ELQ Score in TY</t>
  </si>
  <si>
    <t>Did you ever have any backlog?</t>
  </si>
  <si>
    <t>Live/Pending Backlog Details</t>
  </si>
  <si>
    <t>Dead/Cleared Backlog Details</t>
  </si>
  <si>
    <t>Completed Certification #1</t>
  </si>
  <si>
    <t>Other Completed Certifications</t>
  </si>
  <si>
    <t>Ongoing Certifications</t>
  </si>
  <si>
    <t>Dropped Certifications</t>
  </si>
  <si>
    <t>FY Summer Internship Program Details</t>
  </si>
  <si>
    <t xml:space="preserve">SY Summer Internship or Project Details </t>
  </si>
  <si>
    <t xml:space="preserve">TY Summer Internship, Project or Consultancy Details </t>
  </si>
  <si>
    <t>Sponsored Project - Industry (Title)</t>
  </si>
  <si>
    <t>B.E. or Diploma Project (Title)</t>
  </si>
  <si>
    <t>Open Elective - Specialisation</t>
  </si>
  <si>
    <t>Programming Languages Known</t>
  </si>
  <si>
    <t>Frameworks Known</t>
  </si>
  <si>
    <t>Software Known</t>
  </si>
  <si>
    <t>Additional Communication Languages Known</t>
  </si>
  <si>
    <t>Co-curricular Activities (Top 3) ( Write NA if Not)</t>
  </si>
  <si>
    <t>Special Achievements (State/National Level)</t>
  </si>
  <si>
    <t>Scholarship Availed</t>
  </si>
  <si>
    <t>Additional Training Details</t>
  </si>
  <si>
    <t>Extra Curricular Activities</t>
  </si>
  <si>
    <t>Preskillet Video Interview Drive Link</t>
  </si>
  <si>
    <t xml:space="preserve">Passport Size Photo -- (Write Name_Branch_2023.Jpeg) this will easily make search </t>
  </si>
  <si>
    <t>SY AMCAT Result</t>
  </si>
  <si>
    <t>TY AMCAT Result</t>
  </si>
  <si>
    <t>Industry Certifications - All Compiled</t>
  </si>
  <si>
    <t>Educational Certifications - All Compiled</t>
  </si>
  <si>
    <t>Internship Certifications - All Compiled</t>
  </si>
  <si>
    <t>Internship Certificates - All Compiled (Updated)</t>
  </si>
  <si>
    <t>Educational Certifications - All Compiled (Updated)</t>
  </si>
  <si>
    <t>Technical Certifications - All Compiled (Updated)</t>
  </si>
  <si>
    <t>SY AMCAT Result - All Compiled (Updated)</t>
  </si>
  <si>
    <t>TY AMCAT Result - All Compiled (Updated)</t>
  </si>
  <si>
    <t>Remark: What did you update and why?</t>
  </si>
  <si>
    <t>Certificate</t>
  </si>
  <si>
    <t>Branch Final</t>
  </si>
  <si>
    <t>Final AMCAT (SY)</t>
  </si>
  <si>
    <t>Final AMCAT (TY)</t>
  </si>
  <si>
    <t>AMCAT-1  YES/NO</t>
  </si>
  <si>
    <t>AMCAT-2 YES/NO</t>
  </si>
  <si>
    <t>Certification Yes / NO</t>
  </si>
  <si>
    <t>Eligible Yes NO</t>
  </si>
  <si>
    <t>Awaiting</t>
  </si>
  <si>
    <t>0120190124</t>
  </si>
  <si>
    <t>SANKET</t>
  </si>
  <si>
    <t>SAKHARAM</t>
  </si>
  <si>
    <t>KALE</t>
  </si>
  <si>
    <t>Male</t>
  </si>
  <si>
    <t>First Year Admission (Regular)</t>
  </si>
  <si>
    <t>Yes</t>
  </si>
  <si>
    <t>kalesanket2001@gmail.com</t>
  </si>
  <si>
    <t xml:space="preserve">sanketkale@mitaoe.ac.in </t>
  </si>
  <si>
    <t>https://www.linkedin.com/in/sanket-kale-001/</t>
  </si>
  <si>
    <t xml:space="preserve">SAKHARAM </t>
  </si>
  <si>
    <t>PUSHPA</t>
  </si>
  <si>
    <t>House No.112, Tehsil Road, Rashin- 414403, Tal- Karjat, Dist-Ahmednagar</t>
  </si>
  <si>
    <t>Flat No.203, Asara Dnyanteerth, Near MIT Academy of Engineering, Dehu Phata, Alandi- 412 105</t>
  </si>
  <si>
    <t>No, I continued with HSC/Class XII after class X</t>
  </si>
  <si>
    <t>NA</t>
  </si>
  <si>
    <t>No</t>
  </si>
  <si>
    <t>Python for Everybody</t>
  </si>
  <si>
    <t xml:space="preserve">Basics of HTML
CFD 
Ansys Fluent </t>
  </si>
  <si>
    <t>Matlab maths optimization</t>
  </si>
  <si>
    <t>Coursera Python Course</t>
  </si>
  <si>
    <t xml:space="preserve">CFD Internship at IIT Indore </t>
  </si>
  <si>
    <t>Research Intern at ICT, Mumbai</t>
  </si>
  <si>
    <t>Synthesis of Polymeric material for dye removal from industrial effluent</t>
  </si>
  <si>
    <t>Process Engineering</t>
  </si>
  <si>
    <t>Python, C/C++, HTML, CSS, JavaScript</t>
  </si>
  <si>
    <t>NONE</t>
  </si>
  <si>
    <t>AutoCAD, Fusion 360, CATIA, ANSYS, MATLAB</t>
  </si>
  <si>
    <t>Poster Presentation in number of events
Presentation of Prototype in BAJA 2021
Paper presentation in Prakalp 2020-21</t>
  </si>
  <si>
    <t xml:space="preserve">Received 2nd prize in Go Green SAE BAJA India 2021 </t>
  </si>
  <si>
    <t>Part of Team Niyudrath Racing club, part of Quality circle of department of chemical engineering 2020 and 2021</t>
  </si>
  <si>
    <t>https://preskilet.com/watch?v=62b2c771cd590700045fb323</t>
  </si>
  <si>
    <t>https://drive.google.com/open?id=1v5M7RavyksZbcycZB2cCUZeR2-N0K91y</t>
  </si>
  <si>
    <t>https://drive.google.com/open?id=1bG6ZDiif4hIZIAM8JvFphmay3f2SS3u5</t>
  </si>
  <si>
    <t>https://drive.google.com/open?id=1XbKQlxHzwUYrF6-8ZsVSn_sooaNW5BiU</t>
  </si>
  <si>
    <t>https://drive.google.com/open?id=1YYi-azVtX8RDFnPFTFMVjX73pKlOhESf</t>
  </si>
  <si>
    <t>https://drive.google.com/open?id=13U-ALWTkueueKI-rTh5hRHHVbISWgqwS</t>
  </si>
  <si>
    <t>https://drive.google.com/open?id=1RQ8bhOm9q2Bmy5g3fW_cIRBMP-j3SXYJ</t>
  </si>
  <si>
    <t>https://drive.google.com/open?id=1CckL91wk647TuNQu--ALqtvq9MYHmXYQ</t>
  </si>
  <si>
    <t>Updated Technical Certifications as I received my latest Technical Certification in Programming Techniques on 24th June 2022, so I updated the same by adding new certificate combined with older ones.</t>
  </si>
  <si>
    <t>YES</t>
  </si>
  <si>
    <t>0120190348</t>
  </si>
  <si>
    <t>MUSKAN</t>
  </si>
  <si>
    <t>MAHESH</t>
  </si>
  <si>
    <t>BHARADIA</t>
  </si>
  <si>
    <t>Female</t>
  </si>
  <si>
    <t>muskanbharadia0@gmail.com</t>
  </si>
  <si>
    <t>https://www.linkedin.com/in/muskan-bharadia-bb8485210</t>
  </si>
  <si>
    <t>MAHESH BHARADIA</t>
  </si>
  <si>
    <t>SANGITA BHARADIA</t>
  </si>
  <si>
    <t>Chikhali devasthan behind kalamna market. Block- K, Building G-11. Nagpur (440008)</t>
  </si>
  <si>
    <t>AMT221T- Applied Mechanics</t>
  </si>
  <si>
    <t>TCS- Legacy Application Modernization Course</t>
  </si>
  <si>
    <t>Internship studio- Couse on Artificial Intelligence '
Accenture- Developer Program</t>
  </si>
  <si>
    <t>Extraction of oil from biological waste.
Internship- IIT Ropar (2 months), worked on project and developed a patent</t>
  </si>
  <si>
    <t>Internship Studio- AI (German to English language Translation)
Summer Internship- ICT Mumbai (2 months) on Coke oven effluent treatment</t>
  </si>
  <si>
    <t xml:space="preserve">Agriculture and Water Technology Development Hub + IIT Ropar - Design a organic biowaste fertilizer granulator </t>
  </si>
  <si>
    <t xml:space="preserve">Extraction of silica from rice husk ash </t>
  </si>
  <si>
    <t>Python, Java, C/C++</t>
  </si>
  <si>
    <t>Flask (Python), Robot Framework</t>
  </si>
  <si>
    <t>AutoCAD, Fusion 360, SolidWorks, CATIA, ANSYS, Proteus, MATLAB</t>
  </si>
  <si>
    <t>Sanskrit</t>
  </si>
  <si>
    <t xml:space="preserve">Paper Presentation 
Technical Quiz Competition 
Engineering Olympiad (Secured AIR 71th Rank)  </t>
  </si>
  <si>
    <t xml:space="preserve">Engineering Olympiad (Secured AIR 71th Rank)  
3rd Prize in technical quiz competition </t>
  </si>
  <si>
    <t>Internship Studio- Training in AI</t>
  </si>
  <si>
    <t>Sports (Badminton)</t>
  </si>
  <si>
    <t>https://drive.google.com/file/d/18n9RkNZ8YQ9uYLRBaJDmu9eeK2HMhaGt/view?usp=sharing</t>
  </si>
  <si>
    <t>https://drive.google.com/open?id=1aDK9MAKW6ZYaHdc5svrxDvSkr9CKpFWd</t>
  </si>
  <si>
    <t>https://drive.google.com/open?id=1D38XNgPF4207HfSWul6vK-exbKx49zxN</t>
  </si>
  <si>
    <t>https://drive.google.com/open?id=1IFnpHwUMaP55EWtf6gh-7qsa6vGSqWDZ</t>
  </si>
  <si>
    <t>https://drive.google.com/open?id=1bS1i1RLWOF1DmsaPOTvdC_duswfnSJ4M</t>
  </si>
  <si>
    <t>https://drive.google.com/open?id=1B5buPvWfBso53QMLxcqBegyGscwYSh_s</t>
  </si>
  <si>
    <t>https://drive.google.com/open?id=1FOPennmZ_NFzrMbkCmEeRBQXv-hMpqIY</t>
  </si>
  <si>
    <t>0120190486</t>
  </si>
  <si>
    <t>SADAF</t>
  </si>
  <si>
    <t>RAFIQ</t>
  </si>
  <si>
    <t>SHAIKH</t>
  </si>
  <si>
    <t>sadafshaikhrafique@gmail.com</t>
  </si>
  <si>
    <t>https://www.linkedin.com/in/sadaf-shaikh-4885951aa/</t>
  </si>
  <si>
    <t xml:space="preserve">RAFIQUE SHAIKH </t>
  </si>
  <si>
    <t>SHABANA SHAIKH RAFIQUE</t>
  </si>
  <si>
    <t>Room no 01, Shivneri Chawl, BEST Nagar, Filter Pada, Pathanwadi, Powai, Mumbai-400087</t>
  </si>
  <si>
    <t>Room no 1302, Golden Isle Building, Royal Palms, Aarey Colony, Goregaon East, Mumbai-400065</t>
  </si>
  <si>
    <t>CS101T- Logic Development C Programming 
ME104T- Engineering Graphics</t>
  </si>
  <si>
    <t xml:space="preserve">Introduction to Python Programming: Microsoft </t>
  </si>
  <si>
    <t>Worked as Content writer at Roads 2 Future.com</t>
  </si>
  <si>
    <t>Worked as Content development and Outreach Intern at Collab Lab from October 2020 to July 2021. Worked as a Research intern at Greenovate Solutions, Worked as a Content writer at E-cell MITAOE May 1st to July 31st 2021.</t>
  </si>
  <si>
    <t>Intern at Advance Paints. Mumbai based paint company. Website: http://advancepaints.com/</t>
  </si>
  <si>
    <t>Formation Hydrophobic Nano Coating.</t>
  </si>
  <si>
    <t>Python</t>
  </si>
  <si>
    <t>AutoCAD, Fusion 360, MATLAB, Aspen Hysys</t>
  </si>
  <si>
    <t>Participated In Prakalp 2020(Paper Presntation). 
Participated in Prakalp 2021 (Paper Presentation).
Participated in Technomela 2019 (Autocad Competition)</t>
  </si>
  <si>
    <t>AIR 6000 JEE MAIN 2019 State Level Maharashtra</t>
  </si>
  <si>
    <t>Chatrapati Rajarshi Shahu Maharaj Nirvaha Yojna (EBC) Scholarship</t>
  </si>
  <si>
    <t>Content lead at TEDx MITAOE 2021
Vice President of Prakruti Club MITAOE 2021-22
Content Writer at E-Cell MITAOE, GDSC MITAOE
Executive Body of IICHE 2020-2021
Freelance Content Writer and Self Published Author.</t>
  </si>
  <si>
    <t>https://preskilet.com/sadafshaikh@mitaoe.ac.in</t>
  </si>
  <si>
    <t>https://drive.google.com/open?id=1HclrmSHFuyhrCRdk33CILPdRHwU8dYK_</t>
  </si>
  <si>
    <t>https://drive.google.com/open?id=1y1UuHz84RkFGAFl6bxrD4spvJaoLMmvr</t>
  </si>
  <si>
    <t>https://drive.google.com/open?id=1kqAYWZJ-0gSB_QytXttIN7eXRDF5RV2g</t>
  </si>
  <si>
    <t>https://drive.google.com/open?id=1scB5Fb1ZTsq7YVcBV61QmvhyulLgPja1</t>
  </si>
  <si>
    <t>https://drive.google.com/open?id=10utmJHq-TZi7ZICNjUueF-a4F9lXJ-2G</t>
  </si>
  <si>
    <t>https://drive.google.com/open?id=1uv8E6Z7Ck_l9BioRc11NVBKLlHePEZiO</t>
  </si>
  <si>
    <t>I updated my certicate of technical certification on its completion.</t>
  </si>
  <si>
    <t>0120190037</t>
  </si>
  <si>
    <t xml:space="preserve">UDAY </t>
  </si>
  <si>
    <t xml:space="preserve">BADRINATH </t>
  </si>
  <si>
    <t xml:space="preserve">PADOLE </t>
  </si>
  <si>
    <t>upadole76@gmail.com</t>
  </si>
  <si>
    <t xml:space="preserve">ubpadole@mitaoe.ac.in </t>
  </si>
  <si>
    <t>https://www.linkedin.com/in/uday-padole-6b9881212</t>
  </si>
  <si>
    <t xml:space="preserve">VAISHALI </t>
  </si>
  <si>
    <t>ATP: MATAPUR,TEL: SHRIRAMPUR,DIST: AHMADNAGAR,413717</t>
  </si>
  <si>
    <t xml:space="preserve">NO BACKLOG </t>
  </si>
  <si>
    <t xml:space="preserve">Introduction of  PYTHON </t>
  </si>
  <si>
    <t xml:space="preserve">ASN PACKAGING CHAKAN 
Advance paint Mumbai </t>
  </si>
  <si>
    <t>Project: Production of methanol from CO2</t>
  </si>
  <si>
    <t xml:space="preserve">Project: Production of BIO-CNG FROM NAPIER GRASS </t>
  </si>
  <si>
    <t xml:space="preserve">Production of bio-cng from napier grass </t>
  </si>
  <si>
    <t>Python, C/C++</t>
  </si>
  <si>
    <t xml:space="preserve">AutoCAD, MATLAB, Aspen hysys </t>
  </si>
  <si>
    <t>Prakalp</t>
  </si>
  <si>
    <t>https://preskilet.com/62bdbbc79535010004fd28a2</t>
  </si>
  <si>
    <t>https://drive.google.com/open?id=16d3jKsZPYWAwj2qZ_k-TXHTmubF-c-o1</t>
  </si>
  <si>
    <t>https://drive.google.com/open?id=1K72835dQGlo78AE5R8YtRvZbJ-Ap9TMl</t>
  </si>
  <si>
    <t>https://drive.google.com/open?id=1d-Wf98H8Tw_BhfSIUCdzWCqn5Li9gNq3</t>
  </si>
  <si>
    <t>https://drive.google.com/open?id=1wOmLxt_kA6NVjdr0SY_vBObWwtdtRPwA</t>
  </si>
  <si>
    <t>Certification course , presklit link</t>
  </si>
  <si>
    <t>NO</t>
  </si>
  <si>
    <t>yes</t>
  </si>
  <si>
    <t>0120190188</t>
  </si>
  <si>
    <t>KUNAL</t>
  </si>
  <si>
    <t>DHARMENDRA</t>
  </si>
  <si>
    <t>LOKHANDE</t>
  </si>
  <si>
    <t>kunallokhande2111@gmail.com</t>
  </si>
  <si>
    <t>https://www.linkedin.com/in/kunal-lokhande-06481920b/</t>
  </si>
  <si>
    <t>PRITI</t>
  </si>
  <si>
    <t xml:space="preserve">125, bazar peth, pimpalner </t>
  </si>
  <si>
    <t>AS105T - CALCULUS AND DIFFERENTIAL EQUATIONS
AS106T - ENGINEERING PHYSICS</t>
  </si>
  <si>
    <t>MATLAB: MATLAB Programming Techniques</t>
  </si>
  <si>
    <t>Cousera: Doing more with Google Sheets</t>
  </si>
  <si>
    <t>RCF Internship</t>
  </si>
  <si>
    <t>Social Media Intern at SEMS Welfare Foundation</t>
  </si>
  <si>
    <t>RCF</t>
  </si>
  <si>
    <t>SYNTHESIS OF POLYMERIC MATERIAL FOR REMOVAL OF 
DYES FROM WATER</t>
  </si>
  <si>
    <t>Python, C#</t>
  </si>
  <si>
    <t>AutoCAD, Fusion 360, ANSYS, Proteus, MATLAB</t>
  </si>
  <si>
    <t>Presented Paper in Prakalp In 2020
Host of the Prakalp in 2021</t>
  </si>
  <si>
    <t xml:space="preserve">Member of Institution’s Innovation Council </t>
  </si>
  <si>
    <t>https://preskilet.com/watch?v=621e27c6f7fd760004a9f55b</t>
  </si>
  <si>
    <t>https://drive.google.com/open?id=1q8FN3Te5DHczkmW52zGKMS799sPgrGaE</t>
  </si>
  <si>
    <t>Not avalable</t>
  </si>
  <si>
    <t>https://drive.google.com/open?id=1EsNP6bvKPPmkvo1l1EfhuxzKRwCyB9U_</t>
  </si>
  <si>
    <t>https://drive.google.com/open?id=1ZY7WQdSSq0kS88b5rAlklTyiDoQZ5WUu</t>
  </si>
  <si>
    <t>https://drive.google.com/open?id=1KxUZrRfTKuPxHnpas_4R8kG226FCMfK9</t>
  </si>
  <si>
    <t>https://drive.google.com/open?id=1tmTPqwStAq8mxF28JO2CSgwo0YDr2FN1</t>
  </si>
  <si>
    <t xml:space="preserve">AMCAT report </t>
  </si>
  <si>
    <t>0220200019</t>
  </si>
  <si>
    <t>CHAITANYA</t>
  </si>
  <si>
    <t>SUNIL</t>
  </si>
  <si>
    <t>UMBARKAR</t>
  </si>
  <si>
    <t>Second Year Direct (DSY)</t>
  </si>
  <si>
    <t>chaitanyaumbarkar@gmail.com</t>
  </si>
  <si>
    <t>https://www.linkedin.com/in/chaitanya-umbarkar-68a11b234</t>
  </si>
  <si>
    <t>SUNIL BABURAO UMBARKAR</t>
  </si>
  <si>
    <t>JAYSHREE SUNIL UMBARKAR</t>
  </si>
  <si>
    <t>Shri. Swami Samarth Nagar, Faizpur road, Yawal Dist- Jalgaon 425301</t>
  </si>
  <si>
    <t>Near MIT ART AND SCIENCE COLLEGE Alandi</t>
  </si>
  <si>
    <t>Yes, I did Diploma after class X</t>
  </si>
  <si>
    <t>English 98%,   Logical 93%,   Quantitative 99%</t>
  </si>
  <si>
    <t>English 64%,   Logical 87%,   Quantitative 99%</t>
  </si>
  <si>
    <t>ACU-HYSYS01 : Aspen HYSYS User Certification Exam</t>
  </si>
  <si>
    <t>MICROSOFT 98-381: Introduction to Programming Using Python</t>
  </si>
  <si>
    <t>Internship : Introduction to Petroleum Engineering Course through COURSERA 
Project : Designing and Simulation of Cyclone separator</t>
  </si>
  <si>
    <t>Internship : Inplant traning at Thermal Power Station, Deepnagar, Bhusawal , Duration 1 month
Projects : Designing and Simulation of Evaporators.</t>
  </si>
  <si>
    <t>Designing and Simulation of Evaporator</t>
  </si>
  <si>
    <t>AutoCAD, ANSYS, MATLAB, ASPEN PLUS , ASPEN EDR, ASPEN PLUS, DWSIM</t>
  </si>
  <si>
    <t xml:space="preserve">NA
</t>
  </si>
  <si>
    <t>Completed paid In-plant training at RCF Alibagh during Diploma for duration of 1 month.</t>
  </si>
  <si>
    <t xml:space="preserve">1) Participated in “Legendary National Level Chess Tournament” held Online by MIT World Peace  University, Pune on 10th July 2021
2) Worked as Head of prototype event , Executive Member, Departmental events coordinator CHESA (Chemical Engineering Students Association) at Government Polytechnic ,Thane 2019-2020
3) Participated in “INTERMEDIATED GRADE DRAWING EXAMINATION” held by Government 
of Maharashtra Drawing Grade Examination in the year 2016 , Passing with grade “C”.
4) Worked as Head Boy of Secondary School in Bal Sanskar Madhyamik Vidhyalaya, Yawal. In 2015-2016-2017.
5) Passed with A+ in “COMPUTER BASED ENGLISH TYPING” designed and developed by All India Council For Professional Excellence on 29/07/2017.
6) Successfully completed “MS-CIT” with scoring 94% marks on June 2017
</t>
  </si>
  <si>
    <t>https://preskilet.com/watch?v=62b2d2b8cd590700045fb39e</t>
  </si>
  <si>
    <t>https://drive.google.com/open?id=1wnT2EFBAeH6HqGKwl8g0xBpRLJWII2z-</t>
  </si>
  <si>
    <t>https://drive.google.com/open?id=1Q4cuj0GvYUjNTb976Q-RDtkoTLP--RKt</t>
  </si>
  <si>
    <t>https://drive.google.com/open?id=1m_8motoCkGSu2_1nb7uHqIuXrIlpPa8s</t>
  </si>
  <si>
    <t>https://drive.google.com/open?id=1QjeB9rGfhWgyrqQH4AqB-RCpNTSkykoH</t>
  </si>
  <si>
    <t>https://drive.google.com/open?id=1DwDVCIpFO4NQIy6XWg7_HXlVWsvZVVxD</t>
  </si>
  <si>
    <t>https://drive.google.com/open?id=1kAAaFFex8uGta-HA6qKQEpXdza7vFRJq</t>
  </si>
  <si>
    <t>https://drive.google.com/open?id=18dzCKu4r8ilKCOmCETNuKIOXHubEjlXm</t>
  </si>
  <si>
    <t>https://drive.google.com/open?id=15Ig3Y9hHmqNB8pKxQgSJ6iye1QESUeTI</t>
  </si>
  <si>
    <t xml:space="preserve">Amcat results are only updated, The amcat result wasn't able to download from site </t>
  </si>
  <si>
    <t>0220200021</t>
  </si>
  <si>
    <t>SIDDHARTH</t>
  </si>
  <si>
    <t>VINOD</t>
  </si>
  <si>
    <t>PATIL</t>
  </si>
  <si>
    <t>siddvp185@gmail.com</t>
  </si>
  <si>
    <t>https://www.linkedin.com/in/siddharth-patil-738a26229</t>
  </si>
  <si>
    <t>VINOD DHANSINGH PATIL</t>
  </si>
  <si>
    <t>PRATIBHA VINOD PATIL</t>
  </si>
  <si>
    <t xml:space="preserve">House no-141 ,Hudco colony jamner road,Bhusawal,dist-Jalgaon. </t>
  </si>
  <si>
    <t>Near MIT ART AND SCIENCE COLLEGE ALANDI</t>
  </si>
  <si>
    <t>ACU-HYSYS01 : Aspen hysys user certification Exam.</t>
  </si>
  <si>
    <t>ONGOING</t>
  </si>
  <si>
    <t>MICROSOFT 98-381 : Introduction to programming using Python.</t>
  </si>
  <si>
    <t>Internship : Introduction to petroleum engineering course through coursera.
Project : Designing and simulation of cyclone separator.</t>
  </si>
  <si>
    <t>internship : Inplant training at Thermal Power Station, Deepnagar,Bhusawal, duration 1 month.
Project : Designing and simulation of azeotropic distillation column.</t>
  </si>
  <si>
    <t>Designing and simulation of Azeotropic Distillation Column.</t>
  </si>
  <si>
    <t>AutoCAD, ANSYS, MATLAB, ASPEN HYSYS,DWSIM</t>
  </si>
  <si>
    <t>Completed the paid Inplant training at RCF Alibagh during Diploma for duration of 1 month.</t>
  </si>
  <si>
    <t>Worked as Technical head and organised quiz, debate event ,
Executive Member, Departmental events coordinator CHESA (Chemical Engineering Students Association) at Government Polytechnic ,Thane 2019-2020.
Participated in “Debate” at state level organised by Thakur Polytechnic Engineering college.
Participated in “Technical Paper Presentation” at state level organised by Thakur Polytechnic Engineering college.</t>
  </si>
  <si>
    <t>https://preskilet.com/watch?v=62b3f83330b2800004522e2a</t>
  </si>
  <si>
    <t>https://drive.google.com/open?id=1oDSc1yxDu6eKIxzl48vJY1563HDx8jI9</t>
  </si>
  <si>
    <t>https://drive.google.com/open?id=1ExCJdqI7BQu9o75JjOotr7L-muP_KPUW</t>
  </si>
  <si>
    <t>https://drive.google.com/open?id=1yoNysKJKb6c7qU65-wU6uK8Ntu5oiBIc</t>
  </si>
  <si>
    <t>https://drive.google.com/open?id=1-vcTsJmnDbjvvncOj5GRDZIheAnn-wEq</t>
  </si>
  <si>
    <t>0220200225</t>
  </si>
  <si>
    <t>PALASH</t>
  </si>
  <si>
    <t>BORKAR</t>
  </si>
  <si>
    <t>palashvborkar31@gmail.com</t>
  </si>
  <si>
    <t>https://www.linkedin.com/in/palash-borkar-6246b222b</t>
  </si>
  <si>
    <t>RAGINI</t>
  </si>
  <si>
    <t xml:space="preserve">Jaripatka B-layout plot no 81 Nagpur Maharashtra </t>
  </si>
  <si>
    <t>26,20 and 15</t>
  </si>
  <si>
    <t>20,62 and 98</t>
  </si>
  <si>
    <t xml:space="preserve">No backlog </t>
  </si>
  <si>
    <t>Yes.</t>
  </si>
  <si>
    <t>Na</t>
  </si>
  <si>
    <t xml:space="preserve">NA </t>
  </si>
  <si>
    <t xml:space="preserve"> Project name: for hotel coupon system
Work to done: 1. Login for admin panel
2. Create hotel from admin panel
3. Create branch for specific hotel
4. Create user for hotel
5. Hotel wise user login
Consultancy: G business infotech solutions</t>
  </si>
  <si>
    <t xml:space="preserve">Create hotel coupon system </t>
  </si>
  <si>
    <t>Extraction of oil from sunflower seeds.</t>
  </si>
  <si>
    <t>Python, PHP</t>
  </si>
  <si>
    <t>Laravel (PHP), Django (Python)</t>
  </si>
  <si>
    <t>AutoCAD, ANSYS, MATLAB</t>
  </si>
  <si>
    <t xml:space="preserve">NONE, English </t>
  </si>
  <si>
    <t>1.Codechef MITAOE 
2. ANSYS</t>
  </si>
  <si>
    <t>Runner up in 2017 state badminton championship.</t>
  </si>
  <si>
    <t>Participate in singing, script playing, weight lifting, cricket and badminton held in MIT AOE during college fest.</t>
  </si>
  <si>
    <t>https://preskilet.com/61f8ed9bfc0a2f000460355d</t>
  </si>
  <si>
    <t>https://drive.google.com/open?id=1gC9AZh6ptfnIYiEq1gUPm32lQdkSMJSA</t>
  </si>
  <si>
    <t>https://drive.google.com/open?id=1PwR7U4nYiqRYqpC2azCfAR-fnehVQk-0</t>
  </si>
  <si>
    <t>https://drive.google.com/open?id=1ZhaDYAPs0f4UDcuvQ5X0fVWwyEgeIzo9</t>
  </si>
  <si>
    <t>0220200037</t>
  </si>
  <si>
    <t>VINIT</t>
  </si>
  <si>
    <t>SHIVAJI</t>
  </si>
  <si>
    <t>SATALE</t>
  </si>
  <si>
    <t>vinitsatale1@gmail.com</t>
  </si>
  <si>
    <t>https://www.linkedin.com/in/vinit-satale-59591b235</t>
  </si>
  <si>
    <t>SHIVAJI DAGADU SATALE</t>
  </si>
  <si>
    <t>ANUPAMA SHIVAJI SATALE</t>
  </si>
  <si>
    <t>Nav Sanchita APT kolsewadi kalyan east - 421306</t>
  </si>
  <si>
    <t>Near MIT arts and sciences college, Alandi</t>
  </si>
  <si>
    <t>English 94%,   Logical 61%,   Quantitative 99%</t>
  </si>
  <si>
    <t>English 79%,   Logical 73%,   Quantitative 24%</t>
  </si>
  <si>
    <t>ACU-HYSYS01 : Aspen Hysys user certification exam</t>
  </si>
  <si>
    <t xml:space="preserve">MICROSOFT 98-381 : Introduction to programming using python </t>
  </si>
  <si>
    <t>C++</t>
  </si>
  <si>
    <t>Engineering Project Management:
Scope, Time and Cost Management
PROJECT - Design of helical coil heat exchanger.</t>
  </si>
  <si>
    <t>Green-solution enviro and agro laboratories PVT LTD 
MPCB and MIDC office, Highway, Wakdewadi, Shivajinagar, Pune-411003
 PROJECT - Simulation of helical coil heat exchanger.</t>
  </si>
  <si>
    <t xml:space="preserve">1) Design of Azeotropic Distillation.
2) Design and simulation of cyclone separator. 
3) Design and simulation of Helical coil heat exchanger.
</t>
  </si>
  <si>
    <t>AutoCAD, ANSYS, MATLAB, Aspen, aspen plus, DWSIM</t>
  </si>
  <si>
    <t xml:space="preserve">Sports : Basketball, Kabaddi. </t>
  </si>
  <si>
    <t>https://preskilet.com/vinit.satale@mitaoe.ac.in</t>
  </si>
  <si>
    <t>https://drive.google.com/open?id=1e6gQHD9kA024x0duHu7S2z8WTyMesuhH</t>
  </si>
  <si>
    <t>https://drive.google.com/open?id=1o409ZTmnUJOvc6UW-4VKEJ-rYN0ZV4Cl</t>
  </si>
  <si>
    <t>https://drive.google.com/open?id=1u4_q5ZVOXs3DL1iJ1jdLGEaZSm9gmaSx</t>
  </si>
  <si>
    <t>https://drive.google.com/open?id=1lX-0WStySmYlC-aD5cShp_MvCwJx-Fnp</t>
  </si>
  <si>
    <t>https://drive.google.com/open?id=154JWoB5zdKd5rGog7R_7gJ4_-yHfn10Z</t>
  </si>
  <si>
    <t>https://drive.google.com/open?id=11KYdTDQy5A2TriiJV6rxzKZLwCPuBM1L</t>
  </si>
  <si>
    <t>https://drive.google.com/open?id=186VR6SwmXeSxo0AfGwrGVlOLQ5pn2-4v</t>
  </si>
  <si>
    <t>https://drive.google.com/open?id=1ZlPIVf9qgbVM2JVge6DR9eZ9Y-mzir7Q</t>
  </si>
  <si>
    <t>https://drive.google.com/open?id=1Ls3laymQNjMMBUHHJhpAhFrP8jShU45r</t>
  </si>
  <si>
    <t>https://drive.google.com/open?id=1vz9yWXEUDRS3xAqZlWvXV4bGmIvqhoNw</t>
  </si>
  <si>
    <t>https://drive.google.com/open?id=1T6t5rYg3vbxwMBMM_l-qeiLWQ89cD7E1</t>
  </si>
  <si>
    <t>Amcat results of SY &amp; TY. because it was falsey uploaded</t>
  </si>
  <si>
    <t>0220200038</t>
  </si>
  <si>
    <t>NAIM</t>
  </si>
  <si>
    <t>ASHOKALLI</t>
  </si>
  <si>
    <t>FAKIR</t>
  </si>
  <si>
    <t>naimasfakir@gmail.com</t>
  </si>
  <si>
    <t>https://www.linkedin.com/in/naim-fakir-b74218215/</t>
  </si>
  <si>
    <t>ASHOKALLI FAKIR</t>
  </si>
  <si>
    <t>FARIDA FAKIR</t>
  </si>
  <si>
    <t>A/P Kothali Tal : Shirol , Dist : Kolhapur , Pincode : 416101</t>
  </si>
  <si>
    <t xml:space="preserve"> </t>
  </si>
  <si>
    <t xml:space="preserve">English : 96 % , logic 27 % , Quantitative 39 </t>
  </si>
  <si>
    <t>ACU-HYSYS01 : Aspen HYSYS User Certification Exam , MICROSOFT 98-381: Introduction to Programming Using Python</t>
  </si>
  <si>
    <t>Project : Extraction OF Neem Oil From Neem Seeds , Literature Survey and detailed therotical study is done</t>
  </si>
  <si>
    <t xml:space="preserve">Internship : Equinox Software And Services Private Limited </t>
  </si>
  <si>
    <t>Design And  Simulation of Reactive Distillation Column</t>
  </si>
  <si>
    <t>AutoCAD, CATIA, ANSYS, MATLAB, ASPEN PLUS , ASPEN EDR, ASPEN PLUS, DWSIM</t>
  </si>
  <si>
    <t>Participated Hackathon for Rural Development , They presented idea on topic
"Generation of Electricity through Microbial Fuel Cell using Sewage Sludge"</t>
  </si>
  <si>
    <t>Second Prize in Hackathon for Rural Development</t>
  </si>
  <si>
    <t xml:space="preserve">Zonal Wrestling tournament Runner-up 
Intermediate Grade Drawing Examination
Completed MS-CIT
</t>
  </si>
  <si>
    <t>https://drive.google.com/drive/folders/1PjDIDAcFSrF0bbPVV4-rq7GlBN-IgBhP?usp=sharing</t>
  </si>
  <si>
    <t>https://drive.google.com/open?id=19PYM_7CUb5DYSLLfrRt3hE2Vc1AzPwZb</t>
  </si>
  <si>
    <t>https://drive.google.com/open?id=1Ky3uFeVvUcmcnxYqilXkQAGXws8tomhP</t>
  </si>
  <si>
    <t>https://drive.google.com/open?id=1w4YR9CUZQiZppsIMpJyJf34HR6bs9TZH</t>
  </si>
  <si>
    <t>0220200099</t>
  </si>
  <si>
    <t>ONKAR</t>
  </si>
  <si>
    <t>SHEKHAR</t>
  </si>
  <si>
    <t>MOHITE</t>
  </si>
  <si>
    <t>onkarmohite999@gmail.com</t>
  </si>
  <si>
    <t>https://www.linkedin.com/in/onkar-mohite-186683241</t>
  </si>
  <si>
    <t>SAVITA</t>
  </si>
  <si>
    <t>Deolali (Panachi) Tal.Ashti, Dist.Beed</t>
  </si>
  <si>
    <t>Dehu phata, alandi. pune pincode : 412105</t>
  </si>
  <si>
    <t>Structured Query Language, 
Aspen hysys,</t>
  </si>
  <si>
    <t>Internship : In plant Training in RTIC Department at Thermax Global, Bhosari Pune,
Duration : 6 Weeks</t>
  </si>
  <si>
    <t xml:space="preserve">Synthesis of titanium dioxide nanoparticles and its applications in waste water treatment.
Exploration of crude oil from ground.
</t>
  </si>
  <si>
    <t>Python, Java, SQL</t>
  </si>
  <si>
    <t>AutoCAD, ANSYS, MATLAB, Scilab</t>
  </si>
  <si>
    <t xml:space="preserve">3 rd runner up in Quiz competition PRAKAlP-2021 </t>
  </si>
  <si>
    <t>https://drive.google.com/file/d/1oVJVOznhL-JaBNebvNZfNNW5tt1dRKsi/view?usp=drivesdk</t>
  </si>
  <si>
    <t>https://drive.google.com/open?id=1d3suvqtG7JdTTrVruT4n6qmL7VyQKZ5T</t>
  </si>
  <si>
    <t>https://drive.google.com/open?id=1IKVy0Uku5OFnmiBozU2adJjrHad0Y9Db</t>
  </si>
  <si>
    <t xml:space="preserve">I was missed to select branch, Now I selected </t>
  </si>
  <si>
    <t>0120190550</t>
  </si>
  <si>
    <t>TUSHAR</t>
  </si>
  <si>
    <t>BHARAT</t>
  </si>
  <si>
    <t>KHAPNE</t>
  </si>
  <si>
    <t>tusharkhapne401@gmail.com</t>
  </si>
  <si>
    <t>https://www.linkedin.com/in/tushar-khapne-b46a82203</t>
  </si>
  <si>
    <t>VIDHYA</t>
  </si>
  <si>
    <t>Tushar Khapne, Boarda road, Sadakatali nagar, near hanuman Mandir warora, pin-442907</t>
  </si>
  <si>
    <t>Alandi pune</t>
  </si>
  <si>
    <t>Aspen Hysys usere certificat</t>
  </si>
  <si>
    <t xml:space="preserve">Aaharya Technologies sign in program  </t>
  </si>
  <si>
    <t>Equinox internship</t>
  </si>
  <si>
    <t>Project bases</t>
  </si>
  <si>
    <t>Flask (Python)</t>
  </si>
  <si>
    <t>AutoCAD, CATIA, ANSYS, MATLAB</t>
  </si>
  <si>
    <t xml:space="preserve">1. Registration Team head in PRAKALP 2020
2. Got 1st prize in surjan simulation Competition 
3. Done freelancing  work as a Video editor </t>
  </si>
  <si>
    <t>https://drive.google.com/drive/folders/1vX3sFdO607FhCpJox7n5l00DMNX-CMry?usp=sharing</t>
  </si>
  <si>
    <t>https://drive.google.com/open?id=1gBv9GAfA5AiFIO2dNEWe3V7c1dN3zSAY</t>
  </si>
  <si>
    <t>https://drive.google.com/open?id=1Fc7ScvjNcn1wLhOSmslzhmMK13TnvjRp</t>
  </si>
  <si>
    <t>https://drive.google.com/open?id=1P7XyhErceNpdKpfFsoIr1LKevkCY40Hu</t>
  </si>
  <si>
    <t>https://drive.google.com/open?id=1U43T8fti01Lv3Xhx0s5HyDvqFcl92Ksu</t>
  </si>
  <si>
    <t xml:space="preserve">for Amcat result </t>
  </si>
  <si>
    <t>0120190038</t>
  </si>
  <si>
    <t>VIVEK</t>
  </si>
  <si>
    <t>SHAMBHARKAR</t>
  </si>
  <si>
    <t>vivekshambharkar0@gmail.com</t>
  </si>
  <si>
    <t>https://www.linkedin.com/in/vivek-shambharkar-715146241</t>
  </si>
  <si>
    <t>VINOD SHAMBHARKAR</t>
  </si>
  <si>
    <t>NILA SHAMBHARKAR</t>
  </si>
  <si>
    <t>Near Sharda temple, At. Po. Korpana 
Tah. Korpana, Dist. Chandrapur</t>
  </si>
  <si>
    <t>Not attempted</t>
  </si>
  <si>
    <t>Python Certificate (Microsoft)</t>
  </si>
  <si>
    <t>Online internship - 
Python Data Structures Course</t>
  </si>
  <si>
    <t xml:space="preserve">Online course-
Material Balance course </t>
  </si>
  <si>
    <t xml:space="preserve">Project - 
Modeling and simulation of ethyl acetate (Reactive distillation column) using Aspen plus and Hysys.
Internship:
Internship in Manikgarh Cement Works in Process Department </t>
  </si>
  <si>
    <t>B.E</t>
  </si>
  <si>
    <t>AutoCAD, Fusion 360, ANSYS, MATLAB</t>
  </si>
  <si>
    <t xml:space="preserve">Project Management
</t>
  </si>
  <si>
    <t>Post Matric Tution fee and Examination fee ( Freeship), Social justice and special appearance department, Mahadbt</t>
  </si>
  <si>
    <t xml:space="preserve">Participation in intra college Volleyball Competition.
</t>
  </si>
  <si>
    <t>https://preskilet.com/watch?v=62b2c545cd590700045fb2fc</t>
  </si>
  <si>
    <t>https://drive.google.com/open?id=1Rz6o23FWB_K7zvqGX0jRw6d_H7r8vRLk</t>
  </si>
  <si>
    <t>https://drive.google.com/open?id=1Q-4144r1rQl9E85nkR8kjiJpfcAcVzLJ</t>
  </si>
  <si>
    <t>https://drive.google.com/open?id=1RTQkgwHMhuOa6h8o-oZWfSxgUeEdoER9</t>
  </si>
  <si>
    <t>0220200033</t>
  </si>
  <si>
    <t>KIRTI</t>
  </si>
  <si>
    <t>SHARAD</t>
  </si>
  <si>
    <t>BORGHARE</t>
  </si>
  <si>
    <t>kirtiborghare30@gmail.com</t>
  </si>
  <si>
    <t xml:space="preserve">kirti.borghare@mitaoe.ac.in </t>
  </si>
  <si>
    <t>https://www.linkedin.com/in/kirti-borghare</t>
  </si>
  <si>
    <t>GITA</t>
  </si>
  <si>
    <t>Near Yashwant Highschool,Kejaji Nagar, ward no-4 , Ghorad. Tah-Seloo, Dist-Wardha. Pin Code - 442104</t>
  </si>
  <si>
    <t>Morya hills, kale colony, Alandi. Pin Code-412105</t>
  </si>
  <si>
    <t>Genrich Membranes Pvt. Ltd</t>
  </si>
  <si>
    <t>Adsorption of Lead metal ions from synthetic waste water using Biosorbent</t>
  </si>
  <si>
    <t>AutoCAD, ANSYS, MATLAB, DWSIM, Aspen hysys</t>
  </si>
  <si>
    <t>Participated in “NATIONAL LEVEL ONLINE PROJECT PRESENTATION COMPETITION 2020” organized 
by Dept. of Computer Engg. Govt. Polytechnic of Mumbai. And won the 1st Golden medal</t>
  </si>
  <si>
    <t xml:space="preserve">Participated in “NATIONAL LEVEL ONLINE PROJECT PRESENTATION COMPETITION 2020” organized 
by Dept. of Computer Engg. Govt. Polytechnic of Mumbai. </t>
  </si>
  <si>
    <t>https://preskilet.com/kirti.borghare@mitaoe.ac.in</t>
  </si>
  <si>
    <t>https://drive.google.com/open?id=18B-BhrjrdP_pK6B5_0U1A4k6kgMc0zJT</t>
  </si>
  <si>
    <t>https://drive.google.com/open?id=1QT50YoqIp1dYTO8qMWNmQaIn3Lv1SsyE</t>
  </si>
  <si>
    <t>https://drive.google.com/open?id=1snGtl1Y2nvtrcmlNJWKsfot5Qzih4_TI</t>
  </si>
  <si>
    <t>https://drive.google.com/open?id=1-GB0QVb1-8eY-7Wr72WYS_XEI7iEdXNe</t>
  </si>
  <si>
    <t>https://drive.google.com/open?id=1MtQa_nWUzvgFxHfrrcRg1fYelNycN_6l</t>
  </si>
  <si>
    <t>https://drive.google.com/open?id=1Mnd1CLht39bf9DpJDCGSP34HQNYKZZ3a</t>
  </si>
  <si>
    <t>https://drive.google.com/open?id=1MbNuN1N2ZPwCjcXNmgPRrMZLjf4bMbbS</t>
  </si>
  <si>
    <t xml:space="preserve">Technical Certification And Amcat Result and Preskillet interview video </t>
  </si>
  <si>
    <t>0120190399</t>
  </si>
  <si>
    <t xml:space="preserve">GAUTAM </t>
  </si>
  <si>
    <t>ANAND</t>
  </si>
  <si>
    <t>DAS</t>
  </si>
  <si>
    <t>das182001@gmail.com</t>
  </si>
  <si>
    <t>https://www.linkedin.com/in/gautam-das-274b1220b</t>
  </si>
  <si>
    <t xml:space="preserve">ANAND MILAN DAS </t>
  </si>
  <si>
    <t>SUCHITRA ANAND DAS</t>
  </si>
  <si>
    <t>Near New water tank babupeth ward no. 17, Chandrapur</t>
  </si>
  <si>
    <t>A-4, Pragati apartment, Alandi, Pune</t>
  </si>
  <si>
    <t>Aspentech: Aspen hysys user certification</t>
  </si>
  <si>
    <t>Coursera: Programming for everybody (getting started with python)</t>
  </si>
  <si>
    <t>Gustovalley technovations: Introduction to industry 4.0</t>
  </si>
  <si>
    <t xml:space="preserve">Fluid dimensions: Application of ML in Chemical engineering </t>
  </si>
  <si>
    <t xml:space="preserve">Extraction of oil from sunflower seeds using three phase partitioning </t>
  </si>
  <si>
    <t>Energy Engineering</t>
  </si>
  <si>
    <t>AutoCAD, Fusion 360, ANSYS, MATLAB, Aspen hysys</t>
  </si>
  <si>
    <t xml:space="preserve">1) Participated in REACT-2022 organized by LIT
2) Participated in industrial safety session organized by MITAOE
3) Participated in PRAKALP-2020 organized by MITAOE </t>
  </si>
  <si>
    <t>TFWS</t>
  </si>
  <si>
    <t>1) Participated in maths competition organised by AXES club of MITAOE
2) Participated in Cine-maths organized by AXES club of MITAOE</t>
  </si>
  <si>
    <t>https://preskilet.com/watch?v=62b32497cd590700045fb628</t>
  </si>
  <si>
    <t>https://drive.google.com/open?id=1HAiNqtp0os4f9h0QHb5S0v6AgHCFOyIH</t>
  </si>
  <si>
    <t>https://drive.google.com/open?id=1dkjXD-sVGOKaSSmiwEPhYUx11vKZDmtQ</t>
  </si>
  <si>
    <t>https://drive.google.com/open?id=103pgvfoNJs2ZlmaLmyBezcePa-ag6VM-</t>
  </si>
  <si>
    <t>https://drive.google.com/open?id=1CefRTQrujuclfnuKS0QP_mSC2SbQmFK4</t>
  </si>
  <si>
    <t>https://drive.google.com/open?id=1ELUBE_uZ4B4kZiWDtphAidX7CdVX4mx8</t>
  </si>
  <si>
    <t>https://drive.google.com/open?id=1dkJGQ-oQGh9l1l45pZR4Kl5PbZexdKPF</t>
  </si>
  <si>
    <t>0120190364</t>
  </si>
  <si>
    <t>OM</t>
  </si>
  <si>
    <t>BALASAHEB</t>
  </si>
  <si>
    <t>TAMBE</t>
  </si>
  <si>
    <t>Omtambe848@gmail.com</t>
  </si>
  <si>
    <t xml:space="preserve">Obtambe@mitaoe.ac.in </t>
  </si>
  <si>
    <t>https://www.linkedin.com/in/om-tambe-37b753207</t>
  </si>
  <si>
    <t xml:space="preserve">BALASAHEB </t>
  </si>
  <si>
    <t>NEETA</t>
  </si>
  <si>
    <t>MERCHANT COLONY, STATION ROAD, VAIJAPUR - 423701 , AURANGABAD</t>
  </si>
  <si>
    <t>ME104T - Engineering Graphics</t>
  </si>
  <si>
    <t xml:space="preserve">"MATLAB Programming Techniques": MATLAB Mathworks </t>
  </si>
  <si>
    <t>Programming for Everybody (Getting Started with Python) : Coursera
Python Data Structures: Coursera
Introduction to Molecular Spectroscopy : Coursera
Introduction to Basic Game Development using Scratch : Coursera
MATLAB Onramp : MATLAB Mathworks
MATLAB Fundamentals: MATLAB Mathworks
Basics of Process simulation in Chemical Industry : Dreami verse</t>
  </si>
  <si>
    <t>Aspen Hysys User Certification : Aspentech
MATLAB Simulink : MATLAB Mathworks</t>
  </si>
  <si>
    <t>Python Data Structures: Coursera
Programming for Everybody (Getting Started with Python) : Coursera</t>
  </si>
  <si>
    <t xml:space="preserve">INDIAN INSTITUTE OF TECHNOLOGY, INDORE (IIT , INDORE)
GREENCIRCLE Inc Ltd., VADODARA
SKILLBEE- UAE
Project : Production of Bio-fuel using Water hyacinth
This project is focusing its research on the sustainable utilization of water hyacinth, an aquatic weed, as a biomass feedstock which would produce energy in the form of liquid fuel or/and gaseous fuel. As Water hyacinth is available plenty in Alandi i.e. massive invasion of this Eicchornia crassipes in Indrayani river led us to the idea of eradication of this species as well as forming Biofuel through it
</t>
  </si>
  <si>
    <t xml:space="preserve">INDIAN INSTITUTE OF SCIENCE (IISc ), BANGALORE </t>
  </si>
  <si>
    <t>EFFECTIVE TREATMENT OF AUTOMOTIVE EXHAUST USING INTEGRATED PLUG FLOW REACTOR CUM MUFFLER</t>
  </si>
  <si>
    <t>NANOFLUIDS: TYPES OF NANOFLUIDS, PREPARATION, STABILIZATION &amp; CHARACTERIZATION</t>
  </si>
  <si>
    <t>Python, C/C++, C#</t>
  </si>
  <si>
    <t>AutoCAD, Fusion 360, SolidWorks, ANSYS, Proteus, MATLAB</t>
  </si>
  <si>
    <t>- ORGANIZED NATIONAL LEVEL EVENT-PRAKALP BY IIChE AT MIT AOE, PUNE IN 2020-21
- VOLUNTEERING FOR EXEMPLAR EVENT FOR SRUJAN CLUB- A TECHNICAL CLUB, MIT AOE, PUNE
- MEMBER OF TEAM NIYUDRATH RACING PARTICPATED AT BAJA SAEINDIA- 2022 ORGANIZED "GO-GREEN EVENT' BY ARAI, PUNE - AIR 2 AT INDORE, MADHYA PRADESH
- E - CHEMSTORM - 2K21- POSTER PRESENTATION ORGANIZED BY PRAVARA RURAL ENGINEERING COLLEGE, LONI - SECURED RANK 2 
- BAJA SAEINDIA WORKSHOP ORGANIZED AT MIT AOE CAMPUS, PUNE</t>
  </si>
  <si>
    <t>- GO GREEN AWARD-SAEINDIA BAJA 2022- ALL INDIA RANK 2
- E - CHEMSTORM - 2K21- POSTER PRESENTATION ORGANIZED BY PRAVARA RURAL ENGINEERING COLLEGE, LONI - SECURED RANK 2</t>
  </si>
  <si>
    <t>"BASICS OF PROCESS SIMULATION IN CHEMICAL INDUSTRY" - DREAMI VERSE</t>
  </si>
  <si>
    <t>- SECRETARY TO STUDENT ASSOCIATION OF CHEMICAL ENGINEERING, MIT AOE, PUNE
- ACTIVE VOLUNTEER OF "SAKSHAM-AN EDU BASED NGO" WHO HELPS UNDERPRIVILIGED STUDENTS AND TEACHES THEM.
- STUDENT &amp; CHAPTER COORDINATOR OF "ROBIN HOOD ARMY- AND INTERNATIONALLY RECOGNIZED NGO" WHO HELPS THE STARVING PEOPLE BY PROVIDING FOOD.
- MEMBER OF AJAANVRIKSHA CLUB 
- ELECTED TO QUALITY CIRCLE FOR SCHOOL OF CHEMICAL ENGINEERING FOR SY IN 2020-2021
- PARTICIPATED IN "PRAKALP (NATIONAL LEVEL EVENT BY IIChE)" : TECHNICAL POSTER PRESENTATION 
- MEMBER OF IIChE - INDIAN INSTITUTE OF CHEMICAL ENGINEERS
- STUDENT CO-ORDINATOR OF IIC-INSTITUTION INNOVATION COUNCIL, MIT AOE
- MEMBER OF "NATIONAL INSTITUTE FOR TECHNICAL TRAINING &amp; SKILL DEVELOPMENT".</t>
  </si>
  <si>
    <t>https://preskilet.com/watch?v=621e291cf7fd760004a9f55e</t>
  </si>
  <si>
    <t>https://drive.google.com/open?id=1FY5aVAOFHhhaTWfNXzOo74dOJ5R84_zw</t>
  </si>
  <si>
    <t>https://drive.google.com/open?id=12TbaA5bN97wUAmnRwPy6KTj3sFoxi91Y</t>
  </si>
  <si>
    <t>https://drive.google.com/open?id=17hQw3vbQyj-v_8b_oHWiDqje_8biRfYr</t>
  </si>
  <si>
    <t>https://drive.google.com/open?id=1gWIsnYK2DQlwaSMUv3YUl6Ez30mf3czu</t>
  </si>
  <si>
    <t>https://drive.google.com/open?id=18wMRnzMFHgQ-5huzz3w8s8JLu7rJ3oJ-</t>
  </si>
  <si>
    <t>0120190303</t>
  </si>
  <si>
    <t xml:space="preserve">SANKET </t>
  </si>
  <si>
    <t>KURAI</t>
  </si>
  <si>
    <t>123sanketkurai@gmail.com</t>
  </si>
  <si>
    <t>https://www.linkedin.com/in/sanket-kurai-937870235</t>
  </si>
  <si>
    <t>LALITA</t>
  </si>
  <si>
    <t>02, Samartha Colony, Infront of TTR Honda, Amravati Road, Paratwada.</t>
  </si>
  <si>
    <t>Pasaydan Boy's Hostel, Hindavi Colony 1, Alandi (D)</t>
  </si>
  <si>
    <t xml:space="preserve">1. Separation Process
2. Chemical Reaction Engineering </t>
  </si>
  <si>
    <t>Waiting for result</t>
  </si>
  <si>
    <t>Aspen Hysys Certification</t>
  </si>
  <si>
    <t>Python for Beginners</t>
  </si>
  <si>
    <t>Content Creation</t>
  </si>
  <si>
    <t xml:space="preserve">Danao GreenTech Service </t>
  </si>
  <si>
    <t>Production of Activated Carbon from coconut shell</t>
  </si>
  <si>
    <t>1. Participated in Poster Presentation Competition
2. Secured 3rd prize in a quiz competition organised by PICT
3. Participated in IYMC and Aaryabhat Mathematics Competition</t>
  </si>
  <si>
    <t>President of the Axes Math's Club
Achieved 2nd prize in Chess Tournament</t>
  </si>
  <si>
    <t>https://preskilet.com/svkurai@mitaoe.ac.in</t>
  </si>
  <si>
    <t>https://drive.google.com/open?id=1DAfji6wfDsDhWpM96lw4OpXGsFZ1uPgn</t>
  </si>
  <si>
    <t>https://drive.google.com/open?id=1lfIHDGjeb4M6_jc6OvsrpBkNTKhzXDKj</t>
  </si>
  <si>
    <t>https://drive.google.com/open?id=16gFu2ewjX6pnDtWOFWNWJMWxSO2eEF0O</t>
  </si>
  <si>
    <t>https://drive.google.com/open?id=1ttjSLJFqNW99IAqRStnsZfOT9Ba6ZBJr</t>
  </si>
  <si>
    <t xml:space="preserve">Changed the internship status </t>
  </si>
  <si>
    <t>0120190018</t>
  </si>
  <si>
    <t xml:space="preserve">SUDARSHAN </t>
  </si>
  <si>
    <t>SANJAY</t>
  </si>
  <si>
    <t xml:space="preserve">KOLARKAR </t>
  </si>
  <si>
    <t>sudarshankolarkar@gmail.com</t>
  </si>
  <si>
    <t>https://www.linkedin.com/in/sudarshan-kolarkar-5a6793241</t>
  </si>
  <si>
    <t xml:space="preserve">SANJAY P KOLARKAR </t>
  </si>
  <si>
    <t xml:space="preserve">YOGITA S KOLARKAR </t>
  </si>
  <si>
    <t xml:space="preserve">55, Om Colony,Arni Road, Yavatmal </t>
  </si>
  <si>
    <t xml:space="preserve">ME221T- Material Engineering </t>
  </si>
  <si>
    <t xml:space="preserve">Introduction to programming using python </t>
  </si>
  <si>
    <t>Introduction to 3-D modeling</t>
  </si>
  <si>
    <t xml:space="preserve">Introduction to petroleum engineering </t>
  </si>
  <si>
    <t>Not yet confirmed</t>
  </si>
  <si>
    <t>Poster Presentation (FY)</t>
  </si>
  <si>
    <t>FY and TY cricket and football team member</t>
  </si>
  <si>
    <t>https://preskilet.com/watch?v=62bebbdf2c9a6200041e128c</t>
  </si>
  <si>
    <t>https://drive.google.com/open?id=1Q7YQh9qTENjsSmrC39BWV4rhE5IdP5cO</t>
  </si>
  <si>
    <t>https://drive.google.com/open?id=1l-gkR1SDm-NDXsV3pva1EXs7rscC24oT</t>
  </si>
  <si>
    <t>https://drive.google.com/open?id=1DplpO8T76Pp_QCMEry_p-T8Fc6wsZ6VB</t>
  </si>
  <si>
    <t>https://drive.google.com/open?id=1_zogNoTUGJV428oFUnXxloMsns44HWTm</t>
  </si>
  <si>
    <t>preskillet video link</t>
  </si>
  <si>
    <t>0120190266</t>
  </si>
  <si>
    <t>JAGANNATH</t>
  </si>
  <si>
    <t>NAWALE</t>
  </si>
  <si>
    <t>shivajinawale61@gmail.com</t>
  </si>
  <si>
    <t>www.linkedin.com/in/shivaji-nawale-b0b2b31a3</t>
  </si>
  <si>
    <t>JAGANNATH NAWALE</t>
  </si>
  <si>
    <t>KALPANA NAWALE</t>
  </si>
  <si>
    <t>55/2, lane no-7, Tuljabhawani nagar, Near Dargah, Nagar road, Kharadi, Pune-411014</t>
  </si>
  <si>
    <t>CV102T - Applied Mechanics</t>
  </si>
  <si>
    <t>1] Content writing internship at Orb 52.
Includes researching top news in the domains of Finance, Economy, and Politics, working with the content and coming up with basic understandable content and working on sharing the content on social media and getting relevant opinions from users
2] Intern at MIT Autosports club of designing and analysis of ATV
Designing and prototyping of exhaust treatment model with technologies used in unit operations and process. Also part of sales team and contributed in sales presentation. Also includes research and analysis on various types of fuel injection systems, Powertrain (engines, clutch, gearbox, differentials etc) and conventional automobile exhaust systems.</t>
  </si>
  <si>
    <t xml:space="preserve">Research intern at Greenovate solution Pvt.ltd
An startup incubated at NCL Pune working on cryogenic storage and handling of medical oxygen. My work includes research, problem analysis, problem solving and designing of storage tanks, pumps, vapourizers and compressors. Includes industrial visit on PSA plants, liquid oxygen storage and cylinder refiling station unit in gujarat and peso office in Nagpur. </t>
  </si>
  <si>
    <t>Project intern at Fluid dimensions 
Learning and implementing machine learning tools and techniques in chemical engineering domain</t>
  </si>
  <si>
    <t>Treatment of vehicular exhaust through plug flow reactor model using alkaline absorption
It changes the exhaust treatment system from conversion to absorption. It integrates existing technologies used in chemical industries in large scale with engine exhaust treatments. The first prototype shows results of capturing 90%+ carbon emissions from exhausts. The project is currently in the research and development phase.</t>
  </si>
  <si>
    <t>Bio-CNG generation from napeir grass
Includes complete market analysis, literature survey, selection of raw material, selection of pretreatment method  for bio- gas production and selection of seperation process for its upgradation. First batch of digestion showed detection of gas. Currently working on experimentation stage at anaerobic digestion, simulation and modeling.</t>
  </si>
  <si>
    <t>AutoCAD, CATIA, ANSYS, MATLAB, ASPHEN HYSYS</t>
  </si>
  <si>
    <t>1] Chemfluence 2021- Paper Presentation- Utilization of Captured Pollutants to avoids its exposure on environment
2] ARAI SIAT 2021- Poster Presentation- Treatment of vehicular exhaust through plug flow reactor model using alkaline absorption
3] Hackathon for rural development 2022- Paper Presentation- Generation of electricity through modified microbial fuel cell using sewage water sludge</t>
  </si>
  <si>
    <t>1] Chemfluence 2021- Paper Presentation- Utilization of Captured Pollutants to avoids its exposure on environment - Winner
2] ARAI SIAT 2021- Poster Presentation- Treatment of vehicular exhaust through plug flow reactor model using alkaline absorption- Winner
3] Hackathon for rural development 2022- Paper Presentation- Generation of electricity through modified microbial fuel cell using sewage water sludge- 1st Runner up
4] Azeotropy, IIT Bombay Affiche 2021- Utilization of Captured Pollutants to avoids its exposure on environment- Finalist
5] IIPT Youthzest 2021- Paper Presentation- Treatment of vehicular exhaust through plug flow reactor model using alkaline absorption - Finalist
6] HPCL Ideathon 2022- Paper presentation- Production of bio-CNG from napier grass- Finalist</t>
  </si>
  <si>
    <t xml:space="preserve">1] Member of SACE
2] Volunteering at Saksham Edu (NGO working in the field of child education in rural areas) - Teaching as well as study material development in english and marathi
3] Student editor- Ajaan vriksha - Technical section (college magazine) 
4] Campus ambassador of E-cell IIT Bombay
5] Content writing internship at Orb 52 (Intershala) </t>
  </si>
  <si>
    <t>https://preskilet.com/sjnawale@mitaoe.ac.in</t>
  </si>
  <si>
    <t>https://drive.google.com/open?id=1SWznABfsLSa76otWhTsfyid4KQb7NbCB</t>
  </si>
  <si>
    <t>https://drive.google.com/open?id=1GghKr_fCQNo6ehevfucExehBBgXeiHNj</t>
  </si>
  <si>
    <t>https://drive.google.com/open?id=1QYyO-mrt7jA_YMPiWXLjmeGwY9veMT2o</t>
  </si>
  <si>
    <t>https://drive.google.com/open?id=1exXWqfCt-hY0UowrXDxVBtu5vdeLNpSV</t>
  </si>
  <si>
    <t>https://drive.google.com/open?id=1W_SHBtcmq1q8pvfndibr-BJUJKWqETTw</t>
  </si>
  <si>
    <t>https://drive.google.com/open?id=1o11pG-Mmsb5u8sps-7T8Z4s_8R2sxs2B</t>
  </si>
  <si>
    <t>1] Details of Technical certification
Because the exam of technical certification happened late and then recieved certificate
2] Preskilet Vedio
Earlier vedio was uploaded on drive and now it uploaded on preskillet</t>
  </si>
  <si>
    <t>0120190127</t>
  </si>
  <si>
    <t xml:space="preserve">SHREYA </t>
  </si>
  <si>
    <t>NAGORAO</t>
  </si>
  <si>
    <t>CHAVHAN</t>
  </si>
  <si>
    <t>shreyachavhan006@gmail.com</t>
  </si>
  <si>
    <t xml:space="preserve">snchavhan@mitaoe.ac.in </t>
  </si>
  <si>
    <t>https://www.linkedin.com/in/shreya-chavhan-3b9a56228</t>
  </si>
  <si>
    <t xml:space="preserve">NAGORAO CHAVHAN </t>
  </si>
  <si>
    <t xml:space="preserve">SAVITA CHAVHAN </t>
  </si>
  <si>
    <t xml:space="preserve">Signal Toli ,near shiv mandir ambedkar ward Gondia </t>
  </si>
  <si>
    <t xml:space="preserve">Signal Toli Ambedkar ward Gondia </t>
  </si>
  <si>
    <t xml:space="preserve">145 percentile </t>
  </si>
  <si>
    <t xml:space="preserve">206 percentile </t>
  </si>
  <si>
    <t>ME104T - EGR,EEE EX102T</t>
  </si>
  <si>
    <t xml:space="preserve">Mathworks matlab programming techniques </t>
  </si>
  <si>
    <t xml:space="preserve">Matlab fundamentals </t>
  </si>
  <si>
    <t xml:space="preserve">Matlab </t>
  </si>
  <si>
    <t xml:space="preserve">Not done ,Coursera course of python </t>
  </si>
  <si>
    <t xml:space="preserve">Oil and gas sunreeja online intership .
Project is on sewage waste water treatment
</t>
  </si>
  <si>
    <t>Project is removal of dyes from water using activated charcoal and nanoparticles and intership at Trailblazer incorporation, nagpur .</t>
  </si>
  <si>
    <t>-</t>
  </si>
  <si>
    <t xml:space="preserve">Degradation of dyes from water using activated charcoal and nanoparticles </t>
  </si>
  <si>
    <t xml:space="preserve">Participation in quiz competition
</t>
  </si>
  <si>
    <t xml:space="preserve">Member of aalekh club at college </t>
  </si>
  <si>
    <t>https://preskilet.com/watch?v=62b528dbaf4f2700045cd8b6</t>
  </si>
  <si>
    <t>https://drive.google.com/open?id=1wGP-uAKsQE5bZ9MFytTKvQ1Qdw8vIZTt</t>
  </si>
  <si>
    <t>https://drive.google.com/open?id=1XVVFYBqSSp0AqjQ4feYN_wm78gezJt6R</t>
  </si>
  <si>
    <t>https://drive.google.com/open?id=1UYl6iEKu61-sTi36c3Gl2Ck4kjKfB2Mo</t>
  </si>
  <si>
    <t>https://drive.google.com/open?id=1YiLIOcN0F9MyS0isopL9dHnzRbvEUysJ</t>
  </si>
  <si>
    <t>https://drive.google.com/open?id=1dKjUhyCq5C12ujVAFniLhQRruFhkccbI</t>
  </si>
  <si>
    <t>https://drive.google.com/open?id=1-HJxGQdUUNYDXKqODRByMPj9LP5obn86</t>
  </si>
  <si>
    <t>https://drive.google.com/open?id=1CHEG0iN2hPcek_8b5J44llfDQmj5UZFE</t>
  </si>
  <si>
    <t>https://drive.google.com/open?id=1ggj80GUjr6boO1RLgvpGigSsCUYqB-D1</t>
  </si>
  <si>
    <t>Amcat results because it was not downloading earlier.</t>
  </si>
  <si>
    <t>0120190598</t>
  </si>
  <si>
    <t>ADITYA</t>
  </si>
  <si>
    <t>TRIMBAK</t>
  </si>
  <si>
    <t>BATULE</t>
  </si>
  <si>
    <t>adityabatule@gmail.com</t>
  </si>
  <si>
    <t>www.linkedin.com/in/adityabatule12</t>
  </si>
  <si>
    <t>SANGITA</t>
  </si>
  <si>
    <t>At Po Prabhuwadgaon, Tal-Shevgaon, Dist-Ahmednagar 414503</t>
  </si>
  <si>
    <t>Suryoday Niwas, Near HP Petrol Pump Kale Colony, Alandi, Pune 412105</t>
  </si>
  <si>
    <t xml:space="preserve">AS105T -  Calculs And Differential Equations
EX102T -  Electrical And Electronics Engineering
CS101T -  Logic Development - C Programming
CS101L -  Logic Development - C Programming
ME104T -  Engineering Graphics
ME104L -  Engineering Graphics
</t>
  </si>
  <si>
    <t xml:space="preserve">Microsoft Exam 98-381: Introduction to Programming Using Python                               </t>
  </si>
  <si>
    <t xml:space="preserve">  AICTE EDUSKILLS ROBOTICS AND PROCESS AUTOMATION</t>
  </si>
  <si>
    <t>INTERNSHIPS :
1] RISK ASSESSMENT INTERN at Green Circle Inc.
In this internship I learned about risks associated in chemical industry and what are the ways by which we can managed it.Along that studied how does industrial production of ethanol from molasses is done along with detailed description of BFD,PFD and PID diagrams of sugar industry.
2] CAMPUS AMBASSADOR AT INTERNSHIPSTUDIO
It was a very good experience to working with Internshipstudio because I learnt about various skills like leaderships, Marketing, Convencing a people, Interpersonal skills, Creative thinking etc.
PROJECTS :
1] Generation Of Electricity From Salt Water
In this project we have generated a electricity from salt water. Along with studied the various
parameters like Concentration, series and parallel combination of electrode, various type of electrodes
(aluminium,copper,iron).The electricity generated was about 0.32 - 1.44 uA.</t>
  </si>
  <si>
    <t>INTERNSHIPS:
1] AICTE EDUSKILLS ROBOTICS AND PROCESS AUTOMATION VIRTUAL INTERNSHIP
I have completed Robotics and Process Automation (RPA) Virtual Internship Program during MARCH - MAY 2022 by Blueprism University through EduSkill Foundation and AICTE. It was very good experience Where I have gain knowledge about what is exactly mean by RPA, Evolution of RPA, Benefits of RPA, Application of RPA, Scope of RPA in future.
2] INTERNSHIP TRAINEE AT CHEMDIST PROCESS SOLUTIONS
Currently I am doing this internship at trainee engineer. At till now I have gained knowledge about designing of chemical process equipments like heat exchanger, distillation column, reactor, condenser,reboiler etc.
Also learned how  to do cost estimation of this equipment more effectively and significantly.
PROJECTS :
1] Microwave Assisted Extraction Of Betulinic Acid From Syzygium Cumini L.(Jamun Leaves)
Betulinic acid is widely used as anticancer drug. For the Extraction of this we have use microwave
 assisted extraction technique as compared to traditional technique. The solvent used for extraction is
 methanol.The parameters we have varyied are microwave power, size of powder, Feed/Solvent ratio etc.
The analysis technique we are used is uv spectroscopy for the determination of Betulinic acid present
 in that sample.</t>
  </si>
  <si>
    <t>Microwave Assisted Extraction Of Betulinic Acid From Syzygium Cumini L. (Jamun Leaves)
Sponsored By Indian Institute Of Chemical Engineers (IICHE) Kolkata</t>
  </si>
  <si>
    <t>Microwave Assisted Extraction Of Betulinic Acid From Syzygium Cumini L. (Jamun Leaves)</t>
  </si>
  <si>
    <t>AutoCAD, Fusion 360, MATLAB, Aspen Hysys, Scilab, DWSIM</t>
  </si>
  <si>
    <t>1. Participated in Prakalp 2020 chemical engineering event organised by MITAOE Alandi and qualified Round 1.
2. Participated in Chemical engineering quiz competition organised by AISSMS Pune.
3. Attended 3 days matlab workshop organised by School Of Chemical Engineering at MIT Academy Of Engineering.</t>
  </si>
  <si>
    <t xml:space="preserve">1) Active Member of National Service Scheme (NSS) at MITAOE.
2)Attended 3 days ANSYS FLUENT workshop organised by SMCE at MITAOE.
3) Attended several seminars on civil service exam..
</t>
  </si>
  <si>
    <t xml:space="preserve"> https://preskilet.com/atbatule@mitaoe.ac.in</t>
  </si>
  <si>
    <t>https://drive.google.com/open?id=1ktrtjjm0vkqSQkYBaEY_dHxbHhcAxXMe</t>
  </si>
  <si>
    <t>https://drive.google.com/open?id=1stK1mMwgFQBqQx27VT9mgFrTioZnK1Tw</t>
  </si>
  <si>
    <t>https://drive.google.com/open?id=1gubzdyEdl21udjyTEDYVMuCToZ_R1X9v</t>
  </si>
  <si>
    <t>https://drive.google.com/open?id=10RU5P7IDSzF6TXHd-0j_SJo9In8ohOFt</t>
  </si>
  <si>
    <t>https://drive.google.com/open?id=1A-GDZl3-mcRpZSccXXMKvZfBwxUcThf1</t>
  </si>
  <si>
    <t>https://drive.google.com/open?id=1MzrMm-zhyI4LEEUrC8lil61IR-x8KO-R</t>
  </si>
  <si>
    <t>https://drive.google.com/open?id=1aGpzWPrcIz1LJ61ffn4YlpWpiF2sagwY</t>
  </si>
  <si>
    <t>https://drive.google.com/open?id=1H_ql_MMp9n7a3d23EJw04J48NMzP0Rzq</t>
  </si>
  <si>
    <t>https://drive.google.com/open?id=1C6v3ScQvpY-apGzHhllv2VDKsjbIZwJV</t>
  </si>
  <si>
    <t>https://drive.google.com/open?id=1gRs4EydM8SsMCjhDtn07IhZVbVK8K5fP</t>
  </si>
  <si>
    <t>https://drive.google.com/open?id=1Wu5T8jRB53w_Ap66NrQh-0fRh9LrXsYz</t>
  </si>
  <si>
    <t>Technical Certification Certificate And Amcat Reports.</t>
  </si>
  <si>
    <t>0220200034</t>
  </si>
  <si>
    <t>ATHARV</t>
  </si>
  <si>
    <t>MANGESH</t>
  </si>
  <si>
    <t>UTTARWAR</t>
  </si>
  <si>
    <t>atharvuttarwar22@gmail.com</t>
  </si>
  <si>
    <t>https://www.linkedin.com/in/atharv-uttarwar-134741210</t>
  </si>
  <si>
    <t>VAISHALI</t>
  </si>
  <si>
    <t>Netaji chowk Bus stand road near hotel vishal yavatmal</t>
  </si>
  <si>
    <t>Dehu phata Alandi road near Mit acdemy of engineering</t>
  </si>
  <si>
    <t xml:space="preserve">Na </t>
  </si>
  <si>
    <t>CH362T-CHEMICAL EQUIPMENT DESIGN - I</t>
  </si>
  <si>
    <t>Chemsys 1 month intership</t>
  </si>
  <si>
    <t xml:space="preserve">Solar pond  </t>
  </si>
  <si>
    <t>Aspen hysys</t>
  </si>
  <si>
    <t>Quality circle member in 2nd year</t>
  </si>
  <si>
    <t>https://preskilet.com/watch?v=62b2d4b9cd590700045fb3ab</t>
  </si>
  <si>
    <t>https://drive.google.com/open?id=1Ss6l6a9NMvnXPLBnCwiPHxRkTxI6k3Co</t>
  </si>
  <si>
    <t>https://drive.google.com/open?id=19eBymk2tUFP3rNokJPOhpSd5cG6zhtlQ</t>
  </si>
  <si>
    <t>0120190386</t>
  </si>
  <si>
    <t>TEJAS</t>
  </si>
  <si>
    <t>SANDEEP</t>
  </si>
  <si>
    <t>BOBE</t>
  </si>
  <si>
    <t>tejasbobe060@gmail.com</t>
  </si>
  <si>
    <t>https://www.linkedin.com/in/tejas-b-b629511b5</t>
  </si>
  <si>
    <t>SUJATA</t>
  </si>
  <si>
    <t>Sr No. 81/2a/1/15, Opposite Guruprasad Apartment, Adarsh Nagar, Shitole Mala, New Sangvi, Pune 411027</t>
  </si>
  <si>
    <t>CV102T - APPLIED MECHANICS</t>
  </si>
  <si>
    <t>ASPENTECH: User Certification</t>
  </si>
  <si>
    <t>MATLAB Onramp
IIT Bombay/1stop: Introduction to Hybrid Electric Vehicles
30 Days With Google Cloud
Coursera: Programming for Everybody (Python)
Coursera: Python Data Structures
Coursera: Introduction to Sustainability
Coursera: Introduction to Petroleum Engineering</t>
  </si>
  <si>
    <t>MATLAB: Machine Learning with MATLAB</t>
  </si>
  <si>
    <t>Content Writing for SK Children Foundation</t>
  </si>
  <si>
    <t xml:space="preserve">Corporate Communications Intern - Atlas Copco </t>
  </si>
  <si>
    <t xml:space="preserve">Removal of Dyes from water using Activated Charcoal and Nanoparticles </t>
  </si>
  <si>
    <t>AutoCAD, Fusion 360, CATIA, ANSYS, MATLAB, ASPEN HYSYS/Plus</t>
  </si>
  <si>
    <t>German</t>
  </si>
  <si>
    <t>Srujan EXEMPLAR Simulation Competition (Winner)
PRAKALP IDPS Competition
REACT IDP Competition - LIT</t>
  </si>
  <si>
    <t xml:space="preserve">30 Days with Google Cloud
TEDxMITAOE - Content Writer
Literary Club - Member
Foreign Language Club - Social Media Co-ordinator </t>
  </si>
  <si>
    <t>https://preskilet.com/watch?v=62b4360d30b2800004523147</t>
  </si>
  <si>
    <t>https://drive.google.com/open?id=1g8efDisFbthA41hKgzcVry7xko5PKRws</t>
  </si>
  <si>
    <t>https://drive.google.com/open?id=13nyKlh1d-g0-IRL9tRYwTjHmP04nsC2C</t>
  </si>
  <si>
    <t>https://drive.google.com/open?id=1QiNKeXkFEbUg8vg_h3XWMtNgIVTnNjEA</t>
  </si>
  <si>
    <t>https://drive.google.com/open?id=1awxKhMzsuNeEyDR3fh4VFcMjLVcmQhB6</t>
  </si>
  <si>
    <t>https://drive.google.com/open?id=1DMs0IgEmJE07W4cdcJDvTu59XEqusE8q</t>
  </si>
  <si>
    <t>I had to update my LinkedIn profile link</t>
  </si>
  <si>
    <t>0220200137</t>
  </si>
  <si>
    <t>RUSHIKESH</t>
  </si>
  <si>
    <t>BABASAHEB</t>
  </si>
  <si>
    <t>ANANDGAOKAR</t>
  </si>
  <si>
    <t>rushikesh9913@gmail.com</t>
  </si>
  <si>
    <t>https://www.linkedin.com/in/rushikeshanandgaokar</t>
  </si>
  <si>
    <t>SHOBHA</t>
  </si>
  <si>
    <t>At post-Bhatangali Tal-Lohara Dist-Osmanabad 413608</t>
  </si>
  <si>
    <t xml:space="preserve">Near MIT ACADEMY OF ENGINEERING </t>
  </si>
  <si>
    <t>English-18% Logical- 62% Quantitative-94%</t>
  </si>
  <si>
    <t>Project- Modeling and Simulation of distillation in binary system literature survey and problem statement solved</t>
  </si>
  <si>
    <t xml:space="preserve">Internship- Greencraft labs </t>
  </si>
  <si>
    <t xml:space="preserve">Porous polymeric adsorbents for removal of phenols from wastewater </t>
  </si>
  <si>
    <t>ANSYS, MATLAB, Aspen plus, DWSIM</t>
  </si>
  <si>
    <t>Zonal chess tournament winner- 2019-20
Inter zonal chess tournament winner- 2017-18
Zonal chess tournament winner- 2017-18</t>
  </si>
  <si>
    <t>EBC</t>
  </si>
  <si>
    <t>https://drive.google.com/drive/folders/143OJqt-4nccjA19l9QdtnhbI3ZIq7EAb</t>
  </si>
  <si>
    <t>https://drive.google.com/open?id=1g6VvkIv3bn192pufyaT3In2D_oYQxJ-x</t>
  </si>
  <si>
    <t>https://drive.google.com/open?id=1rniJH2rulMdVkCI8Ukyweyhf1lzD4NbJ</t>
  </si>
  <si>
    <t xml:space="preserve">I have updated regarding my internship because my internship confirmed in another company and I have also update the ongoing certification </t>
  </si>
  <si>
    <t>0120190431</t>
  </si>
  <si>
    <t>VAIBHAV</t>
  </si>
  <si>
    <t>LAXMAN</t>
  </si>
  <si>
    <t>SHELAKE</t>
  </si>
  <si>
    <t>vaibhavshelake100@gmail.com</t>
  </si>
  <si>
    <t>https://www.linkedin.com/in/vaibhav-shelake-79656b240</t>
  </si>
  <si>
    <t>SHALAN</t>
  </si>
  <si>
    <t xml:space="preserve">Dist-solapur, Tal-pandharpur, Pirachi kuroli-413304, post-Bhalawani, </t>
  </si>
  <si>
    <t xml:space="preserve">Alandi, pune, kale colony-412105, near mit college. </t>
  </si>
  <si>
    <t>CH342T - SEPARATION PROCESS</t>
  </si>
  <si>
    <t xml:space="preserve">CV102T - APPLIED MECHANICCS
CH233T - MASS TRANSFER. </t>
  </si>
  <si>
    <t xml:space="preserve">aspentech : aspen knowldge in aspen hysys. </t>
  </si>
  <si>
    <t>Inflow technology : Microsoft python certificate</t>
  </si>
  <si>
    <t xml:space="preserve">Chemsys private Ltd. :
We work on the medical oxygen plant. 
Which is give the purity of oxygen 90-96%.
</t>
  </si>
  <si>
    <t xml:space="preserve">Design a medical oxygen plant. 
We work on the medical oxygen plant. 
Which is give the purity of oxygen 90-96%.
</t>
  </si>
  <si>
    <t>Bio-CNG production from happier grass</t>
  </si>
  <si>
    <t>AutoCAD, Scilab, aspen hysys</t>
  </si>
  <si>
    <t>https://preskilet.com/watch?v=62bde20a9535010004fd2b93</t>
  </si>
  <si>
    <t>https://drive.google.com/open?id=10fXd1bkrfHc7wW-ZHBy9QQqaI4-Ks3L5</t>
  </si>
  <si>
    <t>https://drive.google.com/open?id=1kXLZ4UI-_G-9GvQQRpqZMI7A9or_fqpb</t>
  </si>
  <si>
    <t>https://drive.google.com/open?id=1RdmuHrLl4y8Colohiidn-IcnUb5ZU-5u</t>
  </si>
  <si>
    <t>https://drive.google.com/open?id=1uQZ3zvFkRrxuYprbesk8ygNQXftVd1OD</t>
  </si>
  <si>
    <t>https://drive.google.com/open?id=1R-DGMvOjSYUxMb2vDK_pFgbqAdGvXE2F</t>
  </si>
  <si>
    <t>https://drive.google.com/open?id=1-jSaEIrWN1oo3gxHdQmdKz9xmSoCJxZP</t>
  </si>
  <si>
    <t xml:space="preserve">Its remaining form till not get internship certificate. </t>
  </si>
  <si>
    <t>0220200042</t>
  </si>
  <si>
    <t>SUSHANT</t>
  </si>
  <si>
    <t>URANE</t>
  </si>
  <si>
    <t>sushanturane123@gmail.com</t>
  </si>
  <si>
    <t>https://www.linkedin.com/in/sushant-urane-609261226</t>
  </si>
  <si>
    <t>SUMITRA</t>
  </si>
  <si>
    <t>At Post -Velapur, Tal - Malshiras, Dist - Solapur 413113.</t>
  </si>
  <si>
    <t>At Post- alandi, pune 412105</t>
  </si>
  <si>
    <t>NO BACKLOG</t>
  </si>
  <si>
    <t>COMPLETED</t>
  </si>
  <si>
    <t>ASPEN HYSYS CERTIFICATON</t>
  </si>
  <si>
    <t>Equinox Information Technology and Services pune.</t>
  </si>
  <si>
    <t xml:space="preserve"> Develop a PFD in Aspen Hysys for NGL Dehydration with contactor and regenerator.</t>
  </si>
  <si>
    <t>SYNTHETIC CROSSLINKED POLYMER FOR REMOVAL OF PHENOL FROM SYNTHETIC WASTE WATER.
 ( we are going to synthesis of crosslinked polymer which can be remove the phenol form synthetic Waste water.)</t>
  </si>
  <si>
    <t>Django (Python)</t>
  </si>
  <si>
    <t>AutoCAD, Fusion 360, ANSYS, MATLAB, aspen plus, aspen HYSYS, Scilab, DWSIM, PRO II.</t>
  </si>
  <si>
    <t>Sanskrit, NONE</t>
  </si>
  <si>
    <t>Anchor At College Gathering 2022, participate in 2 college dramas.</t>
  </si>
  <si>
    <t>https://preskilet.com/62b5b858af4f2700045cdfbd</t>
  </si>
  <si>
    <t>https://drive.google.com/open?id=1-MIO6yWB6ct58pzMT5Sm3wgmvLcuhNxz</t>
  </si>
  <si>
    <t>https://drive.google.com/open?id=1K2EzBG4vYsDRs8b8fqCXWHS5vwwYhmLo</t>
  </si>
  <si>
    <t>https://drive.google.com/open?id=11UAVSs6yAKRqbP091Yg-n9IiZ5pVEiG4</t>
  </si>
  <si>
    <t>https://drive.google.com/open?id=1A7AaYFckdwY2_nYTfqV0BvL18z5TqPSQ</t>
  </si>
  <si>
    <t>https://drive.google.com/open?id=1bBSXmvUAxE3YB8ZGI0c65AWHo2ghIyDY</t>
  </si>
  <si>
    <t>https://drive.google.com/open?id=1L_9j2rDLF5IVjBOuK25Zq7RdEci50Qpi</t>
  </si>
  <si>
    <t>Deficiency of documents and Technical certification course certificate.</t>
  </si>
  <si>
    <t>0120190358</t>
  </si>
  <si>
    <t xml:space="preserve">NIKITA </t>
  </si>
  <si>
    <t xml:space="preserve">SANJAYRAO </t>
  </si>
  <si>
    <t xml:space="preserve">GARUDKAR </t>
  </si>
  <si>
    <t>nikitagarudkar357@gmail.com</t>
  </si>
  <si>
    <t>https://www.linkedin.com/in/nikita-garudkar-121792241</t>
  </si>
  <si>
    <t xml:space="preserve">SANJAY DATTATRAY GARUDKAR </t>
  </si>
  <si>
    <t xml:space="preserve">LALITA SANJAY GARUDKAR </t>
  </si>
  <si>
    <t xml:space="preserve">D-43 Vedant Nagar Nanded </t>
  </si>
  <si>
    <t xml:space="preserve">Completed </t>
  </si>
  <si>
    <t xml:space="preserve">Internship at Generich Membrane Pvt Ltd </t>
  </si>
  <si>
    <t xml:space="preserve">Simulation of Catalytic reactor 
    By using Aspen hyses we have to simulate flow sheet for FCC model
</t>
  </si>
  <si>
    <t>Flask (Python), NONE</t>
  </si>
  <si>
    <t xml:space="preserve">AutoCAD, ANSYS, MATLAB, Aspen hyses, Scilab, DWSIM, </t>
  </si>
  <si>
    <t>Anchor at College Gathering 2022</t>
  </si>
  <si>
    <t>https://preskilet.com/watch?v=62bdabd89535010004fd27c4</t>
  </si>
  <si>
    <t>https://drive.google.com/open?id=1BFsnWTVNHopURHik5wX2kfoaLa93zeOB</t>
  </si>
  <si>
    <t>https://drive.google.com/open?id=1jxcEvenptpttDsjIPQzgO1sj6UDLotxA</t>
  </si>
  <si>
    <t>https://drive.google.com/open?id=15aZoyc7041GWVx9keEDwdT5HI4h_5MC8</t>
  </si>
  <si>
    <t>https://drive.google.com/open?id=16TmxKKxkaRDF090PTTmOcN5LVnIst3V5</t>
  </si>
  <si>
    <t>https://drive.google.com/open?id=1TMytd4Fz3CWyTn_lcBLM0MFopZbRwWGw</t>
  </si>
  <si>
    <t>https://drive.google.com/open?id=1zgf7m8lIhme9L5aAndWuUCcpJILvVVw3</t>
  </si>
  <si>
    <t>Deficiency of documents and technical certification.</t>
  </si>
  <si>
    <t>0120190036</t>
  </si>
  <si>
    <t>OMKAR</t>
  </si>
  <si>
    <t>SATISH</t>
  </si>
  <si>
    <t>MAHALE</t>
  </si>
  <si>
    <t>omkarmahale10@gmail.com</t>
  </si>
  <si>
    <t>https://www.linkedin.com/in/omkar-mahale-a207a21b5/</t>
  </si>
  <si>
    <t>MANISHA</t>
  </si>
  <si>
    <t>At Post Lasalgaon Amrut Nagar,Lasalgaon Tal. Niphad (Nashik)</t>
  </si>
  <si>
    <t>Gilbile Apartment ,Tapkir Nagar ,Alandi (D),Pimpari Chinchwad</t>
  </si>
  <si>
    <t>AS105T CALCULUS AND DIFFERENTIAL EQUATION 
CV102T APPLIED MECHANICS 
CH101T SCIENCE OF NATURE</t>
  </si>
  <si>
    <t>MTA: Introduction to Programming using Python</t>
  </si>
  <si>
    <t>MMIC Michelin 2022</t>
  </si>
  <si>
    <t>ASN PACKAGING PVT LTD
01/2022 - 02/2022, Chakan (Pune)</t>
  </si>
  <si>
    <t xml:space="preserve">Internship -
BLUE CROSS LABORATORIES PVT LTD
06/2021 - 07/2021, NASHIK
Studied various operations involved in industry
Came very close to all the aspects and also learned how to
follow rules and regulations
Project-
Productive hydrogenation of CO2 to form Methanol
(June 2020-May2021)
Group Size 3
Includes complete market analysis ,literature survey,comparison of  bio-fuels,case study on CRI Plant Iceland ,Selection of catalyst with preparation technique and characterization and material and energy balance for hypothetical plant with process flow diagram.
</t>
  </si>
  <si>
    <t>Internship -
ADVANCE PAINTS PVT.LTD.
06/2022-07/2022, ANDHERI (E),MUMBAI
Project -
Activated carbon from coconut shell (08/2021 - Present)
Produced activated carbon from raw material coconut shell
And determining different properties of activated carbo</t>
  </si>
  <si>
    <t xml:space="preserve">Productive hydrogenation of CO2 to form Methanol
(June 2020-May2021)
Group Size 3
Includes complete market analysis ,literature survey,comparison of  bio-fuels,case study on CRI Plant Iceland ,Selection of catalyst with preparation technique and characterization and material and energy balance for hypothetical plant with process flow diagram.
</t>
  </si>
  <si>
    <t>Activated carbon from coconut shell 
(08/2021 - Present)
Produced activated carbon from raw material coconut shell
And determining different properties of activated carbon</t>
  </si>
  <si>
    <t>React.js (JavaScript/Typescript), Angular</t>
  </si>
  <si>
    <t>AutoCAD, Fusion 360, ANSYS, MATLAB, DWSIM,ASPEN HYSYS</t>
  </si>
  <si>
    <t>1) PRAKALP 2020 (16th National Chemical Engineering
Student's Conference) (09/2020 - 09/2020)
2) MMIC MICHELIN 2022 Competition -2nd Rank
3) Industrial Biotechnology (08/2021 - 09/2021)</t>
  </si>
  <si>
    <t>Performer at TEDx 'MITAOE (12/2019 - 01/2020)</t>
  </si>
  <si>
    <t>https://preskilet.com/62bbf38437f0b4000476cfea</t>
  </si>
  <si>
    <t>https://drive.google.com/open?id=1vacXklrt7A4iytL8EQMXst6MLl6TdNkT</t>
  </si>
  <si>
    <t>https://drive.google.com/open?id=1owPTUNZGwJh4uyyJQc9BpXi6givWw2cC</t>
  </si>
  <si>
    <t>https://drive.google.com/open?id=1LDXL77oHMOzI71Fa5ucwEMdfk8oDxa9-</t>
  </si>
  <si>
    <t>https://drive.google.com/open?id=1SSGUgEmMSpp4HG7jeP2MJLhxS3yPyKdp</t>
  </si>
  <si>
    <t>https://drive.google.com/open?id=1nTiluRPy-cFwvWH2MYsZDzeQCDtASUXv</t>
  </si>
  <si>
    <t>Technical Certification received late.</t>
  </si>
  <si>
    <t>0220200053</t>
  </si>
  <si>
    <t>RAJU</t>
  </si>
  <si>
    <t>chavhansharad382@gmail.com</t>
  </si>
  <si>
    <t>https://www.linkedin.com/in/sharad-chavhan-98a728235</t>
  </si>
  <si>
    <t>At.shelu  Tq.arni dist.yavatmal</t>
  </si>
  <si>
    <t>Applied mathematics (AS203L)</t>
  </si>
  <si>
    <t>MTA: Introduction to Programming by using Python</t>
  </si>
  <si>
    <t>Matlab Onramp</t>
  </si>
  <si>
    <t>Amalgam Biotech, Pune</t>
  </si>
  <si>
    <t>Designing and simulation of evaporator</t>
  </si>
  <si>
    <t>Python, Matlab</t>
  </si>
  <si>
    <t>AutoCAD, ANSYS, MATLAB, Aspen</t>
  </si>
  <si>
    <t>Inter college poster presentation</t>
  </si>
  <si>
    <t>runner up in kabaddi</t>
  </si>
  <si>
    <t>https://preskilet.com/watch?v=62bd2fa89535010004fd238b</t>
  </si>
  <si>
    <t>https://drive.google.com/open?id=1mCEFKu7KhE-TwdCjcXbB2KkeyNCXAFjY</t>
  </si>
  <si>
    <t>https://drive.google.com/open?id=1Xqg_h2LfhesJpsOxJqdopEuIErH-9cRZ</t>
  </si>
  <si>
    <t>https://drive.google.com/open?id=1ceoPcyoAt9f-wb_1cwIJRpuJzIpp6fuV</t>
  </si>
  <si>
    <t>https://drive.google.com/open?id=1qBwPvWeNncPUG-iW5KLLcaruFYyyXqLP</t>
  </si>
  <si>
    <t>https://drive.google.com/open?id=1q5H0nwL5WfTjg5sRuiqgJpV3C23Keti-</t>
  </si>
  <si>
    <t>https://drive.google.com/open?id=184qPuMDaH-0jHLtqZOtk7eDkzoat-IZU</t>
  </si>
  <si>
    <t>https://drive.google.com/open?id=1fADerOnXlHgmEqlZuHTDhOKbmrSdUasE</t>
  </si>
  <si>
    <t>1. Uploaded the Technical Certificate 
2. Uploaded the AMCAT Results.</t>
  </si>
  <si>
    <t>0120190311</t>
  </si>
  <si>
    <t>ADITI</t>
  </si>
  <si>
    <t>DIPAK</t>
  </si>
  <si>
    <t>BOBADE</t>
  </si>
  <si>
    <t>adubobade22@gmail.com</t>
  </si>
  <si>
    <t>linkedin.com/in/aditi-bobade-88a5321b9</t>
  </si>
  <si>
    <t>DIPAK BOBADE</t>
  </si>
  <si>
    <t>JYOTI BOBADE</t>
  </si>
  <si>
    <t>Dipak Motors, shivnagar, sasti road, Rampur, Rajura, Chandrapur, Maharashtra  (442905)</t>
  </si>
  <si>
    <t>Vaibhav hostel, hindavi colony, dehu road, Alandi, Pune , Maharashtra (412105)</t>
  </si>
  <si>
    <t>MathWorks: MATLAB fundamentals</t>
  </si>
  <si>
    <t>MathWorks: MATLAB Onramp
Coursera: programming for everybody python
Coursera: python data structures</t>
  </si>
  <si>
    <t xml:space="preserve">Project manager at SEMS welfare foundation </t>
  </si>
  <si>
    <t>Research intern at Amalgam Biotech, Pune</t>
  </si>
  <si>
    <t xml:space="preserve">Degradation of dyes using hydrodynamic cavitation </t>
  </si>
  <si>
    <t>AutoCAD, Fusion 360, ANSYS, Proteus, MATLAB, Aspen hysys</t>
  </si>
  <si>
    <t xml:space="preserve">Prakalp paper presentation </t>
  </si>
  <si>
    <t xml:space="preserve">Post matric scholarship for OBC students </t>
  </si>
  <si>
    <t xml:space="preserve">Stood 2nd in National dance competition </t>
  </si>
  <si>
    <t>https://preskilet.com/watch?v=62b2f102cd590700045fb46e</t>
  </si>
  <si>
    <t>https://drive.google.com/open?id=1KCfSFVRDeJV4zk7vDc7wY1HCx253hTTF</t>
  </si>
  <si>
    <t>https://drive.google.com/open?id=1UiVPql7CR_OtD9VsUrTAurcczZhZUkOt</t>
  </si>
  <si>
    <t>https://drive.google.com/open?id=1f-70dN7BX-Jc2XhHiVLgsoq89E2XD66j</t>
  </si>
  <si>
    <t>https://drive.google.com/open?id=1rTGPWtVW50q3nWIJ1gxURFSXtuBwGDFi</t>
  </si>
  <si>
    <t>https://drive.google.com/open?id=1iCbP7QRINYzo4yztvgp14rWyZiQIL0LI</t>
  </si>
  <si>
    <t>https://drive.google.com/open?id=1svvydjygoR7Y8HTgaPexVD9IYH00KzlR</t>
  </si>
  <si>
    <t>https://drive.google.com/open?id=1piFXKcuU7oiXFuBT4qe5gyV49fPzzyJJ</t>
  </si>
  <si>
    <t>https://drive.google.com/open?id=1DCJ-JcXvaz6pqmKfBKXOGFGTgsNj5CCg</t>
  </si>
  <si>
    <t>https://drive.google.com/open?id=1dsqOlwE1VKwNkKGhha14nxysjjWIdEYL</t>
  </si>
  <si>
    <t>I have updated technical certificates and AMCAT results because I have added one more certificate and AMCAT result report is available now.</t>
  </si>
  <si>
    <t>0220200177</t>
  </si>
  <si>
    <t>TEJASWINI</t>
  </si>
  <si>
    <t>GANGADHAR</t>
  </si>
  <si>
    <t>WADHAVE</t>
  </si>
  <si>
    <t>tejaswini99wadhave@gmail.com</t>
  </si>
  <si>
    <t>https://www.linkedin.com/in/tejaswini-wadhave</t>
  </si>
  <si>
    <t>MEENA</t>
  </si>
  <si>
    <t>At. Post- Anji (Mothi).Tah-Dist- Wardha</t>
  </si>
  <si>
    <t>Morya Hills, Kale Colony, Alandi Pin Code:- 412105</t>
  </si>
  <si>
    <t>Ongoing</t>
  </si>
  <si>
    <t>Genrich Membrane Pvt. Ltd</t>
  </si>
  <si>
    <t>Extraction of tartaric acid from tamarind pulp</t>
  </si>
  <si>
    <t>Sports</t>
  </si>
  <si>
    <t>https://drive.google.com/drive/folders/16WijIwLW-knhj0ducl426pxHp95S228B</t>
  </si>
  <si>
    <t>https://drive.google.com/open?id=1AGH_SIW2IXVCt0hJFg0FhOdHJoLU0Dle</t>
  </si>
  <si>
    <t>https://drive.google.com/open?id=1Y5RDl5fcWjmmCM1qfMHPbHg0HJ0CsOnX</t>
  </si>
  <si>
    <t>https://drive.google.com/open?id=1DPhrxWd-AbSz82WnxOrlHr9KvFF23FD4</t>
  </si>
  <si>
    <t>https://drive.google.com/open?id=1ApHWN4-qjV-wcerRpzHTrx4X_jGghkZT</t>
  </si>
  <si>
    <t>https://drive.google.com/open?id=101uxXgzm45UHLy14Z2kMzJYtGDAAuhg_</t>
  </si>
  <si>
    <t>https://drive.google.com/open?id=1Oixbv-2MskggiY9auU-I9Punxuv4iKK0</t>
  </si>
  <si>
    <t>Technical Certification and Amcat results</t>
  </si>
  <si>
    <t xml:space="preserve">YES </t>
  </si>
  <si>
    <t>0120190627</t>
  </si>
  <si>
    <t>MOHSIN</t>
  </si>
  <si>
    <t>AZIM</t>
  </si>
  <si>
    <t>MANSURI</t>
  </si>
  <si>
    <t>mosinmansuri2000@gmail.com</t>
  </si>
  <si>
    <t>https://www.linkedin.com/in/mohsin-mansuri-320158173</t>
  </si>
  <si>
    <t>WAHIDA</t>
  </si>
  <si>
    <t>Nehru Chowk, Cotton Market Road , Karanja Lad, Washim-444105</t>
  </si>
  <si>
    <t>Infront of gokul dham society , Dehu phata , Alandi, Pune</t>
  </si>
  <si>
    <t>AS105T - CALCULUS AND DIFFERENTIAL EQUATIONS
AS106T - ENGINEERING PHYSICS
EX102T - ELECTRICAL AND ELECTRONICS ENGINEERING
ME104T - ENGINEERING GRAPHICS</t>
  </si>
  <si>
    <t xml:space="preserve">MATLAB for Data Processing and Visualization </t>
  </si>
  <si>
    <t>Kingfa Science and Technology India Ltd. - Polymer Compounding, PPE, Face Mask Manufacturer</t>
  </si>
  <si>
    <t>Types of Nanofluids, Preparation, Stabilization and Characterization</t>
  </si>
  <si>
    <t>Python, C/C++, MATLAB</t>
  </si>
  <si>
    <t>AutoCAD, Fusion 360, CATIA, ANSYS, MATLAB, Aspen Hysys</t>
  </si>
  <si>
    <t>Urdu</t>
  </si>
  <si>
    <t>Participated in Prklp-20 (paper presentation)
Participated in Prklp-20 (Quiz)
Participated in Prklp-21 (Industrial problem solving)
Participated in Praklp-21 (quiz)</t>
  </si>
  <si>
    <t>Ansys (by internshala)</t>
  </si>
  <si>
    <t xml:space="preserve">Participated in National science day quiz by IICMITAOE
</t>
  </si>
  <si>
    <t>https://preskilet.com/watch?v=62a362b1a6956a00045fff9d</t>
  </si>
  <si>
    <t>https://drive.google.com/open?id=1OOmybMpyJcVCDwAhLaTNoURzhSe8GGC1</t>
  </si>
  <si>
    <t>https://drive.google.com/open?id=1pDxDPXzfbTU5MGK1l3E2-FsoqGjyy3p1</t>
  </si>
  <si>
    <t>https://drive.google.com/open?id=1zO6cvezL7S99QxyQMtTqONMlKYfkeiK7</t>
  </si>
  <si>
    <t>https://drive.google.com/open?id=1ethVUoZi89Xx5gtzzsCLmdKrJdvM6-6r</t>
  </si>
  <si>
    <t>https://drive.google.com/open?id=16dmK5LkwSWtZdvyhFWmya86plKbxb1eT</t>
  </si>
  <si>
    <t>https://drive.google.com/open?id=1-214O-BrUIJ66Le9ItL4Uiuudjd2u24i</t>
  </si>
  <si>
    <t xml:space="preserve">Certificate not uploaded </t>
  </si>
  <si>
    <t>0120190447</t>
  </si>
  <si>
    <t>NANASAHEB</t>
  </si>
  <si>
    <t>RAMCHANDRA</t>
  </si>
  <si>
    <t>DUDHAL</t>
  </si>
  <si>
    <t>dudhalnr@gmail.com</t>
  </si>
  <si>
    <t>https://www.linkedin.com/in/nanasaheb-dudhal-66b386206/</t>
  </si>
  <si>
    <t>RAMCHANDRA DUDHAL</t>
  </si>
  <si>
    <t>CHAYA DUDHAL</t>
  </si>
  <si>
    <t xml:space="preserve">A/P Khairao Tal- Jath Dist - Sangali 416404 </t>
  </si>
  <si>
    <t xml:space="preserve">English : 93 % , logic 82 % , Quantitative 96 % </t>
  </si>
  <si>
    <t xml:space="preserve">English : 14 % , logic 5 % , Quantitative 8% </t>
  </si>
  <si>
    <t>AS105T CALCULUS AND DIFFERENTIAL EQUATIONS , AS106T ENGINEERING PHYSICS, CS101T LOGIC DEVELOPMENT - C PROGRAMMING ,EX102T ELECTRICAL AND ELECTRONICS ENGINEERING, ME104T ENGINEERING GRAPHICS</t>
  </si>
  <si>
    <t xml:space="preserve"> Python Programming for Everybody</t>
  </si>
  <si>
    <t>Generation Of Electricity From Salt Water</t>
  </si>
  <si>
    <t xml:space="preserve">Internship : GreenCraft Labs sus Pune </t>
  </si>
  <si>
    <t>Porous Polymeric Absorbents for removal of phenol from wastewater.</t>
  </si>
  <si>
    <t>AutoCAD, MATLAB, ASPEN HYSIS, ASPEN PLUS, DWSIM</t>
  </si>
  <si>
    <t xml:space="preserve">Participate in Technical Quiz “PRAKALP-2020”  Our College </t>
  </si>
  <si>
    <t>Advanced Excel Tutorial Online Offered by elearnmarkets .
Advance chemistry
Chemistry
Introduction to physical chemistry
Programming for everybody</t>
  </si>
  <si>
    <t>https://drive.google.com/drive/folders/11yQJi0nEJpZp_JaD8AzOmKtZ2Y7-4D9_?usp=sharing</t>
  </si>
  <si>
    <t>https://drive.google.com/open?id=1Y6BFE0SGSF6Gpb-AA-xBl7DT9FN7GoE4</t>
  </si>
  <si>
    <t>https://drive.google.com/open?id=1fFtW-87KCbrqYducN_W0_zNhUVl3oIeB</t>
  </si>
  <si>
    <t>0220200162</t>
  </si>
  <si>
    <t xml:space="preserve">SAKSHI </t>
  </si>
  <si>
    <t>NITANTRAO</t>
  </si>
  <si>
    <t>CHAKKARWAR</t>
  </si>
  <si>
    <t>sakshi.chakk@gmail.com</t>
  </si>
  <si>
    <t>https://www.linkedin.com/in/sakshi-chakkarwar-408b4522b</t>
  </si>
  <si>
    <t>NITANTRAO NANDKUMAR CHAKKARWAR</t>
  </si>
  <si>
    <t>SANGITA NITANTRAO  CHAKKARWAR</t>
  </si>
  <si>
    <t>Chvdhari layout mahagaon ta. Mahagaon, Dist :-yavtmal pin code :- 445205</t>
  </si>
  <si>
    <t>Moryahills kale colony alandi , pune , Maharashtra ,india. 412105</t>
  </si>
  <si>
    <t>Simulation and Design reactive Distillation column</t>
  </si>
  <si>
    <t>Chemsys industry,Design  and simulation reactive distillation</t>
  </si>
  <si>
    <t>Design  and simulation reactive distillation</t>
  </si>
  <si>
    <t>Ms-cit</t>
  </si>
  <si>
    <t>Free</t>
  </si>
  <si>
    <t>Poster Presentation</t>
  </si>
  <si>
    <t>https://preskilet.com/watch?v=62b448c730b28000045231e2</t>
  </si>
  <si>
    <t>https://drive.google.com/open?id=1L4j7Lx36DgQVc9U1lAixJzhgHiwmrM_5</t>
  </si>
  <si>
    <t>https://drive.google.com/open?id=1gb8jJ9t2RSJb2WkXdnl7dICHIDmhE3-x</t>
  </si>
  <si>
    <t>https://drive.google.com/open?id=1ZSqDHFsyZ2Qa3rMTJ2CWMQfKFKnWdA1K</t>
  </si>
  <si>
    <t>https://drive.google.com/open?id=18WrTX4RNI7cbSRvyKzwjNaxQysBuo5J2</t>
  </si>
  <si>
    <t>Because name is incorrect</t>
  </si>
  <si>
    <t>0120190257</t>
  </si>
  <si>
    <t>SURAJ</t>
  </si>
  <si>
    <t xml:space="preserve">WAMANRAO </t>
  </si>
  <si>
    <t xml:space="preserve">INGAWALE </t>
  </si>
  <si>
    <t>surajingawale274@gmail.com</t>
  </si>
  <si>
    <t>https://www.linkedin.com/in/suraj-ingawale-26a79b241</t>
  </si>
  <si>
    <t>SUREKHA</t>
  </si>
  <si>
    <t>Suraj Niwas',Sahakar Colony 2,Jyotibanagar Kalewadi, Pimpri, Pune -411017</t>
  </si>
  <si>
    <t xml:space="preserve">No Backlog </t>
  </si>
  <si>
    <t>Cleared</t>
  </si>
  <si>
    <t>Microsoft Python Technical Certification Course</t>
  </si>
  <si>
    <t>Programming for Everybody -Python-Coursera</t>
  </si>
  <si>
    <t>Introduction to Physical chemistry - Coursera</t>
  </si>
  <si>
    <t>Chemdist Process Solution (Internship)</t>
  </si>
  <si>
    <t>Microwave Assisted Extraction and Isolation of Sygium Cumini(Jamun leaves)</t>
  </si>
  <si>
    <t>AutoCAD, Fusion 360, MATLAB</t>
  </si>
  <si>
    <t>https://preskilet.com/swingawale@mitaoe.ac.in</t>
  </si>
  <si>
    <t>https://drive.google.com/open?id=1BZ29b7Hk-pyI668MpJEB9ThiatVH8KoK</t>
  </si>
  <si>
    <t>https://drive.google.com/open?id=19fEJ5Qjn3a1z0D-_a47XSct2pgL63DiN</t>
  </si>
  <si>
    <t>https://drive.google.com/open?id=1W_RKnJshCxoesHiGDUBW10ox_32vRY0t</t>
  </si>
  <si>
    <t>https://drive.google.com/open?id=1SWNQuzB0v18w82U0RHilqePXBl4GWCDC</t>
  </si>
  <si>
    <t>Amcat score report updated</t>
  </si>
  <si>
    <t>RADHA</t>
  </si>
  <si>
    <t xml:space="preserve">KESAVAN </t>
  </si>
  <si>
    <t xml:space="preserve">NADAR </t>
  </si>
  <si>
    <t>k.radhanadar@gmail.com</t>
  </si>
  <si>
    <t>https://www.linkedin.com/in/radha-nadar-68b07522a</t>
  </si>
  <si>
    <t>KESAVAN NADAR</t>
  </si>
  <si>
    <t>SAKTHIKALA NADAR</t>
  </si>
  <si>
    <t>Sr no :3 ,Samarth Nagar,Dighi,Pune-41105</t>
  </si>
  <si>
    <t>Physical chemistry- coursera</t>
  </si>
  <si>
    <t xml:space="preserve">Amalagam Biotech </t>
  </si>
  <si>
    <t>Formation of Nano layers</t>
  </si>
  <si>
    <t xml:space="preserve">Equilibrium 2022-Workshop &amp; quiz competition 
MESA-Nartional level quiz competition (Battle of Brains)
Natinal levele quic on boga and meditation. </t>
  </si>
  <si>
    <t>https://preskilet.com/watch?v=62bd3e289535010004fd241c</t>
  </si>
  <si>
    <t>https://drive.google.com/open?id=16EOMffyveMUsUt2jwofOQewW1DXLyW4Y</t>
  </si>
  <si>
    <t>https://drive.google.com/open?id=1cyUXJ1JyR-8vSLbJ7TNOLyULgWhm46y2</t>
  </si>
  <si>
    <t>https://drive.google.com/open?id=13DQ8ZxqlFuTNlMTfQNWmx_P-UL9t3wgS</t>
  </si>
  <si>
    <t>https://drive.google.com/open?id=1sRSa1uwJ-RhTKgWRBvgm7EkNZFMqP8Vk</t>
  </si>
  <si>
    <t>https://drive.google.com/open?id=1vRCR6HGRX9j2zpyVhRT7M6hRv5W_ua0s</t>
  </si>
  <si>
    <t>https://drive.google.com/open?id=1Q3cVBfGHdQVKClP9-yIrd9fYucWQgrTE</t>
  </si>
  <si>
    <t>Amcat scores and preskilet link</t>
  </si>
  <si>
    <t>0120190042</t>
  </si>
  <si>
    <t>SWAPNIL</t>
  </si>
  <si>
    <t>RAMCHNADRA</t>
  </si>
  <si>
    <t>PACHKHNADE</t>
  </si>
  <si>
    <t>Swapnilpachkhande44@gmail.com</t>
  </si>
  <si>
    <t>Srpachkhande@mitaoe.ac.in</t>
  </si>
  <si>
    <t>linkedin.com/in/swapnil-pachkhande-4566031a7</t>
  </si>
  <si>
    <t>MANAGLA</t>
  </si>
  <si>
    <t>at.post .rudhana .ta.sangrapur dist.buldhana.pin 443402</t>
  </si>
  <si>
    <t>Mega engineearing</t>
  </si>
  <si>
    <t>Healical Coil Heat Exchanger</t>
  </si>
  <si>
    <t>AutoCAD, Fusion 360, ANSYS, Adobe XD, MATLAB</t>
  </si>
  <si>
    <t>english ,marathi,hindi</t>
  </si>
  <si>
    <t>ecosystem restoration and environmental sustainability concerns and alternatives</t>
  </si>
  <si>
    <t>https://drive.google.com/file/d/1uWPrSzLM7gKvGNN_EP14M73_0ffLWOiS/view?usp=sharing</t>
  </si>
  <si>
    <t>https://drive.google.com/open?id=1wHJ1zgNnhMeyrtVewhauDnQlGJY9MH5Y</t>
  </si>
  <si>
    <t>https://drive.google.com/open?id=1ezID7pF_GmSF7hQZXOsj5uQ0S57hdLPE</t>
  </si>
  <si>
    <t>https://drive.google.com/open?id=16mfD7STKLAPHfNIfFUOif2LbyauYzLs_</t>
  </si>
  <si>
    <t>https://drive.google.com/open?id=1oobJ8NtzrZOmrXHJn_Ol86Y-_PKB1ohe</t>
  </si>
  <si>
    <t xml:space="preserve">no
</t>
  </si>
  <si>
    <t>0120190519</t>
  </si>
  <si>
    <t xml:space="preserve">SAMRUDDHI </t>
  </si>
  <si>
    <t>BHAIYYA</t>
  </si>
  <si>
    <t>DHANVIJAY</t>
  </si>
  <si>
    <t>samruddhidhanvijay24@gmail.com</t>
  </si>
  <si>
    <t>https://www.linkedin.com/feed/</t>
  </si>
  <si>
    <t>BHAIYYA DHANVIJAY</t>
  </si>
  <si>
    <t>ANITA DHANVIJAY</t>
  </si>
  <si>
    <t>32, Panasse lay out , near Ganesh lawn, last bus stop, nagpur-440022</t>
  </si>
  <si>
    <t>Malhari sadhan, handvi colony 2, tapkir nagar , dehu phata, Alandi -412105</t>
  </si>
  <si>
    <t>Indroduction to programming using python</t>
  </si>
  <si>
    <t>MATLAB Onramp
AUTODESK AUTOCAD</t>
  </si>
  <si>
    <t>INFOSYS: INTRODUCTION TO PYTHON</t>
  </si>
  <si>
    <t>Sunjeera oil and gas Pvt. Ltd</t>
  </si>
  <si>
    <t>Green Solution Enviro and Agro Pvt. Ltd</t>
  </si>
  <si>
    <t>Sewage treatment and effluent treatment plant</t>
  </si>
  <si>
    <t>1. simulation of sewage treatment plant
2. process intensification in distillation</t>
  </si>
  <si>
    <t>AutoCAD, ANSYS, Proteus, Aspen plus, STOAT, DWSIM</t>
  </si>
  <si>
    <t>Mahadbt</t>
  </si>
  <si>
    <t>https://docs.google.com/document/d/1HqmCc0sDFbyeZxUADwOKWdKL6M5HRcq2/edit</t>
  </si>
  <si>
    <t>https://drive.google.com/open?id=1qtEa5zoQcUYvKy9eiPLWcrXQfeEghKPA</t>
  </si>
  <si>
    <t>https://drive.google.com/open?id=1pAUgu953sQ4svADn2zNaMfOo-0e7WXiV</t>
  </si>
  <si>
    <t>https://drive.google.com/open?id=1Q87Xk0h-wIvnRKURmuYuC3r16P3qh6sq</t>
  </si>
  <si>
    <t>https://drive.google.com/open?id=1Ex6BL8SJCe94QshYuDU9-FC_GRkJEfMq</t>
  </si>
  <si>
    <t>https://drive.google.com/open?id=1ExPkBdEvnEYV7F5ejA0vYb2XUYTZXDP1</t>
  </si>
  <si>
    <t>https://drive.google.com/open?id=1rP3se6Gs8YiHl0-tyoz6XiRMxjjRZzdj</t>
  </si>
  <si>
    <t>https://drive.google.com/open?id=1oj0EwZ0O4DKe3J09d_pzfCyn24yaSfVK</t>
  </si>
  <si>
    <t>...</t>
  </si>
  <si>
    <t>suraj.khartode@mitaoe.ac.in</t>
  </si>
  <si>
    <t>0220200083</t>
  </si>
  <si>
    <t>SANTOSH</t>
  </si>
  <si>
    <t>KHARTODE</t>
  </si>
  <si>
    <t>https://www.linkedin.com/in/suraj-khartode-516501232</t>
  </si>
  <si>
    <t>SANTOSH BABAN KHARTODE</t>
  </si>
  <si>
    <t>SHOBHA SANTOSH KHARTODE</t>
  </si>
  <si>
    <t>A/P- Shelgaon, Tal-Indapur, Dist-Pune</t>
  </si>
  <si>
    <t>Near MIT Art, Science, Commerce College, Dehuphata, Alandi</t>
  </si>
  <si>
    <t>English-98%, Logical Ability-99%, Quantitative Ability-83%</t>
  </si>
  <si>
    <t>Internship : Inplant Training in RTIC Department at Thermax Global, Bhosari Pune,
Duration : 6 Weeks</t>
  </si>
  <si>
    <t>Synthesis of titanium dioxide nanoparticles and its applications in waste water treatment.</t>
  </si>
  <si>
    <t>Python, SQL</t>
  </si>
  <si>
    <t>AutoCAD, ANSYS, Proteus, MATLAB, Aspen Hysys, Aspen Plus, DWSIM</t>
  </si>
  <si>
    <t>Runner Up in PRAKALP 2021 Quiz Competition</t>
  </si>
  <si>
    <t>https://drive.google.com/file/d/1bybuyUjDXErCGKYHWwDbieCUp3q99IqF/view?usp=drivesdk</t>
  </si>
  <si>
    <t>https://drive.google.com/open?id=1lncqupY_-ujiqCFDliORrCMglD9KeFE8</t>
  </si>
  <si>
    <t>https://drive.google.com/open?id=1CM5GfYkIF0332z9_TPPX3ZudJnmPDBR2</t>
  </si>
  <si>
    <t>satyam.dange@mitaoe.ac.in</t>
  </si>
  <si>
    <t>0220200114</t>
  </si>
  <si>
    <t>SATYAM</t>
  </si>
  <si>
    <t>NILKANTHAPPA</t>
  </si>
  <si>
    <t>DANGE</t>
  </si>
  <si>
    <t>https://www.linkedin.com/public-profile/settings?lipi=urn%3Ali%3Apage%3Ad_flagship3_profile_self_edit_contact-info%3BwyA%2Bx4AnT5%2BxrmTHnhPxSA%3D%3D</t>
  </si>
  <si>
    <t>NILKANTH</t>
  </si>
  <si>
    <t>TRIVENEE</t>
  </si>
  <si>
    <t>At Post Jawala Bazar, Ta. Aundha (Na), Dist. Hingoli, 431705</t>
  </si>
  <si>
    <t>MTA: Introduction to Programming Using Python - Certified 2022</t>
  </si>
  <si>
    <t>1. MATLAB Onramp</t>
  </si>
  <si>
    <t>1. Amalgam Biotech, Pune</t>
  </si>
  <si>
    <t>1. Removal of Fluorides from water by usind Adsorption Technique
2. Simulation of Catalytic Reactor using Aspen HYSYS</t>
  </si>
  <si>
    <t xml:space="preserve">AutoCAD, Fusion 360, ANSYS, MATLAB, ASPEN HYSYS, ASPEN PLUS, DWISM, HINT, </t>
  </si>
  <si>
    <t>1. Volunteer at Prakalp 2021
2. Participated in Nakshatra 2022</t>
  </si>
  <si>
    <t>https://preskilet.com/watch?v=62b857f5e89bf80004f23139</t>
  </si>
  <si>
    <t>https://drive.google.com/open?id=1k1TX79Ek0EUoTYYeLd9P5aY-ud35C2lJ</t>
  </si>
  <si>
    <t>https://drive.google.com/open?id=1v8pVN4_FYi4pvIjaVO1aTitZCHW41aH0</t>
  </si>
  <si>
    <t>https://drive.google.com/open?id=1sgdJgU_rcXlTcuHNwtFDRw7J2jLvXxYZ</t>
  </si>
  <si>
    <t>https://drive.google.com/open?id=18dylfGEw2c1_WfRM4dgWj5O_rpug4sYw</t>
  </si>
  <si>
    <t>https://drive.google.com/open?id=1SoV0s9DX9kjVwicIKcOSx6d2F2xV8YVS</t>
  </si>
  <si>
    <t>https://drive.google.com/open?id=1qQyD1WXpI6arms7hUVcljz-m8M3jGaEc</t>
  </si>
  <si>
    <t>https://drive.google.com/open?id=1aLgxcsIKya47mQY3uaHMJVNCRvLA7vzu</t>
  </si>
  <si>
    <t>https://drive.google.com/open?id=10Q6dv4FRnYDG6eBWztRYM964J5hJClGj</t>
  </si>
  <si>
    <t>1. Internship Status: Amalgam Biotech, Pune
2. Certification: Introduction to programming using Python</t>
  </si>
  <si>
    <t>dnyaneshwar.ingale@mitaoe.ac.in</t>
  </si>
  <si>
    <t>0220200106</t>
  </si>
  <si>
    <t>DNYANESHWAR</t>
  </si>
  <si>
    <t>INGALE</t>
  </si>
  <si>
    <t>ingale4141@gmail.com</t>
  </si>
  <si>
    <t>https://www.linkedin.com/public-profile/settings?lipi=urn%3Ali%3Apage%3Ad_flagship3_profile_self_edit_contact-info%3BllLRDcK4Ska5YuEQSg6oNQ%3D%3D</t>
  </si>
  <si>
    <t>GAUKARNA</t>
  </si>
  <si>
    <t>At.po. mungala subdist. malegon, dist. washim (pin-444503)</t>
  </si>
  <si>
    <t>CH341T-CHEMICAL ENGINEERING OPERATION</t>
  </si>
  <si>
    <t>INTRODUCTION TO PROGRAMMING USING PYTHON</t>
  </si>
  <si>
    <t>MATLAB Onramp</t>
  </si>
  <si>
    <t>Chem engg reserch pvt.ltd pune</t>
  </si>
  <si>
    <t>Production of Biofuel From Water Hyacinth</t>
  </si>
  <si>
    <t>AutoCAD, Fusion 360, ANSYS, MATLAB, ASPEN HYSIS ,ASPEN PLUS ,DWSIM</t>
  </si>
  <si>
    <t>Participated in 'HACKATHON FOR RURAL DEVLOPMENT'</t>
  </si>
  <si>
    <t>https://preskilet.com/watch?v=62b85f51e89bf80004f23169</t>
  </si>
  <si>
    <t>https://drive.google.com/open?id=1cnMiVtzzfw3mcY5I1PSfex5gcJ1sfIXe</t>
  </si>
  <si>
    <t>https://drive.google.com/open?id=19jrTbIsZJX1PTah2YRn-ZnYdd71Lo2TT</t>
  </si>
  <si>
    <t>https://drive.google.com/open?id=1b4a1lEZhLxKxWifZYbbpFRgUBgKT-vkS</t>
  </si>
  <si>
    <t>https://drive.google.com/open?id=1JN7CDEz0q45dVDccSwY7MvacLlkUxM17</t>
  </si>
  <si>
    <t>https://drive.google.com/open?id=1GeiNFiNXEEuYTh7h4Xqt9jd1Hhm6ztzM</t>
  </si>
  <si>
    <t>Preskilet Video link
Amcat Result
Technical Certificate</t>
  </si>
  <si>
    <t>deepak.kulkarni@mitaoe.ac.in</t>
  </si>
  <si>
    <t>0220200204</t>
  </si>
  <si>
    <t>DEEPAK</t>
  </si>
  <si>
    <t>NARSINH</t>
  </si>
  <si>
    <t>KULKARNI</t>
  </si>
  <si>
    <t>https://www.linkedin.com/public-profile/settings?lipi=urn%3Ali%3Apage%3Ad_flagship3_profile_self_edit_contact-info%3BjzqIQa1SQGet%2FfHhzBs8qA%3D%3D</t>
  </si>
  <si>
    <t>AT. Birwali PO. shivli,  Tq. Ausa dist. Latur</t>
  </si>
  <si>
    <t>Dehu Phata Alandi Pune</t>
  </si>
  <si>
    <t>CH341T - CHEMICAL ENGINEERING OPERATIONS
CH362T - CHEMICAL EQUIPMENT DESIGN</t>
  </si>
  <si>
    <t>MTA: Introduction to Programming by Using Python</t>
  </si>
  <si>
    <t>1. ChemEngg Research Pvt. Ltd :- working on project entitled as,
                                              1)Purification of sodium sulphate from effluent
                                              2) Waste water treatment using floucants and coagulating agents</t>
  </si>
  <si>
    <t>Diploma Project - Caffeine Extraction from Coffee.
B.Tech  Project - Simulation of Ethyl chloride plant.</t>
  </si>
  <si>
    <t xml:space="preserve">AutoCAD, ANSYS, MATLAB, Aspen Hysys, Scilab, </t>
  </si>
  <si>
    <t>Trainig on Industrial Safety</t>
  </si>
  <si>
    <t>Participated in State Level Online Chess Competition
State Level Suryanamaskara Competition.</t>
  </si>
  <si>
    <t>https://preskilet.com/watch?v=62bdc1c89535010004fd28e4</t>
  </si>
  <si>
    <t>https://drive.google.com/open?id=1pf33xZ4ue_6NuPcAzMsBoFuiX4SqXmQ9</t>
  </si>
  <si>
    <t>https://drive.google.com/open?id=1_b23PxpOCjAhK0Qr4bR1GbSPssnchKUH</t>
  </si>
  <si>
    <t>https://drive.google.com/open?id=1KOlmcbiEOFcOsYql7emZKh1otAhUxvSP</t>
  </si>
  <si>
    <t>https://drive.google.com/open?id=1CNoAKMFlfjjRDoktGG58XDJwW1kcnvnF</t>
  </si>
  <si>
    <t>https://drive.google.com/open?id=1tTF8S1XX3zrq3ws_O-4fstQO9VWC4wBG</t>
  </si>
  <si>
    <t>Technical Certificate uploaded 
AMCAT result uploaded</t>
  </si>
  <si>
    <t>pratiksha.shinde@mitaoe.ac.in</t>
  </si>
  <si>
    <t>0220200191</t>
  </si>
  <si>
    <t>PRATIKSHA</t>
  </si>
  <si>
    <t>UDDHAVRAO</t>
  </si>
  <si>
    <t>SHINDE</t>
  </si>
  <si>
    <t>https://www.linkedin.com/in/pratiksha-shinde-955b5b227/</t>
  </si>
  <si>
    <t xml:space="preserve">UDDHAVRAO RAJARAM SHINDE </t>
  </si>
  <si>
    <t>MUKTABAI UDDHAV SHINDE</t>
  </si>
  <si>
    <t>Sawangira ta Nilanga di Latur</t>
  </si>
  <si>
    <t xml:space="preserve">Aalandi pune </t>
  </si>
  <si>
    <t xml:space="preserve">E: 67.77%           L:  57.22%       Q : 76% </t>
  </si>
  <si>
    <t xml:space="preserve">MICROSOFT 98-381: Introduction to Programming Using Python </t>
  </si>
  <si>
    <t>Google digital garage: The fundamentals of digital marketing</t>
  </si>
  <si>
    <t>Matlab : Matlab onramp</t>
  </si>
  <si>
    <t>Extraction of natural dyes in that we did study about methods of extracting dyes</t>
  </si>
  <si>
    <t>In Fluid dimensions . Topic : machine learning</t>
  </si>
  <si>
    <t>Process intensification in distillation</t>
  </si>
  <si>
    <t xml:space="preserve">
1)Participated the online “ State Level Technical Quiz of Petroleum &amp; 
Petrochemical Technology ’’organized by Chemical Engineering Department 
,Government Polytechnic, Pen
2) Participated in online E-quiz of “Mass Transfer Operations” with score 80% 
on 20-5-2020 organized by Department Of Chemical Engineering, 
Government Polytechnic, Thane.</t>
  </si>
  <si>
    <t>Completed an industrial training at Government milk chilling and processing plant (2019)</t>
  </si>
  <si>
    <t xml:space="preserve">1)Volunteer at Prakalp national level event organised by MIT 
2) Volunteer of  institution innovation council of MIT </t>
  </si>
  <si>
    <t>https://preskilet.com/watch?v=62bc227cb8198200043afbf6</t>
  </si>
  <si>
    <t>https://drive.google.com/open?id=1WEDAGJLBdXaKxXHvTzUvYEHgaWrl8BL1</t>
  </si>
  <si>
    <t>https://drive.google.com/open?id=1ImUKTw0NgPd9FGLdmFuOtD-mGnlRBydO</t>
  </si>
  <si>
    <t>https://drive.google.com/open?id=1zafhV-pKZZJT6WEVRKAhtg50wjfFj1MN</t>
  </si>
  <si>
    <t>https://drive.google.com/open?id=1dzKdnRcwLq1v3vwTD39czKK5SZ2qabbv</t>
  </si>
  <si>
    <t>https://drive.google.com/open?id=1l-GfmAQrB7t2qxPs7qbAJZmcWXk61FD6</t>
  </si>
  <si>
    <t>https://drive.google.com/open?id=1J3LEFr2SW-lt6CEXRaU0t87RCyuIzKXE</t>
  </si>
  <si>
    <t>https://drive.google.com/open?id=1EvMZ9qLCEqN5gqwda4EnVSQms90KP02c</t>
  </si>
  <si>
    <t>https://drive.google.com/open?id=1VYxWEo_r4w4CoX8j48SXwCwhrOLdiBRp</t>
  </si>
  <si>
    <t>https://drive.google.com/open?id=1Qk5Xc10HgDE_SEny8r3OXeMYpLXcOETU</t>
  </si>
  <si>
    <t>https://drive.google.com/open?id=1VszIljcAZZQX5C3XdCVv-Ywk6oyZwxjz</t>
  </si>
  <si>
    <t>https://drive.google.com/open?id=1TbhUDdowE7dsGYSQSfYKsiQzfScUDjiU</t>
  </si>
  <si>
    <t xml:space="preserve">I have updated Amcat result </t>
  </si>
  <si>
    <t>vaibhav.tambare@mitaoe.ac.in</t>
  </si>
  <si>
    <t>0220200107</t>
  </si>
  <si>
    <t>TAMBARE</t>
  </si>
  <si>
    <t>https://www.linkedin.com/in/vaibhav-tambare-3584611a9</t>
  </si>
  <si>
    <t>MANGAL</t>
  </si>
  <si>
    <t>At post Andora TQ Kalamb Dist Osmanabad 413507</t>
  </si>
  <si>
    <t>E=370 L=555  Q= 420</t>
  </si>
  <si>
    <t>E = 340 L = 600 Q =365</t>
  </si>
  <si>
    <t>98-381:MTA: Introduction to Programming using Python</t>
  </si>
  <si>
    <t xml:space="preserve">Government Milk chilling and processing plant (Dairy), Jalna. ( In deploma )
Campus Ambassador role in National Engineering Olympiad </t>
  </si>
  <si>
    <t>Internship in the Institute of Chemical Technology persuing</t>
  </si>
  <si>
    <t xml:space="preserve">Solar Distillation , Process intensification in distillation , Extraction of natural dyes, Co-ware app </t>
  </si>
  <si>
    <t>AutoCAD, Proteus, MATLAB</t>
  </si>
  <si>
    <t>1.Participated in National level quiz competition which are organized by National Engineering Olympiad 
2. Volunteer in National level Conference PRAKALP
3.Participated in awareness/training program under National Intellectual property Awareness mission (NIPAM) programme.
4. Participated in workshop of 'Design thinking , critical thinking and innovation Design '.</t>
  </si>
  <si>
    <t>1. Volunteer in National level Conference  
' Prakalp Event '  in MIT ACEDAMY OF ENGINEERING.
2.Campus Ambassador in National Engineering Olympiad .</t>
  </si>
  <si>
    <t>https://preskilet.com/watch?v=62c67ba8c541fe000489cc19</t>
  </si>
  <si>
    <t>https://drive.google.com/open?id=1cX0jfw9VXUeHQALJi-fbq85YUwFULKXP</t>
  </si>
  <si>
    <t>https://drive.google.com/open?id=1oL-5g06g78vZiQnH4ZDC3-A5oJBGblr-</t>
  </si>
  <si>
    <t>https://drive.google.com/open?id=1FJpAUz-Bfd0HGCQ9w_SDJ5E3WwdEAGAd</t>
  </si>
  <si>
    <t>https://drive.google.com/open?id=1VS5GTzg75HTcSw9iCCZYQ4qu2Oi7dXrv</t>
  </si>
  <si>
    <t>https://drive.google.com/open?id=1_H-uyakzvhicFv7mJyZyn08eoqWoIikP</t>
  </si>
  <si>
    <t>https://drive.google.com/open?id=18pk8-HcSBMF5e1xl7efLyxfFN8hV4woT</t>
  </si>
  <si>
    <t>https://drive.google.com/open?id=1lg7EFFDPteDrVj8mCmNKQzsBp0XQKKDe</t>
  </si>
  <si>
    <t xml:space="preserve">Technical Certificate have not getting before but now getting and uploaded </t>
  </si>
  <si>
    <t>mansi.surve@mitaoe.ac.in</t>
  </si>
  <si>
    <t>0220200003</t>
  </si>
  <si>
    <t>MANSI</t>
  </si>
  <si>
    <t>SURVE</t>
  </si>
  <si>
    <t>https://www.linkedin.com/in/mansi-surve-a33860241</t>
  </si>
  <si>
    <t>DEEPAK SURVE</t>
  </si>
  <si>
    <t>MADHAVI SURVE</t>
  </si>
  <si>
    <t>Sr.no75 Shinde chattri wanwadi pune-40</t>
  </si>
  <si>
    <t>98-381: Introduction to Programming Using Python</t>
  </si>
  <si>
    <t xml:space="preserve"> 98-381: Introduction to Programming Using Python</t>
  </si>
  <si>
    <t>Water Purification Using Nanoparticles</t>
  </si>
  <si>
    <t>Chemsys</t>
  </si>
  <si>
    <t>Ethanol from potatoe waste</t>
  </si>
  <si>
    <t>https://preskilet.com/62b2d066cd590700045fb383</t>
  </si>
  <si>
    <t>https://drive.google.com/open?id=1NvrBQmugygELkrMJfpcseTkKxmQV1fil</t>
  </si>
  <si>
    <t>https://drive.google.com/open?id=1pqFjc8it6ZlFKe-2pwWxf4GN0nNk_XEI</t>
  </si>
  <si>
    <t>https://drive.google.com/open?id=1r7u9dwBoUTKxXWAvZPJH45OB7cFS3VXg</t>
  </si>
  <si>
    <t>ganesh.mali@mitaoe.ac.in</t>
  </si>
  <si>
    <t>0220200110</t>
  </si>
  <si>
    <t>GANESH</t>
  </si>
  <si>
    <t>SOPAN</t>
  </si>
  <si>
    <t>MALI</t>
  </si>
  <si>
    <t>https://www.linkedin.com/in/ganesh-mali-55b279170</t>
  </si>
  <si>
    <t>JAYSHRI</t>
  </si>
  <si>
    <t>At Post Budhoda Tq.Ausa Dist.Latur.</t>
  </si>
  <si>
    <t>Arya Arcade,Near Honda Showroom,Dehu Phata, Alandi(D),Pune 412105.</t>
  </si>
  <si>
    <t>Microsoft 98-381:MTA: Introduction to Programming using Python</t>
  </si>
  <si>
    <t xml:space="preserve">
TY Summer Internship :- Rashtriya Chemicals &amp; Fertilizers Limited Alibag, Maharashtra, India.
Learned about Different Unit Operations and Unit Processes as well as correlated theoretical knowledge with practical experience.Learned about Different Unit Operations and Unit Processes as well as correlated theoretical knowledge with practical experience.
TY PROJECT - SIMULATION OF ETHYL CHLORIDE PLANT : -
Study of all equipment and simulation of whole process with 
proper input data given in the problem statement. with the 
simulation tried to increase the yield of the product and recycle the 
unconverted raw materials.
At various times in the past, chloroethane has also been produced 
from ethanol and hydrochloric acid, from ethane and chlorine, or from 
ethanol and phosphorus trichloride, but these routes are no longer 
economical. Some chloroethane is generated as a by-product of polyvinyl 
chloride production. Should demand for chloroethane continue to fall to 
the point where making it for its own sake is not economical, this may 
become the leading source of the chemical.
 </t>
  </si>
  <si>
    <t xml:space="preserve">SIMULATION OF ETHYL CHLORIDE PLANT </t>
  </si>
  <si>
    <t>Volunteer at PRAKALP EVENT 2021 organized by MIT AOE.
Participated in national level Quiz organized by National Olyampid.
Participated in workshop of ‘Design thinking, Critical thinking and Innovation design’</t>
  </si>
  <si>
    <t>Participated in Nakshatra 2022 (Annual Gathering)
Registration  team member of national level event "Prakalp 2021".
Runner up in Swimming Relay (Regional) at Aurangabad in 2018.</t>
  </si>
  <si>
    <t xml:space="preserve">https://preskilet.com/ganesh.mali@mitaoe.ac.in </t>
  </si>
  <si>
    <t>https://drive.google.com/open?id=18nTA15xYzfJsVk4TKwbIIbnvQUqXokIg</t>
  </si>
  <si>
    <t>https://drive.google.com/open?id=1AKiEl26aXuuld7eQ0hyYs9Zm20wSsSBt</t>
  </si>
  <si>
    <t>https://drive.google.com/open?id=1KBRRTPrSxbC8rOxth4wzTXI36OyM5oUq</t>
  </si>
  <si>
    <t>https://drive.google.com/open?id=1XX6YQapaACTYo8uco6d23gaGqGekbsaF</t>
  </si>
  <si>
    <t>https://drive.google.com/open?id=1f-f7U541vbYJy5pIlPTbGCyf77tziADq</t>
  </si>
  <si>
    <t>Because I've  not filled the branch details.
So I've updated the branch.
Also previous time I didn't  had the technical certificate so, I've  updated technical certification.</t>
  </si>
  <si>
    <t>anshendkar@mitaoe.ac.in</t>
  </si>
  <si>
    <t>0120190246</t>
  </si>
  <si>
    <t>ADESH</t>
  </si>
  <si>
    <t>NANDKUMAR</t>
  </si>
  <si>
    <t>SHENDKAR</t>
  </si>
  <si>
    <t>adeshshendkar2001@gmail.com</t>
  </si>
  <si>
    <t>https://www.linkedin.com/in/adesh-shendkar-0a36b0218</t>
  </si>
  <si>
    <t>JAYASHRI</t>
  </si>
  <si>
    <t>At Post, Nira, ward no. 6 ,tel-Purandhar dist - Pune.</t>
  </si>
  <si>
    <t>CV102T APPLIED MECHANICS
CH101T SCIENCE OF NATURE
HP202L PROFESSIONAL COMMUNICATION</t>
  </si>
  <si>
    <t>microsoft (MTA) Python Programming</t>
  </si>
  <si>
    <t>introduction to machine learning(NPTEL)</t>
  </si>
  <si>
    <t>Didn't perform any internship</t>
  </si>
  <si>
    <t>Solar water heater from waste plastic bottles . The project is for utilize the plastic waste and recycle purpose .</t>
  </si>
  <si>
    <t>Web development internship at Exposys Data Labs.</t>
  </si>
  <si>
    <t xml:space="preserve">Extraction of silica from rice husk Ash. And yield analysis of silica from bagasse and rice husk . </t>
  </si>
  <si>
    <t xml:space="preserve">Extraction of silica from rice husk Ash. </t>
  </si>
  <si>
    <t>Computer Aided Engineering</t>
  </si>
  <si>
    <t>AutoCAD, Fusion 360, ANSYS, MATLAB, Aspen Hysys</t>
  </si>
  <si>
    <t xml:space="preserve">Industry safety workshop ( presentation).
Quizzes in prakalp competition
 Participate in Yoga quiz  </t>
  </si>
  <si>
    <t xml:space="preserve">Introduction to fea using ansys.
Basic petrochemical course.
Python course.
</t>
  </si>
  <si>
    <t>Quiz competition 
Participate in TCS ion national eligibility test .
Paper presentation during workshops.</t>
  </si>
  <si>
    <t>https://preskilet.com/watch?v=62b400a030b2800004522e93</t>
  </si>
  <si>
    <t>https://drive.google.com/open?id=1BVf9BA9FI7PY37mFsj6qNlKR25jTo7S8</t>
  </si>
  <si>
    <t>https://drive.google.com/open?id=1diJkzLhdu-W7ZOyWtBGj5sHqDbsAEheW</t>
  </si>
  <si>
    <t>https://drive.google.com/open?id=10ATO2ao6Pt5py9X_tZ9ObUBlwPOm3b_l</t>
  </si>
  <si>
    <t>https://drive.google.com/open?id=1nNFKz3f_ARj05mdpKYy_eqTwyxCkM6AB</t>
  </si>
  <si>
    <t>tejal.khandalkar@mitaoe.ac.in</t>
  </si>
  <si>
    <t>0220200202</t>
  </si>
  <si>
    <t>TEJAL</t>
  </si>
  <si>
    <t xml:space="preserve">MILIND </t>
  </si>
  <si>
    <t xml:space="preserve">KHANDALKAR </t>
  </si>
  <si>
    <t xml:space="preserve">tejal.khandalkar@mitaoe.ac.in </t>
  </si>
  <si>
    <t>https://www.linkedin.com/in/tejal-khandalkar-56a948241</t>
  </si>
  <si>
    <t>MILIND</t>
  </si>
  <si>
    <t>KAVITA</t>
  </si>
  <si>
    <t xml:space="preserve">Circle no 6 behind RSS building mahal nagpur </t>
  </si>
  <si>
    <t xml:space="preserve">Smurti nagar sant said Krupa society nagpur </t>
  </si>
  <si>
    <t>79,64,35</t>
  </si>
  <si>
    <t>46,30,9</t>
  </si>
  <si>
    <t xml:space="preserve">On going </t>
  </si>
  <si>
    <t>Microsoft 98-381"Indroduction to programming using python"</t>
  </si>
  <si>
    <t>Ligning extraction from waste banana plant (cavendish)</t>
  </si>
  <si>
    <t>Project- simulation of ethyle chloride plant. Internship- Indorama synthetics pvt.ltd.butibori nagpur.</t>
  </si>
  <si>
    <t>Simulation of ethyle chloride plant</t>
  </si>
  <si>
    <t>AutoCAD, ANSYS, Proteus, MATLAB</t>
  </si>
  <si>
    <t>.</t>
  </si>
  <si>
    <t>Indorama synthetics pvt Ltd.</t>
  </si>
  <si>
    <t xml:space="preserve">Basketball(sports nakshatra). </t>
  </si>
  <si>
    <t>https://drive.google.com/file/d/1k4GuNRVdOIslLfOUQRDaF6Sx7mMcCxF3/view?usp=drivesdk</t>
  </si>
  <si>
    <t>https://drive.google.com/open?id=1saJhSSJhKdx7SGX0s22BtU3pB6Pw3FWC</t>
  </si>
  <si>
    <t>https://drive.google.com/open?id=1P82rGiW0qnpiYC-xZYGIQbjMb2BY3qDK</t>
  </si>
  <si>
    <t>https://drive.google.com/open?id=1BT1-PqYuQH6acm6GNWg_nhSXwutDuEnn</t>
  </si>
  <si>
    <t>https://drive.google.com/open?id=1s_1i57aJHPGt0lpIhGKLdLGYel7Gov5C</t>
  </si>
  <si>
    <t>https://drive.google.com/open?id=1yJbjXoqP1CZ4PiL-_2qUyfygjfBy3CK9</t>
  </si>
  <si>
    <t>https://drive.google.com/open?id=1Wjkh6JuEWxNw4BpI16O90GB9H2wlskv7</t>
  </si>
  <si>
    <t>Python fee recept because i haven't got certified till now and ty amcat result because result got download late .</t>
  </si>
  <si>
    <t>No (Transaction Receipt)</t>
  </si>
  <si>
    <t>harshada.giradkar@mitaoe.ac.in</t>
  </si>
  <si>
    <t>0220200186</t>
  </si>
  <si>
    <t>HARSHADA</t>
  </si>
  <si>
    <t>HARICHANDRA</t>
  </si>
  <si>
    <t>GIRADKAR</t>
  </si>
  <si>
    <t>https://www.linkedin.com/in/harshada-giradkar-50790221b</t>
  </si>
  <si>
    <t>HARICHANDRA MAHADEO GIRADKAR</t>
  </si>
  <si>
    <t>VANDANA HARICHANDRA GIRADKAR</t>
  </si>
  <si>
    <t>Sai nagar Dehankar layout, Wardha -442001</t>
  </si>
  <si>
    <t>Morya hills , Vishweshwar Nagar Kale colony Alandi -412105, Pune</t>
  </si>
  <si>
    <t>English - 59%, Logical - 55%, Quantitative - 6%</t>
  </si>
  <si>
    <t>MICROSOFT 98-381: Introduction to programming using python</t>
  </si>
  <si>
    <t xml:space="preserve">ACU-HYSYS01: Aspen Hysys user certification examination </t>
  </si>
  <si>
    <t>Project - Extraction of essential oil using Neem</t>
  </si>
  <si>
    <t xml:space="preserve"> Internship : Green solution Enviro and agro laboratories pvt ltd. Wakdewadi Shivajinagar,Pune
Project - Production of biofuel from water hyacinth</t>
  </si>
  <si>
    <t xml:space="preserve">Project :Production of biofuel from water hyacinth
Production of Grease from waste oil </t>
  </si>
  <si>
    <t xml:space="preserve">-Participated in Rural development Hackathon organised by team UBA(MITAOE)
-Participated in diploma level category with project title "Production of Grease from waste oil" in "National level online project presentation competition 2020" organised by Government Polytechnic Mumbai from May 11 2020, to May 25 2020
-Paticipated in online "State level Technical quiz of petroleum and petrochemical Technology" Organised by chemical engineering Department, Government Polytechnic , Pen on 5/18/2020
-Paticipated in online State level Technical quiz in Chemical engineering Organised by Department of Chemical engineering Government Polytechnic Arvi , Dist Wardha on 28/05/2020
</t>
  </si>
  <si>
    <t>Lila Poonawalla Foundation - Merit cum need based scholarship for diploma in 2017 and for engineering in 2020</t>
  </si>
  <si>
    <t xml:space="preserve">Completed industrial training at"Manas agro industries &amp; infrastructure Ltd Jamni Unit No 3" . Wardha
Greensolution Enviro and agro laboratories pvt ltd. Pune
</t>
  </si>
  <si>
    <t xml:space="preserve">- Participated in NAKSHATRA Sports - Badminton At MITAOE
-Done workshop of CHEMCAD-chemical engineering process stimulation software 
Organised Government Polytechnic, ARVI
</t>
  </si>
  <si>
    <t>https://preskilet.com/harshada.giradkar@mitaoe.ac.in</t>
  </si>
  <si>
    <t>https://drive.google.com/open?id=1zTPKGkNp8otQY0t1Vm3lD_UmUl6zqPsQ</t>
  </si>
  <si>
    <t>https://drive.google.com/open?id=1G8fCGTTlQm-19Ay1e73gVoy6d0Gu3UH7</t>
  </si>
  <si>
    <t>https://drive.google.com/open?id=1q5uynGEkhFJH3GpEw033xNE9GHsmrXIx</t>
  </si>
  <si>
    <t>https://drive.google.com/open?id=1zmUAN7dqbGireXpUc8LZrMuy-Ys9z9bI</t>
  </si>
  <si>
    <t>https://drive.google.com/open?id=1LXZXO20kUudJjnMuwNhaWtcG3loRICeK</t>
  </si>
  <si>
    <t>https://drive.google.com/open?id=1RHUMCLuNA9VNjOWV_n_E-KmDy-psADud</t>
  </si>
  <si>
    <t>https://drive.google.com/open?id=1P3roGcty7wJpwXqGOjHRGcH8NPF-fy0B</t>
  </si>
  <si>
    <t>https://drive.google.com/open?id=1qpwbSNLshqCUBuiSmIdY-VLNvRzO1dc4</t>
  </si>
  <si>
    <t>https://drive.google.com/open?id=1jGuvfOv_H5sQaFF4QTHXEEKxfWtiNE-U</t>
  </si>
  <si>
    <t>I have update Technical certification and TY AMCAT Result because I received Technical certificate late &amp; result got downloaded late.</t>
  </si>
  <si>
    <t xml:space="preserve">NO </t>
  </si>
  <si>
    <t>sujata.dekate@mitaoe.ac.in</t>
  </si>
  <si>
    <t>0220200218</t>
  </si>
  <si>
    <t>PITTAMBAR</t>
  </si>
  <si>
    <t>DEKATE</t>
  </si>
  <si>
    <t>ARUNA</t>
  </si>
  <si>
    <t>TAH UMRED DIST NAGPUR ,AT POST SIRSI</t>
  </si>
  <si>
    <t>DEHU PHATA PUNE ,NEAR MITAOE</t>
  </si>
  <si>
    <t>python</t>
  </si>
  <si>
    <t>Extraction of lignin from banana stem</t>
  </si>
  <si>
    <t>Internship yet not started , project -extraction of pectin from orange peels ongoing.</t>
  </si>
  <si>
    <t>Extraction of pectin from orange peels</t>
  </si>
  <si>
    <t>Environment Engineering</t>
  </si>
  <si>
    <t>ANSYS</t>
  </si>
  <si>
    <t xml:space="preserve">Dance </t>
  </si>
  <si>
    <t>Sports dance</t>
  </si>
  <si>
    <t>https://preskilet.com/watch?v=62bf0c862c9a6200041e13c2</t>
  </si>
  <si>
    <t>https://drive.google.com/open?id=1p50Af5nWGrIH5LjEXD_6SJaJKXGMksYU</t>
  </si>
  <si>
    <t>https://drive.google.com/open?id=1r1VRBCdJAWI_anXZG_03iCHGkErLLUtF</t>
  </si>
  <si>
    <t>For placement</t>
  </si>
  <si>
    <t>nitin.dorale@mitaoe.ac.in</t>
  </si>
  <si>
    <t>0220200111</t>
  </si>
  <si>
    <t>NITIN</t>
  </si>
  <si>
    <t>DADARAO</t>
  </si>
  <si>
    <t>DORALE</t>
  </si>
  <si>
    <t xml:space="preserve">nitin.dorale@mitaoe.ac.in </t>
  </si>
  <si>
    <t>https://www.linkedin.com/in/nitin-dorale-9448a4241</t>
  </si>
  <si>
    <t xml:space="preserve">DADARAO </t>
  </si>
  <si>
    <t>UJJAWALA</t>
  </si>
  <si>
    <t>At.Wakodi Post.Morath Tq.mahagaon Dist.Yavatmal</t>
  </si>
  <si>
    <t>Indrayni hills, Chhatrapati Shivrai Chowk, Moshi Alandi Road, Hindvi Colony, Alandi, Pimpri Chinchwad, Maharashtra - 412105</t>
  </si>
  <si>
    <t>Removal of methyl orange dye from doped nano-particles through photocatalytic reactor.</t>
  </si>
  <si>
    <t xml:space="preserve">Poster presentation </t>
  </si>
  <si>
    <t>https://preskilet.com/watch?v=62bde3229535010004fd2b9e</t>
  </si>
  <si>
    <t>https://drive.google.com/open?id=1YgtTeQN1ptPiMo9kUGkgDtZOV-T8ISN0</t>
  </si>
  <si>
    <t>https://drive.google.com/open?id=1MYPBQIaUkIRja8MvP6IvPzV3RSR05rSn</t>
  </si>
  <si>
    <t>rutik.kadukar@mitaoe.ac.in</t>
  </si>
  <si>
    <t>0220200075</t>
  </si>
  <si>
    <t>RUTIK</t>
  </si>
  <si>
    <t>DASHARATHA</t>
  </si>
  <si>
    <t>KADUKAR</t>
  </si>
  <si>
    <t>SUNITA</t>
  </si>
  <si>
    <t>At. Rohankheda ,post.kangaon,Dist.wardha</t>
  </si>
  <si>
    <t xml:space="preserve">At.alandi,pune </t>
  </si>
  <si>
    <t>Give re- exam waiting for result</t>
  </si>
  <si>
    <t>Waiting for results 😁</t>
  </si>
  <si>
    <t xml:space="preserve">Ongoing Microsoft Azure virtual training </t>
  </si>
  <si>
    <t>Python on going</t>
  </si>
  <si>
    <t>Python ongoing</t>
  </si>
  <si>
    <t>Paralamb global pvt.ltd</t>
  </si>
  <si>
    <t>Common effuent treatment plant ongoing</t>
  </si>
  <si>
    <t>Simulation on catalytic reactor</t>
  </si>
  <si>
    <t>Solid Waste Management</t>
  </si>
  <si>
    <t>Python, Java</t>
  </si>
  <si>
    <t>AutoCAD, Fusion 360, SolidWorks, MATLAB</t>
  </si>
  <si>
    <t>Member of Axes Maths club</t>
  </si>
  <si>
    <t>https://preskilet.com/watch?v=62b663c4a2f4210004f5bc40</t>
  </si>
  <si>
    <t>https://drive.google.com/open?id=1JnjHORS3XztwvtFadj-7tOXFM1EtqiYL</t>
  </si>
  <si>
    <t>https://drive.google.com/open?id=10mp5KbTKMCKnyGZkOuIOStr1Apur_FG4</t>
  </si>
  <si>
    <t>https://drive.google.com/open?id=1Db5IHbZDD8AU0miObx9v8y6tiCZ3NWre</t>
  </si>
  <si>
    <t>I update my profile video</t>
  </si>
  <si>
    <t>prabodh.lamsoge@mitaoe.ac.in</t>
  </si>
  <si>
    <t>0220200108</t>
  </si>
  <si>
    <t>PRABODH</t>
  </si>
  <si>
    <t>DINESH</t>
  </si>
  <si>
    <t>LAMSOGE</t>
  </si>
  <si>
    <t>https://www.linkedin.com/in/prabodh-lamsoge-81641b22a</t>
  </si>
  <si>
    <t>SARIKA</t>
  </si>
  <si>
    <t>PANCHASHIL CHOWK TALAV FAIL, DHOBIGHAT YAVATMAL</t>
  </si>
  <si>
    <t>Dehu phatta alandi pune</t>
  </si>
  <si>
    <t>CH362T-CHEMICAL EQUIPMENT DESIGN</t>
  </si>
  <si>
    <t>Matlab</t>
  </si>
  <si>
    <t>RCF Alibag</t>
  </si>
  <si>
    <t>Simulation of urea production or production of fertilizer from kitchen waste</t>
  </si>
  <si>
    <t>MATLAB, Dwsim, Aspen hysys</t>
  </si>
  <si>
    <t>https://drive.google.com/file/d/1Mr7A6rl933n3agxPvs02KCeMua1svrPV/view?usp=drivesdk</t>
  </si>
  <si>
    <t>https://drive.google.com/open?id=1VsNrAYB5JOMB0zN1KmznR0S_Q-pT4tJL</t>
  </si>
  <si>
    <t>https://drive.google.com/open?id=1crxyVcYayQ9NIVRq9Pufn20_ak3gX1Md</t>
  </si>
  <si>
    <t>https://drive.google.com/open?id=1a1kraQ66uDHxGOEwbPeHZgebVXJXw5KV</t>
  </si>
  <si>
    <t>https://drive.google.com/open?id=16-n9-PTFLTIYQBncK3_uxE-27LzZiLBn</t>
  </si>
  <si>
    <t>tejaswini.gaikwad@mitaoe.ac.in</t>
  </si>
  <si>
    <t>0220200063</t>
  </si>
  <si>
    <t xml:space="preserve">TEJASWINI </t>
  </si>
  <si>
    <t xml:space="preserve">BABAN </t>
  </si>
  <si>
    <t xml:space="preserve">GAIKWAD </t>
  </si>
  <si>
    <t xml:space="preserve">tejaswini.gaikwad@mitaoe.ac.in </t>
  </si>
  <si>
    <t>https://www.linkedin.com/in/tejaswini-gaikwad-92402a243</t>
  </si>
  <si>
    <t>BABAN BAPURAO GAIKWAD</t>
  </si>
  <si>
    <t>ASHA BABAN GAIKWAD</t>
  </si>
  <si>
    <t>At vadgaon (nali) post antarvali tal bhoom dist osmanabad413504</t>
  </si>
  <si>
    <t>Flat no 101 Ruturang d near of kshetriya karyalay kothrud pune</t>
  </si>
  <si>
    <t xml:space="preserve">1.separation process 
2.Chemical reaction engineering </t>
  </si>
  <si>
    <t>Waiting for results</t>
  </si>
  <si>
    <t>On going</t>
  </si>
  <si>
    <t>Finepac India pune</t>
  </si>
  <si>
    <t xml:space="preserve">
1. Water quality assessment of mula and mutha river before and after confluence. 
2. Design of azeotropic distillation column</t>
  </si>
  <si>
    <t xml:space="preserve">MAHA DBT GOVERNMENT OF INDIA POST MATRIC SCHOLARSHIP </t>
  </si>
  <si>
    <t>https://drive.google.com/drive/folders/13bvwbX4IobfZcARProQWF9BMySkBxPAc</t>
  </si>
  <si>
    <t>https://drive.google.com/open?id=1v9hZUeF2SNDYlQ9wMWGLVSxwVvglpccZ</t>
  </si>
  <si>
    <t>https://drive.google.com/open?id=168jMFsAe8nqIMwQAAGAJR134JULbqOd1</t>
  </si>
  <si>
    <t>0220200046</t>
  </si>
  <si>
    <t>RAJESH</t>
  </si>
  <si>
    <t>ANIL</t>
  </si>
  <si>
    <t>LOTEKAR</t>
  </si>
  <si>
    <t>rajeshlotekar28@gmail.com</t>
  </si>
  <si>
    <t>https://www.linkedin.com/in/rajesh-lotekar-326838242</t>
  </si>
  <si>
    <t>ALKA</t>
  </si>
  <si>
    <t>AT KUS BK, POST BANGHAR, TAL-DIST SATARA</t>
  </si>
  <si>
    <t>315, D S SRUSHTI, LOHEGAON, PUNE</t>
  </si>
  <si>
    <t>Greencraft Labs: Bioculture company for wastewater treatment- 1 month</t>
  </si>
  <si>
    <t>Manufacturing of Paint</t>
  </si>
  <si>
    <t>AutoCAD, MATLAB, Aspen Hysis, DWSIM</t>
  </si>
  <si>
    <t>Got third prize in ‘Logo Competition’ organized by IICHE Student chapter, 
School of chemical engineering, MITAOE, Alandi</t>
  </si>
  <si>
    <t>https://drive.google.com/drive/folders/1FKHzjTVXchI5pk_-YOCt5fpjhkgIHZvU</t>
  </si>
  <si>
    <t>https://drive.google.com/open?id=1zX-DVBfXg7c9Y0iObh9fsq3PytcUGUQT</t>
  </si>
  <si>
    <t>https://drive.google.com/open?id=1J0zjjNFEdGqD6ieNkjsLsmR-px2G4kcU</t>
  </si>
  <si>
    <t>https://drive.google.com/open?id=1grlTUNMD2IYIpLmmfW5FUCc-7ZZhk6u2</t>
  </si>
  <si>
    <t>https://drive.google.com/open?id=1TlKut1-7aFI8v2cWx2kxiNF6pJacKETj</t>
  </si>
  <si>
    <t>0120190410</t>
  </si>
  <si>
    <t xml:space="preserve">ANIMESH </t>
  </si>
  <si>
    <t xml:space="preserve">GAJANAN </t>
  </si>
  <si>
    <t>THAKRE</t>
  </si>
  <si>
    <t>animeshthakre1703@gmail.com</t>
  </si>
  <si>
    <t xml:space="preserve">agthakre@mitaoe.ac.in </t>
  </si>
  <si>
    <t>https://www.linkedin.com/in/animesh-thakre-13481520b</t>
  </si>
  <si>
    <t>CHANDANA</t>
  </si>
  <si>
    <t>140, girdkar layout bypass road umred-441203 nagpur</t>
  </si>
  <si>
    <t>140, girdkar layout bypass road umred-441203  nagpur</t>
  </si>
  <si>
    <t xml:space="preserve">Python certification </t>
  </si>
  <si>
    <t xml:space="preserve">Internship in amalgam biotech </t>
  </si>
  <si>
    <t>Intership in vikas chemicals</t>
  </si>
  <si>
    <t xml:space="preserve">Production of biofuel from water hyacinth </t>
  </si>
  <si>
    <t>AutoCAD, Fusion 360, ANSYS, MATLAB, DWISM</t>
  </si>
  <si>
    <t>Proposed a project(waste water management) in rular development.</t>
  </si>
  <si>
    <t>Training in kailsh chemicals(4 weeks)</t>
  </si>
  <si>
    <t xml:space="preserve">College volleyball team </t>
  </si>
  <si>
    <t>https://drive.google.com/drive/folders/1PUg6eayxgcCyx8EXdDtRppYZQi1eoZnz</t>
  </si>
  <si>
    <t>https://drive.google.com/open?id=1GmthnTwj0nPcTUmIXrln_SpYma2H4rsA</t>
  </si>
  <si>
    <t>https://drive.google.com/open?id=1mcWoW0KpWwhQJzqNVH-Fz7aKo7RctvHl</t>
  </si>
  <si>
    <t>https://drive.google.com/open?id=1ysqwNZGi4cSZchILrUhVVj_9UA9tyo1q</t>
  </si>
  <si>
    <t>https://drive.google.com/open?id=1hgW67GcXsJFZ-t35055jA6fA0Z_3yFg3</t>
  </si>
  <si>
    <t>https://drive.google.com/open?id=11vQIFPFSbM5cNwTPYaw_362zjt2OW2-P</t>
  </si>
  <si>
    <t>https://drive.google.com/open?id=1o-WzeO1trmNi7CW397Tn92jl-CBxE9gf</t>
  </si>
  <si>
    <t>https://drive.google.com/open?id=16SLTIeUvzRJniUdda4ZHWo0fjjRKI-lO</t>
  </si>
  <si>
    <t>https://drive.google.com/open?id=1DOpB-jLtiaBfnuUuMi8pyrDFvyJDC6B3</t>
  </si>
  <si>
    <t>https://drive.google.com/open?id=1SiHTc1WjO4ckVxvnnzjQUhpcg3NkG0Xk</t>
  </si>
  <si>
    <t>https://drive.google.com/open?id=1vZMWoPVhd3i5ah1kSDH3rrVV_Hmuv4EP</t>
  </si>
  <si>
    <t>https://drive.google.com/open?id=1ko1ejfu0d4e2L1eFVmh5pi5MODGCBm4s</t>
  </si>
  <si>
    <t>Intership certificate was yet to come</t>
  </si>
  <si>
    <t>0120190126</t>
  </si>
  <si>
    <t>SEJAL</t>
  </si>
  <si>
    <t>GUNRATAN</t>
  </si>
  <si>
    <t>RAMTEKE</t>
  </si>
  <si>
    <t>sramtekek@gmail.com</t>
  </si>
  <si>
    <t>https://www.linkedin.com/in/sejalramteke</t>
  </si>
  <si>
    <t>YUVRADNYEE</t>
  </si>
  <si>
    <t>Kapil Nagar, NIT Qtr No. E/4, Nari road, Nagpur-44026</t>
  </si>
  <si>
    <t>203, Cwing dnyanyog appartment, opposite fitness gym moshi-alandi road,Alandi,Pune</t>
  </si>
  <si>
    <t>CS101T-LOGIC DEVELOPMENT C PROGRAMMING</t>
  </si>
  <si>
    <t>Microsoft Azure Data Fundamentals</t>
  </si>
  <si>
    <t>Corusera (Programming for everybody)</t>
  </si>
  <si>
    <t>Coursera (Advanced Chemistry)</t>
  </si>
  <si>
    <t>Danao Greentech, Butibori, Nagpur</t>
  </si>
  <si>
    <t>Microwave assisted extraction of Betulinic acid from jamun leaves</t>
  </si>
  <si>
    <t>https://preskilet.com/watch?v=62bdd2099535010004fd2af9</t>
  </si>
  <si>
    <t>https://drive.google.com/open?id=13n54FcbvewPMS6Bg4tAU37AGO4NswNve</t>
  </si>
  <si>
    <t>https://drive.google.com/open?id=177VAik1HHj4CQ-zjYFWVqO17ZSNAIYD3</t>
  </si>
  <si>
    <t>https://drive.google.com/open?id=1_VqLLZs7ccAdDmH4lFmwmzqVKZXIp-Cg</t>
  </si>
  <si>
    <t>https://drive.google.com/open?id=13-hwr1q0pt_N0QbuiSihK5pgtpSns9uF</t>
  </si>
  <si>
    <t>https://drive.google.com/open?id=18GAdWi37aIupe42bMnIdPsmM3wiXm94c</t>
  </si>
  <si>
    <t>https://drive.google.com/open?id=1a-xt7ZTO96R2yPkF4nCmrD0zxwdqGE_-</t>
  </si>
  <si>
    <t>0220200043</t>
  </si>
  <si>
    <t>CHINMAY</t>
  </si>
  <si>
    <t>KATRUWAR</t>
  </si>
  <si>
    <t>chinmaykatruwar11@gmail.com</t>
  </si>
  <si>
    <t>https://www.linkedin.com/in/chinmay-katruwar-1811031b9</t>
  </si>
  <si>
    <t>SANJAY KATRUWAR</t>
  </si>
  <si>
    <t xml:space="preserve">SUDARSHANA </t>
  </si>
  <si>
    <t>Triveni Smruti, Guljarwadi main road manwath, parbhani- 431505</t>
  </si>
  <si>
    <t>Elina living, flat no. 1001 B wing, mohhammadwadi NIBM annex, pune 411060</t>
  </si>
  <si>
    <t>Microsoft Python MTA</t>
  </si>
  <si>
    <t>Autocad on Internshala platform</t>
  </si>
  <si>
    <t>SDC Pvt Ltd.</t>
  </si>
  <si>
    <t>Internally Cured concrete by peg 400</t>
  </si>
  <si>
    <t>Construction Project Management</t>
  </si>
  <si>
    <t>AutoCAD, MATLAB</t>
  </si>
  <si>
    <t xml:space="preserve">Dipex National level project compitition </t>
  </si>
  <si>
    <t>https://preskilet.com/watch?v=6294cc136dfec60004591057</t>
  </si>
  <si>
    <t>https://drive.google.com/open?id=1fNbIjHAmL7VYydKehM-N-cbsQex-SHCO</t>
  </si>
  <si>
    <t>https://drive.google.com/open?id=1zhm6OWKg2JZC2cFKcL6UpEbqpTdcUkMd</t>
  </si>
  <si>
    <t>https://drive.google.com/open?id=1Ef5I96eQ1wZhNFP-TNSznq-wDlR5fe_Y</t>
  </si>
  <si>
    <t>https://drive.google.com/open?id=1Z2pHWBDEUeeuAaCU8_dnYVw7YPCM8TMj</t>
  </si>
  <si>
    <t>https://drive.google.com/open?id=1eQPgw8SohZvlbldGrjiXq5DzujeAEKJ8</t>
  </si>
  <si>
    <t>https://drive.google.com/open?id=1_9rI-DSr39bPww0UsV2USHgRe6k1Toix</t>
  </si>
  <si>
    <t>Amcat results</t>
  </si>
  <si>
    <t>0220200205</t>
  </si>
  <si>
    <t>ANJIRAM</t>
  </si>
  <si>
    <t>UJGARE</t>
  </si>
  <si>
    <t>milindujgare123@gmail.com</t>
  </si>
  <si>
    <t>www.linkedin.com/in/milind-ujgare-480869241</t>
  </si>
  <si>
    <t>ANJIRAM RAJARAM UJGARE</t>
  </si>
  <si>
    <t>SUSHILA ANJIRAM UJGARE</t>
  </si>
  <si>
    <t>Sawangi ganga kinara,partur,jalna 431506</t>
  </si>
  <si>
    <t>Sant dnayneshwar government hostel,mental corner, Vishrantwadi, Pune,
pincode-411006</t>
  </si>
  <si>
    <t>Microsoft python certificate,on going</t>
  </si>
  <si>
    <t>Completed virtually on Elearnmarket Platform in Advanced Excel learning.</t>
  </si>
  <si>
    <t>Constrologiix Engeneering &amp; Research Services Pvt.Ltd.
Chinchwad – 411019</t>
  </si>
  <si>
    <t>Decentralized Approach for wastewater management and water treatment in rural region - UBA(Unnat Bharat Abhiyan)UBA TEAM MITAOE</t>
  </si>
  <si>
    <t>Forecasting Slope Stability Using Holistic Approach</t>
  </si>
  <si>
    <t>AutoCAD</t>
  </si>
  <si>
    <t>Won Consolation prize in regional level project competition organized by AISSMS College Pune.</t>
  </si>
  <si>
    <t>Completed Implant training of 8 weeks in MEIL ( MEGHA ENGINEERING AND INFRASTRUCTURE PVT.LIMITED) on Bridge Construction Site.</t>
  </si>
  <si>
    <t xml:space="preserve">Participated in in a hackathon for rural development under UBA MITAOE.
Participated in Regional level project competition organized by AISSMS College Pune.
</t>
  </si>
  <si>
    <t>https://preskilet.com/watch?v=62b535faaf4f2700045cd91c</t>
  </si>
  <si>
    <t>https://drive.google.com/open?id=1vLX9BbLeVlIlefZw61iN5x2D76-zyzTd</t>
  </si>
  <si>
    <t>https://drive.google.com/open?id=1CJzDE8hCsn8de-qwf9X3mgaIAwNr4PR1</t>
  </si>
  <si>
    <t>https://drive.google.com/open?id=19H5yE9lYgj26CNIWFgCU1Omc9Yi8sjSM</t>
  </si>
  <si>
    <t>https://drive.google.com/open?id=1sM1UWN8n_VsriHrClPzeZ9gaNMVCeX9v</t>
  </si>
  <si>
    <t>https://drive.google.com/open?id=1IuDbt3MnkE4joqvXJn7LbBCxxLkIaEQX</t>
  </si>
  <si>
    <t>https://drive.google.com/open?id=1iyq8AQkyKBbsf6VLxzrv8yYrgsN1pz4T</t>
  </si>
  <si>
    <t>0220200134</t>
  </si>
  <si>
    <t>ABDULLATIF</t>
  </si>
  <si>
    <t>SALIM</t>
  </si>
  <si>
    <t>SAUDAGAR</t>
  </si>
  <si>
    <t>Latifsaudagar4245@gmail.com</t>
  </si>
  <si>
    <t xml:space="preserve">Abdullatif.saudagar@mitaoe.ac.in </t>
  </si>
  <si>
    <t>https://www.linkedin.com/in/abdullatif-saudagar-07604b236</t>
  </si>
  <si>
    <t>SHABANA</t>
  </si>
  <si>
    <t xml:space="preserve">Shivapuri road Omerga, dist Osmanabad. </t>
  </si>
  <si>
    <t xml:space="preserve">Yash nivas near kalewadi petrol pump, Alandi, pune. </t>
  </si>
  <si>
    <t>introduction to programming using Python.</t>
  </si>
  <si>
    <t xml:space="preserve">2 months summer internship at Hospital Site located in Nilanga, Latur. </t>
  </si>
  <si>
    <t>1 months industrial internship at Shree satya sai baba construction, Latur.</t>
  </si>
  <si>
    <t xml:space="preserve">Investigation into Block shear failure of Plates. </t>
  </si>
  <si>
    <t>AutoCAD, MATLAB, Revit, ETABS, MS PROJECT.</t>
  </si>
  <si>
    <t xml:space="preserve">Concast (Concrete casting) </t>
  </si>
  <si>
    <t>https://preskilet.com/watch?v=62b4bd2b30b28000045238dd</t>
  </si>
  <si>
    <t>https://drive.google.com/open?id=1pjZdoe_p81HyYuadiyGByeQcTKCBUFn-</t>
  </si>
  <si>
    <t>https://drive.google.com/open?id=1WaVqkQpki_wjAZflOLMpZ9fUY2olqYri</t>
  </si>
  <si>
    <t>https://drive.google.com/open?id=1MyPNBd-_4d95QZ7rCBiCPG8T7XAy5SQV</t>
  </si>
  <si>
    <t>https://drive.google.com/open?id=18_eYwHEFKAxdxVHjR3Sijc7KN-VKXYyp</t>
  </si>
  <si>
    <t>https://drive.google.com/open?id=1N02PUCjq4uM6pUFYcYVSqqgfc13QymWg</t>
  </si>
  <si>
    <t>https://drive.google.com/open?id=1GfFyzNitH5Vu-F8fwUBcX0yCfaiTOELI</t>
  </si>
  <si>
    <t>0220200194</t>
  </si>
  <si>
    <t>SHAILESH</t>
  </si>
  <si>
    <t>MANOHAR</t>
  </si>
  <si>
    <t>BUDHARAM</t>
  </si>
  <si>
    <t>shaileshbudharam2606@gmail.com</t>
  </si>
  <si>
    <t>https://www.linkedin.com/in/shailesh-budharam-8231a3202</t>
  </si>
  <si>
    <t>MANOHAR SHIRINIWAS BUDHARAM</t>
  </si>
  <si>
    <t>NARMADA MANOHAR BUDHARAM</t>
  </si>
  <si>
    <t>2606 I group Vidi Gharkul Hyderabad Road Solapur</t>
  </si>
  <si>
    <t>Yash Hostel Kale Colony Dehu Phata Alandi, Pune</t>
  </si>
  <si>
    <t>Advance Excel</t>
  </si>
  <si>
    <t xml:space="preserve">Bhujal </t>
  </si>
  <si>
    <t>High strength concrete using GGBS and Water Reducing Admixture (Fosroc)</t>
  </si>
  <si>
    <t>Telegu</t>
  </si>
  <si>
    <t>Technical Quiz - Winner
 Technical Quiz Competition - Runner Up
Model Making Competition - Runner Up</t>
  </si>
  <si>
    <t>https://preskilet.com/watch?v=629a24a8f2f4ce0004f45979</t>
  </si>
  <si>
    <t>https://drive.google.com/open?id=1Wu8AGUUHqUKvUDTmSWKjE3zevpvTpzQU</t>
  </si>
  <si>
    <t>https://drive.google.com/open?id=18RGAk-VN_x8L5Tkixh4LdJac6JuqsaxQ</t>
  </si>
  <si>
    <t>https://drive.google.com/open?id=1qcFPgTazC_9OpRcEWDCJEAP30feaj-UB</t>
  </si>
  <si>
    <t>https://drive.google.com/open?id=1mxuBfxgkJEKqtjtiNKpKnCSwGjsofviW</t>
  </si>
  <si>
    <t>https://drive.google.com/open?id=1XBV2lQOHyn8JajCr6M4T5K0r0twSX-bU</t>
  </si>
  <si>
    <t>Nothing Updated</t>
  </si>
  <si>
    <t>0220200090</t>
  </si>
  <si>
    <t>PRATHAMESH</t>
  </si>
  <si>
    <t>KIRAN</t>
  </si>
  <si>
    <t>prathamesh.patil2224@gmail.com</t>
  </si>
  <si>
    <t>Prathamesh.patil@mitaoe.ac.in</t>
  </si>
  <si>
    <t>https://www.linkedin.com/in/prathamesh-patil-1094b1208</t>
  </si>
  <si>
    <t>ASHA</t>
  </si>
  <si>
    <t>Rajiv gandhi chowk near bharat petrol pump, Latur, maharashtra.</t>
  </si>
  <si>
    <t>REVIT ARCHITECTURE</t>
  </si>
  <si>
    <t>Saibaba construction.pvt</t>
  </si>
  <si>
    <t>Investigation into earthquake resistance building</t>
  </si>
  <si>
    <t xml:space="preserve">AutoCAD, Fusion 360, MATLAB, Revit </t>
  </si>
  <si>
    <t>Placement co-ordinator</t>
  </si>
  <si>
    <t>https://preskilet.com/watch?v=629695c2716ac10004981a1e</t>
  </si>
  <si>
    <t>https://drive.google.com/open?id=1okYfMJFGOwy4G-OQsh4oQIsMIL5HIBFJ</t>
  </si>
  <si>
    <t>https://drive.google.com/open?id=1Yheoy-7OSpIqfH6ew2hqb_Q7y5Skn9-G</t>
  </si>
  <si>
    <t>https://drive.google.com/open?id=1TnL3B02Buu_8Sfi95PbgSw6q2DT1k5st</t>
  </si>
  <si>
    <t>https://drive.google.com/open?id=1WUibW1BxdUo0Ivdg5uhv7BVfc2Ox24U5</t>
  </si>
  <si>
    <t>0120190347</t>
  </si>
  <si>
    <t>PRANJAL</t>
  </si>
  <si>
    <t>VILAS</t>
  </si>
  <si>
    <t>GAWALI</t>
  </si>
  <si>
    <t>pranjalgawali0203@gmail.com</t>
  </si>
  <si>
    <t xml:space="preserve">pvgawali@mitaoe.ac.in </t>
  </si>
  <si>
    <t>https://www.linkedin.com/in/pranjal-gawali-aa8749241</t>
  </si>
  <si>
    <t xml:space="preserve">VILAS GAWALI </t>
  </si>
  <si>
    <t xml:space="preserve">SAVITA GAWALI </t>
  </si>
  <si>
    <t>Shivkamal, Sonar lane, At post Antapur,  Tal-Satana, Dist-Nashik, 423302</t>
  </si>
  <si>
    <t>Flat no. B-302, Dnyanyog Apartment, Opposite Bank of India, Alandi, 412105</t>
  </si>
  <si>
    <t xml:space="preserve">AS105T- Calculations and differential equations
EX102T- Electrical and Electronics engineering 
CV215L- Geospatial Engineering </t>
  </si>
  <si>
    <t>Microsoft- Introduction to programming using Python</t>
  </si>
  <si>
    <t>Programming for everybody (getting started with python)(coursera)
Introduction to Engineering Mechanics(coursera)
STAAD Pro- Structural Analysis and Design (Internshala)</t>
  </si>
  <si>
    <t>Programming for everybody course (Python)</t>
  </si>
  <si>
    <t>STAAD pro. (Internshala)</t>
  </si>
  <si>
    <t>In process- B. P. SANGLE CONSTRUCTIONS PVT. LTD. Nashik.</t>
  </si>
  <si>
    <t xml:space="preserve">Prediction of Air Entrainment in pump sump using CFD analysis technique </t>
  </si>
  <si>
    <t>AutoCAD, Fusion 360, ANSYS</t>
  </si>
  <si>
    <t>https://preskilet.com/watch?v=62b4a67930b280000452371b</t>
  </si>
  <si>
    <t>https://drive.google.com/open?id=1fyWv0CqoSJfrWBszTiQq503Xqs7x7JGn</t>
  </si>
  <si>
    <t>https://drive.google.com/open?id=1VodTMOr8KTEsotElDrb8dfREqSRYI-PE</t>
  </si>
  <si>
    <t>https://drive.google.com/open?id=1T0f-bKyVc4C4hxE5NihDokESIcdYvZZa</t>
  </si>
  <si>
    <t>https://drive.google.com/open?id=1FIit2nrPk6x3DECeefYGMoZ5uqkjwqXV</t>
  </si>
  <si>
    <t>https://drive.google.com/open?id=1D-xavV7cUpJJvsAsB-2GbUtuIyIjsGmj</t>
  </si>
  <si>
    <t>https://drive.google.com/open?id=1FlIII8kpZEb9DobmJ5-rkB_HChOJoX6h</t>
  </si>
  <si>
    <t>https://drive.google.com/open?id=1PNl2VMFHw0tefBZwU39wza4beXG8K9Pt</t>
  </si>
  <si>
    <t>https://drive.google.com/open?id=19vMIPZZ_RSyTGFS5aDZKawdDrKmAfoDf</t>
  </si>
  <si>
    <t>Didn't received the technical certificate. And Amcat results were not getting download.</t>
  </si>
  <si>
    <t>0120190583</t>
  </si>
  <si>
    <t>VAIBHAVI</t>
  </si>
  <si>
    <t>PARSHURAM</t>
  </si>
  <si>
    <t>CHOPADE</t>
  </si>
  <si>
    <t>vaibhavichopade58372@gmail.com</t>
  </si>
  <si>
    <t>https://www.linkedin.com/in/vaibhavi-chopade-9860b2213/</t>
  </si>
  <si>
    <t>SHUBHANGI</t>
  </si>
  <si>
    <t>Sr.no 36/2, Road no 6, SHIVPRASAD, Tingrenagar, Pune - 15</t>
  </si>
  <si>
    <t>Introduction to GIS Mapping</t>
  </si>
  <si>
    <t xml:space="preserve">Python </t>
  </si>
  <si>
    <t>CR Internship MITAOE
Project - AI Based parking system for autonomous vehicles</t>
  </si>
  <si>
    <t>Project - Prediction of air entrainment in pump sumps using CFD analysis techniques
Internship - Pune Maha Metro</t>
  </si>
  <si>
    <t>Prediction of air entrainment in pump sumps using CFD analysis techniques</t>
  </si>
  <si>
    <t>Club activities
chess competition on college level</t>
  </si>
  <si>
    <t>https://drive.google.com/file/d/1b-_Fbm7rUtDk-DKC5CaCHXTr8xWrwapx/view?usp=sharing</t>
  </si>
  <si>
    <t>https://drive.google.com/open?id=14h7JcUOEDMZzViP7c83J9xeWQm9yxUHc</t>
  </si>
  <si>
    <t>https://drive.google.com/open?id=1vKGXx7ogn71b8C02PiyoniCQE60k60zi</t>
  </si>
  <si>
    <t>https://drive.google.com/open?id=1SB5cowl9JJm59XhjrXvC6xbKN6VIoO5D</t>
  </si>
  <si>
    <t>https://drive.google.com/open?id=1W4h5VSKykaQRP3K3GJVLw38u3p8EglQ4</t>
  </si>
  <si>
    <t>https://drive.google.com/open?id=1n4oaToZLwdhiP1EcSXsB7bn3xzDRx10R</t>
  </si>
  <si>
    <t xml:space="preserve">Added internship name because now got the internship </t>
  </si>
  <si>
    <t>0220200209</t>
  </si>
  <si>
    <t>HEMANT</t>
  </si>
  <si>
    <t>BHORE</t>
  </si>
  <si>
    <t>hemantbhore700@gmail.com</t>
  </si>
  <si>
    <t>https://www.linkedin.com/in/hemant-bhore-11a2111a4</t>
  </si>
  <si>
    <t>VILAS NARAYAN BHORE</t>
  </si>
  <si>
    <t>HEMLATA VILAS BHORE</t>
  </si>
  <si>
    <t>DHAMANGAON BADHE ,TQ- MOTALA, DIST-BULDHANA</t>
  </si>
  <si>
    <t>ALANDI ,KALE COLONY</t>
  </si>
  <si>
    <t>Rivit software</t>
  </si>
  <si>
    <t xml:space="preserve">INTERNSHALA </t>
  </si>
  <si>
    <t>Study of Natural Reduction of Nirmalya &amp; Organic Waste Process by Composting</t>
  </si>
  <si>
    <t>Foundational Course in Entrepreneurship</t>
  </si>
  <si>
    <t>https://preskilet.com/hemant.bhore@mitaoe.ac.in</t>
  </si>
  <si>
    <t>https://drive.google.com/open?id=1d37g3oi2nEBh6-EZbedFAu0FO3vVbvJh</t>
  </si>
  <si>
    <t>https://drive.google.com/open?id=1aZ15cH_3RefuJk3wjcTUwhUjDo3XcKLv</t>
  </si>
  <si>
    <t>https://drive.google.com/open?id=1RDRjlUg78CjkTMqYKPFlYkIwulFB7y5Z</t>
  </si>
  <si>
    <t>https://drive.google.com/open?id=1HYjS7Rw-my3CVqHpq8DSaGUqORovsOWn</t>
  </si>
  <si>
    <t>https://drive.google.com/open?id=1cN9G5I35vQ283TgERmdqBrQtSFROss36</t>
  </si>
  <si>
    <t>https://drive.google.com/open?id=1pjtlfUoG7iqS0rFTZmUKfIj0hovRJUG6</t>
  </si>
  <si>
    <t>amcat result</t>
  </si>
  <si>
    <t>0220200049</t>
  </si>
  <si>
    <t>SUMIT</t>
  </si>
  <si>
    <t>CHHATRE</t>
  </si>
  <si>
    <t>sumitchhatre007@gmail.com</t>
  </si>
  <si>
    <t xml:space="preserve">sumit.chhatre@mitaoe.ac.in </t>
  </si>
  <si>
    <t>https://www.linkedin.com/in/sumit-chhatre-02b760232</t>
  </si>
  <si>
    <t>SHAKUNTALA</t>
  </si>
  <si>
    <t>C-16 Shrishaily Nagar Bhavani Peth Solapur  413002</t>
  </si>
  <si>
    <t>Introduction to programming using python</t>
  </si>
  <si>
    <t xml:space="preserve">Advance Excel </t>
  </si>
  <si>
    <t>Bhujal Abhiyan, Pashan</t>
  </si>
  <si>
    <t xml:space="preserve">1. Effect of retempering on strength and durability of concrete
2.Soil stabilization by using natural fibres </t>
  </si>
  <si>
    <t xml:space="preserve">Kannada </t>
  </si>
  <si>
    <t>1. Secured 1st Prize in Concrete cube casting
2. Secured 1st prize in Survey Competition
3. Secured 1st prize in Technical quiz competition
4. Secured 2nd prize in Technical Poster Presentation
5. Secured 2nd prize in Model making l.</t>
  </si>
  <si>
    <t xml:space="preserve">1. Published research paper in International organisations of scientific research (IOSR) journal.
2. Secured 2nd prize in national level project competition </t>
  </si>
  <si>
    <t>1. Participated in workshop on NDT device testing
2. Participated in workshop on development in  infrastructure sector 
3. Participated in 5 day training of HIT Office Software.</t>
  </si>
  <si>
    <t>1. Secured 1st prize in college level chess com</t>
  </si>
  <si>
    <t>https://preskilet.com/sumit.chhatre@mitaoe.ac.in</t>
  </si>
  <si>
    <t>https://drive.google.com/open?id=1s0tsBG-vxdZFptwZ4sbmPCj9Rys2-0tn</t>
  </si>
  <si>
    <t>https://drive.google.com/open?id=1El7P9Bw9AAaFilRiB2hLPc52hnoLltOl</t>
  </si>
  <si>
    <t>https://drive.google.com/open?id=1aiRVQ3loMmxcQQSEE9-kn3qbIYkXUnaI</t>
  </si>
  <si>
    <t>https://drive.google.com/open?id=1GoTvXUN1sBAbQarJROUl6ybZMcQG5unC</t>
  </si>
  <si>
    <t>https://drive.google.com/open?id=1jXTFXf0aSLHI_VvLcDDwdr6VzIDeLuO-</t>
  </si>
  <si>
    <t>https://drive.google.com/open?id=1SWVeaE5nzhSaZzsAxaPe1ZHSRrjMEFMA</t>
  </si>
  <si>
    <t>https://drive.google.com/open?id=17JL1ZmPJk7L_iKUX3W54Oy9YoqYryenE</t>
  </si>
  <si>
    <t>https://drive.google.com/open?id=1USQTT99eRhYCIrLpzz5qD-qxkyDhmBv0</t>
  </si>
  <si>
    <t>https://drive.google.com/open?id=1PvIdBfFykibVxIOJzK0-gwPylnBTyoSE</t>
  </si>
  <si>
    <t>Upload the amcat report and certification details</t>
  </si>
  <si>
    <t>No(Name Not Match)</t>
  </si>
  <si>
    <t>0120190582</t>
  </si>
  <si>
    <t>SMRITI</t>
  </si>
  <si>
    <t>AJAY KUMAR</t>
  </si>
  <si>
    <t>SINGH</t>
  </si>
  <si>
    <t>smritis282@gmail.com</t>
  </si>
  <si>
    <t>linkedin.com/in/smriti-singh-880a781ab/</t>
  </si>
  <si>
    <t>USHA SINGH</t>
  </si>
  <si>
    <t>Flat no 208, Wing B, Sai Shanti Park, Porwal road, Lohegaon, Pune</t>
  </si>
  <si>
    <t xml:space="preserve">Web development Course by Udemy </t>
  </si>
  <si>
    <t xml:space="preserve">Python course by Coursera </t>
  </si>
  <si>
    <t xml:space="preserve">STAAD.Pro by Internshala trainings </t>
  </si>
  <si>
    <t>1).Domain: Transportation engineering 
In PUNE MAHA METRO DEPARTMENT
2). Domain: Marketing/Business Development and General Management 
In TalentServe.pvt.ltd</t>
  </si>
  <si>
    <t>Personal Project:  GreenGuide WebApp
May 2022 - Jun 2022
GreenGuide is a web application created using HTML , Tachyons CSS , React and Bootstrap. It lets you search your desired plant and shows you some quick features of the same. It also redirects you to view description mode if you wish to know more about a particular plant.
Link Github: https://github.com/smritisingh202/GreenGuide</t>
  </si>
  <si>
    <t xml:space="preserve">Minor project – Gradeeasy mobile application (01/2021 – 06/2021)- 
Gradeeasy is a mobile application developed in Flutter and Django REST framework for semantically analysing the similarity between two documents .Used NLP techniques like LSA and BLEU to compare the documents and fuzzy logic to get the result of the two algorithms
Link Github: https://github.com/smritisingh202/Gradeeasy
Major project - Prediction of air entrainment in pump sumps using CFD (09/2021- Ongoing)  Our main objective is understanding the entire process and mechanism of air entrainment in sump and prediction of the same using CFD.
</t>
  </si>
  <si>
    <t>React.js (JavaScript/Typescript), Node.js , Express.js</t>
  </si>
  <si>
    <t>AutoCAD, Fusion 360, ANSYS, MATLAB, REVIT, MS Project, STAAD.Pro, Etabs</t>
  </si>
  <si>
    <t xml:space="preserve">1. Course on sustainability by IUCEE
2. Web development course By Udemy 
</t>
  </si>
  <si>
    <t xml:space="preserve">1. CR (Class representative ) of TY civil batch 
2. Co-ordinate of F.O.R.C.E.S ( Federation of resonant civil engineering students ) club 
3. Member of Indian Geotechnical Society MITAOE student chapter 
</t>
  </si>
  <si>
    <t>https://drive.google.com/file/d/1IOOQEvG7tp97yAAPQ1xu7DYuYZq0lstu/view?usp=sharing</t>
  </si>
  <si>
    <t>https://drive.google.com/open?id=1QTIC5mmGsrMhkR3xLn6KPY0Wd34hSzs2</t>
  </si>
  <si>
    <t>https://drive.google.com/open?id=1OTHHleY8KvobQXVxqYoasQil4XojV4Dd</t>
  </si>
  <si>
    <t>https://drive.google.com/open?id=1_A7zyD8zAVLd456F0KdSWHLHkCWRAqn-</t>
  </si>
  <si>
    <t>https://drive.google.com/open?id=1KRkjNoYseq-piRW2c1vGMZTKgOyVOWLn</t>
  </si>
  <si>
    <t>https://drive.google.com/open?id=1jVukwaFSilesQwOcWoTAa9Ys3suKhwBe</t>
  </si>
  <si>
    <t>https://drive.google.com/open?id=1CkPmzLXNAOLqFUZODmIcsfHpUOWn-r7q</t>
  </si>
  <si>
    <t>https://drive.google.com/open?id=13svwMCqm_0SYbwGmLJwjpPw6Ev7kwEUv</t>
  </si>
  <si>
    <t>https://drive.google.com/open?id=1QGiUHewaBt56bCTucPT_yJ6ba1ZupxRV</t>
  </si>
  <si>
    <t>https://drive.google.com/open?id=10n5FQ1jOhIYlsr6XI0ReU2Nq9NSPfFXR</t>
  </si>
  <si>
    <t>https://drive.google.com/open?id=1XySCkZrCdXwZd7x5HgMWhKgPuYqH5vFI</t>
  </si>
  <si>
    <t>https://drive.google.com/open?id=1oqiauIsRWgMLv-F6DZyxrnai2siQw17S</t>
  </si>
  <si>
    <t>I was got my certification done recently , so updated that 
Also I had completed web development course offered by Udemy , which I have added in educational certifications</t>
  </si>
  <si>
    <t>0120190136</t>
  </si>
  <si>
    <t>PRATIK</t>
  </si>
  <si>
    <t xml:space="preserve">VIBHUTE </t>
  </si>
  <si>
    <t>pratik.vibhute17112000@gmail.com</t>
  </si>
  <si>
    <t>https://www.linkedin.com/in/pratik-vibhute-5208661b7</t>
  </si>
  <si>
    <t>ANJALI</t>
  </si>
  <si>
    <t>At post. Nazara , Tal . Sangola, Dist. Solapur</t>
  </si>
  <si>
    <t>Alandi, Pune</t>
  </si>
  <si>
    <t>Pythom Programmer Certification  From Infosys</t>
  </si>
  <si>
    <t>Revit</t>
  </si>
  <si>
    <t>Planning Engineer Satyavani projects and consultants PVT. LTD.</t>
  </si>
  <si>
    <t xml:space="preserve">BBG Infrastructure Pvt. Ltd.  
RO: PCMC Metro Station, Near Pimpri Chinchwad Mahanagarpalika, Morwadi, Pune. Maharashtra - 411018             
</t>
  </si>
  <si>
    <t>APPLICATION OF IOT FOR EFFECTIVE SAFETY MANAGEMENT IN BUILDING BY THE DEVELOPMENT OF AN ANDROID APPLICATION</t>
  </si>
  <si>
    <t>English,Hindi,Marathi</t>
  </si>
  <si>
    <t xml:space="preserve">Model making competition
5 days workshop on HIT Office Construction 
</t>
  </si>
  <si>
    <t>I have achieved a post "Treasurer" in FORCES which is committee of Civil Department.</t>
  </si>
  <si>
    <t xml:space="preserve">1) Treasurer at Civil Department.
2) Participated in Kabaddi , Kho-Kho , Cricket , 
    Carrom , Volleyball .
3) Committee member of Event management.
4) Participation in Cultural Events. 
</t>
  </si>
  <si>
    <t>https://preskilet.com/pmvibhute@mitaoe.ac.in</t>
  </si>
  <si>
    <t>https://drive.google.com/open?id=1cxy80X7X6klXQFrj3eHFp97M5IogmTHL</t>
  </si>
  <si>
    <t>https://drive.google.com/open?id=1ksUXjen-F2ZmqI1pVCI38Du7oFNNfndJ</t>
  </si>
  <si>
    <t>https://drive.google.com/open?id=1acWThnMcBEm5laesehkq1jL7TajmCYFG</t>
  </si>
  <si>
    <t>https://drive.google.com/open?id=1bTavck0jkefFAZQNsL72v7xhuSLFsQHl</t>
  </si>
  <si>
    <t>0120190214</t>
  </si>
  <si>
    <t>NEHUL</t>
  </si>
  <si>
    <t>SURESH</t>
  </si>
  <si>
    <t>PAWAR</t>
  </si>
  <si>
    <t>nehulsp1909@gmail.com</t>
  </si>
  <si>
    <t>www.linkedin.com/in/nehul-pawar-74b7b0241</t>
  </si>
  <si>
    <t>OPP ATISH MANGAL KARYALAY, AGASHIVANAGAR, MALKAPUR, KARAD, SATARA-415539</t>
  </si>
  <si>
    <t>GIRINDU APARTMENT, OPP TO MIT SCIENCE COLLEGE,DEHU PHATA,ALANDI</t>
  </si>
  <si>
    <t>CV305T - CONCRETE TECHNOLOGY
CV306T - DRINKING WATER AND SANITARY ENGINEERING
CV365L - MAJOR PROJECT - IMPLEMENTATION</t>
  </si>
  <si>
    <t>AS106T - ENGINEERING PHYSICS
CS101T - LOGIC DEVELOPMENT - C PROGRAMMING
EX102T - ELECTRICAL AND ELECTRONICS ENGINEERING
ME104T - ENGINEERING GRAPHICS 
ME104T - ENGINEERING GRAPHICS</t>
  </si>
  <si>
    <t xml:space="preserve">Staad-pro by Internshala </t>
  </si>
  <si>
    <t>Infosys springboard</t>
  </si>
  <si>
    <t>training based internship in python</t>
  </si>
  <si>
    <t>Training on STAAD Pro Software</t>
  </si>
  <si>
    <t>Dattaprasad RMC &amp; Infrastructure Pvt. Ltd. ,karad, Satara</t>
  </si>
  <si>
    <t>Impact of geo-pathic stress on natural material</t>
  </si>
  <si>
    <t>Django (Python), Flask (Python)</t>
  </si>
  <si>
    <t>AutoCAD, Fusion 360, Adobe XD, MATLAB</t>
  </si>
  <si>
    <t>https://preskilet.com/watch?v=62bdc7349535010004fd2964</t>
  </si>
  <si>
    <t>https://drive.google.com/open?id=1UuRXC7Lnp3h_NfKVprm0_U6-9jj8myOB</t>
  </si>
  <si>
    <t>https://drive.google.com/open?id=18u3jK6VzAuybMUIfdKm40quaaYqpVU9S</t>
  </si>
  <si>
    <t>https://drive.google.com/open?id=1ExznoJm8cjQA65yH4HT6qPb3qhUUlaK7</t>
  </si>
  <si>
    <t>https://drive.google.com/open?id=1qa7IFu1HqBjUgQcmXAwHDiF7dtG2oyA5</t>
  </si>
  <si>
    <t xml:space="preserve">Video resume - now I have uploaded the video on preskilet platform, earlier it was on Google drive. </t>
  </si>
  <si>
    <t>0120190010</t>
  </si>
  <si>
    <t>BALOWRIA</t>
  </si>
  <si>
    <t>balowriaaditya2801@gmail.com</t>
  </si>
  <si>
    <t>https://www.linkedin.com/in/aditya-balowria-2816as</t>
  </si>
  <si>
    <t>AJEET SINGH</t>
  </si>
  <si>
    <t>CHAMPA DEVI</t>
  </si>
  <si>
    <t>Paloura top b.s.f,jammu</t>
  </si>
  <si>
    <t>Shree sai venkat pg vadgaon Sheri pune</t>
  </si>
  <si>
    <t>Completed</t>
  </si>
  <si>
    <t>Oracle cloud</t>
  </si>
  <si>
    <t xml:space="preserve">Our project is related to the application development that is related to construction industry </t>
  </si>
  <si>
    <t xml:space="preserve">Iot based segregation model and I'm doing an internship in an IT based company in which we are developing the user interface for that company </t>
  </si>
  <si>
    <t>React.js (JavaScript/Typescript), Django (Python)</t>
  </si>
  <si>
    <t>AutoCAD, Fusion 360, Adobe XD</t>
  </si>
  <si>
    <t>https://drive.google.com/file/d/1sBodc0Wjzkjv9_a_O7kEVtKocWkv7IgR/view?usp=drivesdk</t>
  </si>
  <si>
    <t>https://drive.google.com/open?id=1ng1gZzXG7C79VsYMpnwhlQ9Unx5qixRG</t>
  </si>
  <si>
    <t>https://drive.google.com/open?id=1jb69YQMaXsmVRRlYrS5KdaAzVgcRRNZR</t>
  </si>
  <si>
    <t>https://drive.google.com/open?id=1LAoISBUO55EtOzToZ8GIYRjsgdtYtseN</t>
  </si>
  <si>
    <t>0220200027</t>
  </si>
  <si>
    <t>NANA</t>
  </si>
  <si>
    <t>TAYADE</t>
  </si>
  <si>
    <t>dipakntayade45@gmail.com</t>
  </si>
  <si>
    <t>https://www.linkedin.com/in/dipak-tayade-45a8b820b/</t>
  </si>
  <si>
    <t>KUMUD</t>
  </si>
  <si>
    <t>At- Wadgaon(Tighre), Po- Waghari, Tah- Jamner, Dist- Jalgaon, 424208</t>
  </si>
  <si>
    <t>Flat No. 08, Nanashri Apartment, Dehu Road, Near MIT Academy of Engineering Alandi D Pune, 412105</t>
  </si>
  <si>
    <t>Diploma- Tulsi Infrastructure Jamner, Construction of Bridge Culvert</t>
  </si>
  <si>
    <t xml:space="preserve">Online Training in ACADD Centre, Anjaneya Puli, in AutoCAD </t>
  </si>
  <si>
    <t>Creations Engineers Pvt. Ltd. Ongoing internship</t>
  </si>
  <si>
    <t>TY B.Tech-To study OpenFlows Flood Modeling Software for understanding and mitigating flood risk
SY B.Tech-To determine the Carbon footprints of MIT Academy of Engineering Alandi D Pune
MOF Mini Project-Zero Energy Water Pump
Diploma-Study of Biomedical Waste Management In Nagpur City and it's effects on environment.</t>
  </si>
  <si>
    <t>AutoCAD, Fusion 360, MATLAB, Revit Architecture, Etabs,Staad Pro,MS Project, Primavera</t>
  </si>
  <si>
    <t>1) Model Making Competition
   A)Working Model of Water Treatment Plant
   B)Traffic Signal Design and Prototype of signal at Moshi, Alandi and Pune intersection
2) Participated in national Technical event Concrete cube casting in Nirmitee Event
3) Participated in Campus Experia in Government Polytechnic Nagpur.</t>
  </si>
  <si>
    <t xml:space="preserve">National Means Cum Merit Scholarship Scheme Examination </t>
  </si>
  <si>
    <t>1). HIT office for PLANNING, SCHEDULING, ESTIMATING and COSTING
2) Training at ACADD Centre for (AutoCAD, Revit Architecture, Etabs, Staad Pro, MS Project, Primavera)</t>
  </si>
  <si>
    <t>1)Head Organizer in Government Polytechnic Nagpur</t>
  </si>
  <si>
    <t>https://preskilet.com/dipak.tayade@mitaoe.ac.in</t>
  </si>
  <si>
    <t>https://drive.google.com/open?id=1aCvADVwjsFIMq_40Gj1A5BNmpjnLLrCb</t>
  </si>
  <si>
    <t>https://drive.google.com/open?id=1FWwd9-bkAEepLTSoPQHNCMcQ2GG3onld</t>
  </si>
  <si>
    <t>https://drive.google.com/open?id=13IeVD08Zt_uSel5ygOUjPgISjsPkDg5B</t>
  </si>
  <si>
    <t>https://drive.google.com/open?id=1J5Cfi3wy-unI0H3p_8dSra1yECSMkAM5</t>
  </si>
  <si>
    <t>https://drive.google.com/open?id=1s3NjKyPDRo06BOklSjPbpPDKVAM4-O1T</t>
  </si>
  <si>
    <t>https://drive.google.com/open?id=1186COCktReb44nCGA-NtLstnhbnFbm63</t>
  </si>
  <si>
    <t>https://drive.google.com/open?id=1O5R5XVvefdn_KZziF2_3Hr7vpWkYU4Ix</t>
  </si>
  <si>
    <t>https://drive.google.com/open?id=1ItszkVpgdf9jXBg02VrJ70W80wpF7kq2</t>
  </si>
  <si>
    <t>https://drive.google.com/open?id=1Y7Wo3c4TsjFetTgar2ZcBoNY9rort6md</t>
  </si>
  <si>
    <t>https://drive.google.com/open?id=1gdgXvckDpi3tFS2ujdKLJzw3lGwje3-7</t>
  </si>
  <si>
    <t>https://drive.google.com/open?id=1rrLzV-rrIzFllOSAsxQweyiEwwMKiDdx</t>
  </si>
  <si>
    <t>Internship certificate- Joining letter of current internship
Technical Certifications- Got the certificate now.
AMCAT report- Unable to download at thet time</t>
  </si>
  <si>
    <t>0120190180</t>
  </si>
  <si>
    <t>SAHIL SHARMA</t>
  </si>
  <si>
    <t>SHARMA</t>
  </si>
  <si>
    <t>rahulrocks.rs81@gmail.com</t>
  </si>
  <si>
    <t>www.linkedin.com/in/sahil-sharma-00a51a1b4</t>
  </si>
  <si>
    <t>SATISH KUMAR SHARMA</t>
  </si>
  <si>
    <t>SUDESH KUMARI</t>
  </si>
  <si>
    <t>Subash Nagar Govt. Quarters Toph Sherkhania Jammu</t>
  </si>
  <si>
    <t xml:space="preserve">Python, Staad Pro </t>
  </si>
  <si>
    <t xml:space="preserve">Oracle </t>
  </si>
  <si>
    <t xml:space="preserve">Revit </t>
  </si>
  <si>
    <t>Staad Pro</t>
  </si>
  <si>
    <t xml:space="preserve">Geological Survey of India, Pune Yeravda </t>
  </si>
  <si>
    <t xml:space="preserve">Impact of Geopathic stress on natural materials </t>
  </si>
  <si>
    <t>React.js (JavaScript/Typescript), Django (Python), Flask (Python)</t>
  </si>
  <si>
    <t>AutoCAD, Fusion 360, SolidWorks, CATIA, Adobe XD, MATLAB</t>
  </si>
  <si>
    <t>Japanese</t>
  </si>
  <si>
    <t xml:space="preserve">Cricket </t>
  </si>
  <si>
    <t>https://preskilet.com/watch?v=62bde5da9535010004fd2bd0</t>
  </si>
  <si>
    <t>https://drive.google.com/open?id=1zbD7VA4qM7bvmnt_ikND22vGLhDyd1sm</t>
  </si>
  <si>
    <t>https://drive.google.com/open?id=11zaUMj-TCnm1fLO_cWHPGnfvW_uXjg_L</t>
  </si>
  <si>
    <t>https://drive.google.com/open?id=1cQAnVzQ4_SSCqIV1yRK0vH8drIPJdnCb</t>
  </si>
  <si>
    <t>https://drive.google.com/open?id=1aLSCuSSnKIDsW7ctwxXhHQQPwuMYiVHo</t>
  </si>
  <si>
    <t>0220200024</t>
  </si>
  <si>
    <t>SANDIP</t>
  </si>
  <si>
    <t>BUTEPWAD</t>
  </si>
  <si>
    <t>sandip.butepwad@gmail.com</t>
  </si>
  <si>
    <t>https://www.linkedin.com/in/sandip-butepwad-493a12211</t>
  </si>
  <si>
    <t xml:space="preserve">SANJAY MOTIRAM BUTEPWAD </t>
  </si>
  <si>
    <t xml:space="preserve">PARVATI </t>
  </si>
  <si>
    <t>Motichandra Niwas, At. post Chinchala, Tal.Biloli, Dist.Nanded, Pin- 431710</t>
  </si>
  <si>
    <t>Anand Niwas, Shriram Nagar, Near Telephone Exchange, Vasind, Tal. Shahapur, Dist. Thane Pin- 421601</t>
  </si>
  <si>
    <t xml:space="preserve"> Microsoft 98-381:MTA: Introduction to Programming using Python</t>
  </si>
  <si>
    <t>Diploma - 3 Months industrial training in Regency Nirman Ltd.</t>
  </si>
  <si>
    <t>Online Training on AutoCAD by Internshala</t>
  </si>
  <si>
    <t>Creations Engineers Pvt. Ltd.</t>
  </si>
  <si>
    <t>Diploma- PREVENTIVE MEASURES TO MINIMISE ACCIDENTS DURING CLEANING OF DRAINAGE GALLERIES
B.Tech SY - Determination of Carbon footprint for 'MIT Academy of Engineering Alandi '
B.Tech TY onwards- STUDY OF OPENFLOWS FLOOD MODELLING SOFTWARE FOR UNDERSTANDING AND MITIGATING FLOOD RISKS</t>
  </si>
  <si>
    <t>AutoCAD, MATLAB, Filmora  ,Etabs, Revit, OpenRoads Designer, MS Project</t>
  </si>
  <si>
    <t xml:space="preserve">1) Working model- Signalized traffic intersection and water treatment plant
2) Survekshan
3) Miniature model making </t>
  </si>
  <si>
    <t>73% in National Level Technical Quiz Competition</t>
  </si>
  <si>
    <t xml:space="preserve">5 days workshop on HIT office construction ERP </t>
  </si>
  <si>
    <t>Member of MITAOE Foreign Language Club</t>
  </si>
  <si>
    <t>https://preskilet.com/629c7cd0300eb1000471f1b8</t>
  </si>
  <si>
    <t>https://drive.google.com/open?id=1FX0uJIqPlH5b3Zw2G-7u4-KyusEGMuBk</t>
  </si>
  <si>
    <t>https://drive.google.com/open?id=1j5tZeqAjRg3B0NRgfOhC3WtaWvxB8-nU</t>
  </si>
  <si>
    <t>https://drive.google.com/open?id=17XOfSOinXUUJp2DKCD5t-XE-vaWF-RNf</t>
  </si>
  <si>
    <t>https://drive.google.com/open?id=1xNs7EEvJFb6trNdP4DpYlPyWIJjYTr1I</t>
  </si>
  <si>
    <t>https://drive.google.com/open?id=1vx5HjpfzQuFttzF3OUCL0ebB7XgWZeUt</t>
  </si>
  <si>
    <t>https://drive.google.com/open?id=1pyqXLDWvQ20flACysuENmNekIufYTklO</t>
  </si>
  <si>
    <t>https://drive.google.com/open?id=187R1DOlyFRUy_618cQabcGgOeHyVF80U</t>
  </si>
  <si>
    <t>I have updated the Technical certification..Because earlier the Microsoft python certification exam was not conducted and I was not having the completion certificate.</t>
  </si>
  <si>
    <t>0120190204</t>
  </si>
  <si>
    <t>SAMADHAN</t>
  </si>
  <si>
    <t>PRAKASH</t>
  </si>
  <si>
    <t>KOLEKAR</t>
  </si>
  <si>
    <t>samadhankolekar891@gmail.com</t>
  </si>
  <si>
    <t>https://www.linkedin.com/in/samadhan-kolekar-62584b233</t>
  </si>
  <si>
    <t xml:space="preserve">PRAKASH </t>
  </si>
  <si>
    <t>NIRMALA</t>
  </si>
  <si>
    <t>Trimurti chawl, Room no 13 , Maharashtra nagar Mankhurd mumbai (E) , 088</t>
  </si>
  <si>
    <t xml:space="preserve">Internshala :STAAD Pro </t>
  </si>
  <si>
    <t xml:space="preserve">Coursera :Python for everybody
</t>
  </si>
  <si>
    <t>Coursera (Programming for every - Python )</t>
  </si>
  <si>
    <t>Internshala (STAAD Pro)</t>
  </si>
  <si>
    <t>Survey of India , Maharashtra and Goa geospatial data center , Yerwada</t>
  </si>
  <si>
    <t>Developing A mathematical model defining susceptibility index for flood and landslide disaster for a city</t>
  </si>
  <si>
    <t>AutoCAD, Fusion 360, ETabs , STAAD Pro , ArcGIS , QGIS , waterGems,Revit ,etc</t>
  </si>
  <si>
    <t>HIT Office (Workshop)</t>
  </si>
  <si>
    <t>https://preskilet.com/watch?v=62a38af4a6956a0004600717</t>
  </si>
  <si>
    <t>https://drive.google.com/open?id=1M_itwRStctSnqurkCWue1lu3ji8JeIUx</t>
  </si>
  <si>
    <t>https://drive.google.com/open?id=18awidNaBZiIfIFaFRfNFy9PDzlmnc1u4</t>
  </si>
  <si>
    <t>https://drive.google.com/open?id=18QW4jTB2lG1thHjWMY7JjopqKi25Y4Yv</t>
  </si>
  <si>
    <t>https://drive.google.com/open?id=15n8l9nziSnaQOiUwYOliZ6RK-SSFXzoX</t>
  </si>
  <si>
    <t>https://drive.google.com/open?id=1otsQqWujeOaWNibQ25Ud6TGGnJIfr-OX</t>
  </si>
  <si>
    <t xml:space="preserve">I have updated technical certification </t>
  </si>
  <si>
    <t>0120190292</t>
  </si>
  <si>
    <t>SAKSHI</t>
  </si>
  <si>
    <t>PUJARI</t>
  </si>
  <si>
    <t>sakshipujari09@gmail.com</t>
  </si>
  <si>
    <t>NA.NA</t>
  </si>
  <si>
    <t>SANYOGITA</t>
  </si>
  <si>
    <t>Near ZP Office, Shivaji chowk, Latur</t>
  </si>
  <si>
    <t>Autocad Revit Global Certification</t>
  </si>
  <si>
    <t>Satyavani Project and Consultant PVT.LIM</t>
  </si>
  <si>
    <t>Survey Of India</t>
  </si>
  <si>
    <t>BIM</t>
  </si>
  <si>
    <t>AutoCAD, Fusion 360, MATLAB, ETAB, OpenRoad, Revit</t>
  </si>
  <si>
    <t>https://preskilet.com/sspujari@mitaoe.ac.in</t>
  </si>
  <si>
    <t>https://drive.google.com/open?id=1Eh66WdcAeRpWhCONibW46bErxk7MR9HX</t>
  </si>
  <si>
    <t>https://drive.google.com/open?id=1BPO7uPcuWa-CNPzOKloXezbku8rwXrnC</t>
  </si>
  <si>
    <t>https://drive.google.com/open?id=1_ioGh_8bUFT6jI5ludwP77UaoIy88RV0</t>
  </si>
  <si>
    <t>Resume link</t>
  </si>
  <si>
    <t>0120190258</t>
  </si>
  <si>
    <t xml:space="preserve">MADHUKAR </t>
  </si>
  <si>
    <t>RAMHARI</t>
  </si>
  <si>
    <t>madhukarshinde227@gmail.com</t>
  </si>
  <si>
    <t>https://www.linkedin.com/in/madhukar-shinde-020424211/</t>
  </si>
  <si>
    <t>RAMHARI APPA SHINDE</t>
  </si>
  <si>
    <t>BHAGIRATHI SHINDE</t>
  </si>
  <si>
    <t>road no. 16, ganeshnagar, bopkhel, pune- 411015</t>
  </si>
  <si>
    <t>Inflow technology: Microsoft python certificate</t>
  </si>
  <si>
    <t>1. Satyavani projects and consutant pvt. ltd.: online internship as a planning engineer
2. Internshala: online training in staad pro
3. Onnes Cryogenics: industrial program in AutoCAD</t>
  </si>
  <si>
    <t>&gt; Survey of India: intern as a Digitizer</t>
  </si>
  <si>
    <t>Impact Assessment of Land Use Changes and Rainfall patterns on Koyna River Catchment Hydrology</t>
  </si>
  <si>
    <t>AutoCAD, Fusion 360, CATIA, MATLAB</t>
  </si>
  <si>
    <t>GATE'22 Qualified,  AIR - 16152</t>
  </si>
  <si>
    <t>1. Staadpro - internshala
2. training in Hit-Office software</t>
  </si>
  <si>
    <t>1. secured consolation prize in RYLA ART COMPETITION (NIRMITEE'22)
2. partcipated in SOFTCON and E-tendering competition (NIRMITEE'22)</t>
  </si>
  <si>
    <t>https://preskilet.com/watch?v=62a46028589aee0004d98475</t>
  </si>
  <si>
    <t>https://drive.google.com/open?id=12JXUTx7ydUqG7UuZt70eBEAJcdwFHLZe</t>
  </si>
  <si>
    <t>https://drive.google.com/open?id=13BL7rMV-GJPlaRN6PBf2UrwcVO8FSBa6</t>
  </si>
  <si>
    <t>https://drive.google.com/open?id=1DZYA-vWarvjrsq5ubVWQ02EEsyp4uPUk</t>
  </si>
  <si>
    <t>https://drive.google.com/open?id=1C6CpvWKVXlPBpJ-7tq_V5AlyNsgSwT0h</t>
  </si>
  <si>
    <t>https://drive.google.com/open?id=1DtVYt95rvdGzBiKF8UEUs3dENScyaQXA</t>
  </si>
  <si>
    <t>https://drive.google.com/open?id=1tAQKxqM6bB9iPHoEeK8MC8DCFP8BjUcP</t>
  </si>
  <si>
    <t>0120190059</t>
  </si>
  <si>
    <t>NISHANT</t>
  </si>
  <si>
    <t>AJIT</t>
  </si>
  <si>
    <t>KADAM</t>
  </si>
  <si>
    <t>nishant67k@gmail.com</t>
  </si>
  <si>
    <t>https://www.linkedin.com/in/nishant-kadam-02aa08210</t>
  </si>
  <si>
    <t>VARSHA</t>
  </si>
  <si>
    <t>Kedareshwar road, Mangalmurti banglow, koregaon, Taluka- Koregaon, Dist- Satara(Maharashtra)</t>
  </si>
  <si>
    <t>Near Dehu phata, Alandi</t>
  </si>
  <si>
    <t>Microsoft MTA: Introduction to Programming Using Python</t>
  </si>
  <si>
    <t>NPTEL: Geographic Information Systems
Python for Everybody(Getting Started with Python)
NPTEL: Structure, Form, and Architecture: The Synergy
Internshala: Staad Pro Training</t>
  </si>
  <si>
    <t>Python for Everybody ' on coursera as an internship due to lockdown.</t>
  </si>
  <si>
    <t xml:space="preserve">1. PROJECT: Comparative analysis of Cantilever Retaining Wall
-It involved comparative analysis of cantilever retaining walls altering it's dimensional parameters, type and design method used.
-We found out what dimensions, what type best resists overturning and sliding, what design method gives best results.
2. INTERNSHIP : Staad Pro Training by Internshala 
It was an extensive training on the mentioned structural analysis and design software which is in demand in industry. </t>
  </si>
  <si>
    <t>Survey of India- Maharashtra &amp; Goa Geo-Spatial Data Centre (Govt. of India)
It's a central government organization and I'm involved in a national project called 'Swamitva', an integrated property validation solution for rural India by drone surveying and GIS technology.</t>
  </si>
  <si>
    <t>Impact assessment of land use change and rainfall patterns on Koyna river catchment hydrology.</t>
  </si>
  <si>
    <t>Internet of Things</t>
  </si>
  <si>
    <t>AutoCAD, Fusion 360, MATLAB, Revit, STAAD Pro, ETABS,  WaterGEMS, QGIS, ArcGIS, WMS</t>
  </si>
  <si>
    <t xml:space="preserve">1. Attended webinar on ""GIS Based Tools for Forest Fire Mapping and Management " by NATIONAL INSTITUTE OF DISASTER MANAGEMENT
2. Participated in Exemplar' 2022 competition under a national level technical event 'Equilibrium 2022'
</t>
  </si>
  <si>
    <t>Ranked #1 (National level course Topper) in NPTEL Certification on "Geographic Information Systems"</t>
  </si>
  <si>
    <t>Staad Pro Training by Internshala</t>
  </si>
  <si>
    <t>1. Participated in "Firodiya Karandak 2019-20" - an intercollege live play competition, as a pianist in MIT AOE's team.
2. 1st runner up in Creative Writing Competition conducted by Literary club of MIT AOE.</t>
  </si>
  <si>
    <t>https://preskilet.com/watch?v=62b4c26930b2800004523918</t>
  </si>
  <si>
    <t>https://drive.google.com/open?id=1BKZ90pVe0emAabmqxRDSYa6awTQoncoK</t>
  </si>
  <si>
    <t>https://drive.google.com/open?id=1bdU5XyGJsUR_VbVysgXue6I4bkd7xjEK</t>
  </si>
  <si>
    <t>https://drive.google.com/open?id=13fRV0IUE1au2v6RJ5FxrtNO1a7PeJtt6</t>
  </si>
  <si>
    <t>https://drive.google.com/open?id=1tFknPV4v4AquUfpqvYFdesG5fBdy-Ja0</t>
  </si>
  <si>
    <t>https://drive.google.com/open?id=1UVHPRPNks6Oe5IDMLrst9M6IFpvIt1KN</t>
  </si>
  <si>
    <t>https://drive.google.com/open?id=1-CXCT-Ik6kBJA4PzZnIQuxjDLbJcr78m</t>
  </si>
  <si>
    <t>0120190438</t>
  </si>
  <si>
    <t>SHREYA</t>
  </si>
  <si>
    <t>LALCHAND</t>
  </si>
  <si>
    <t>KARMANKAR</t>
  </si>
  <si>
    <t>shreyakarmankar@gmail.com</t>
  </si>
  <si>
    <t>https://www.linkedin.com/in/shreya-karmankar-587961241</t>
  </si>
  <si>
    <t>LALCHAND KARMANKAR</t>
  </si>
  <si>
    <t>MEENAKSHI KARMANKAR</t>
  </si>
  <si>
    <t>Shivaji Ward, No. 28, Sathkholi, Ballarpur, Dist - Chandrapur. Maharashtra - 442701</t>
  </si>
  <si>
    <t>585, 665, 590</t>
  </si>
  <si>
    <t>555, 630, 645</t>
  </si>
  <si>
    <t>CS101T - Logic Development - C Programming
EX102T - Electrical and Electronics Engineering
ME104T - Engineering Graphics</t>
  </si>
  <si>
    <t>STAAD Pro - Structural Analysis and Design (Internshala)</t>
  </si>
  <si>
    <t>Autocad - 1stop (Onnes Cryogenics)</t>
  </si>
  <si>
    <t>Autodesk Revit Global Certification</t>
  </si>
  <si>
    <t xml:space="preserve">Internship/Training in 3D Design (Fusion) Under Enovate Skill (NITTTR CHANDIGARH START-UP) </t>
  </si>
  <si>
    <t>STAAD Pro (Internshala)</t>
  </si>
  <si>
    <t xml:space="preserve">Internship - BBG Infrastructure Pvt Ltd (In Process)
</t>
  </si>
  <si>
    <t>Impact of BIM Scheduling and Planning in Construction of Multistorey Building</t>
  </si>
  <si>
    <t>AutoCAD, Fusion 360</t>
  </si>
  <si>
    <t>German, English, Hindi, Marathi, Telugu</t>
  </si>
  <si>
    <t>Completed Internship Program as a Planning Engineer in Smart-Infra EST</t>
  </si>
  <si>
    <t>Played  chess at district level in school times and also took part in chess tournament organized by college club.</t>
  </si>
  <si>
    <t>https://preskilet.com/watch?v=62a570615d1aa800043461bc</t>
  </si>
  <si>
    <t>https://drive.google.com/open?id=1bUzjUX_ZzQk6NhB43eaGewC-2PBYsJoA</t>
  </si>
  <si>
    <t>https://drive.google.com/open?id=1YC58waCNbeiEfUyI4-pPmf4tQ6lIMNUk</t>
  </si>
  <si>
    <t>https://drive.google.com/open?id=1o5IId9UIPK9mwMj3YUkjhUS-eumEh_SR</t>
  </si>
  <si>
    <t>https://drive.google.com/open?id=1csMw9QbGmSXJTUY27s1fRoa-DHOu4gZV</t>
  </si>
  <si>
    <t>0120190048</t>
  </si>
  <si>
    <t>RUTIKA</t>
  </si>
  <si>
    <t>TUKARAM</t>
  </si>
  <si>
    <t>NARHARE</t>
  </si>
  <si>
    <t>nrutika18@gmail.com</t>
  </si>
  <si>
    <t>https://www.linkedin.com/mwlite/in/rutika-narhare-b8058721a</t>
  </si>
  <si>
    <t>ANITA</t>
  </si>
  <si>
    <t>Mathura Kunj, Moti nagar, Latur 413512</t>
  </si>
  <si>
    <t>Mauli girls hostel, tapkir nagar, alandi</t>
  </si>
  <si>
    <t>MAJOR PROJECT</t>
  </si>
  <si>
    <t>CH101T-SCIENCE OF NATURE
CV102T-APPLIED MECHANICS</t>
  </si>
  <si>
    <t>Autodesk:Revit architecture_imperial</t>
  </si>
  <si>
    <t>Cloud computing</t>
  </si>
  <si>
    <t>_</t>
  </si>
  <si>
    <t>Creation consultancy private limited company</t>
  </si>
  <si>
    <t>Sustainable design of multi utility tunnel</t>
  </si>
  <si>
    <t>C/C++</t>
  </si>
  <si>
    <t>Dance</t>
  </si>
  <si>
    <t>https://drive.google.com/drive/folders/1T_92-pUCwCi6lttQLAZQmR3af5si5Lpn</t>
  </si>
  <si>
    <t>https://drive.google.com/open?id=1-CboscqGiyxknJ7ow3QusLJhscHdnvzw</t>
  </si>
  <si>
    <t>https://drive.google.com/open?id=1OUwN-SOTWdNgTsigk8bgcIewndn0x77g</t>
  </si>
  <si>
    <t>https://drive.google.com/open?id=1mpQa5TPCM6OxGF4mY57F7hrTcvFgqUcP</t>
  </si>
  <si>
    <t>https://drive.google.com/open?id=1EUcSE64CQ4b7Wpl_0iy58e02f4j9fgyJ</t>
  </si>
  <si>
    <t>Technical Certification was incomplete</t>
  </si>
  <si>
    <t>0120190572</t>
  </si>
  <si>
    <t>BALBHIM</t>
  </si>
  <si>
    <t>BHOJANE</t>
  </si>
  <si>
    <t>ganeshbbhojane@gmail.com</t>
  </si>
  <si>
    <t>https://www.linkedin.com/in/ganesh-bhojane-409aa1195</t>
  </si>
  <si>
    <t>KAMAL</t>
  </si>
  <si>
    <t>Near Mahajan College Keshav Nagar waruda road Osmanabad.</t>
  </si>
  <si>
    <t>Python programmer : Infosys Spring board</t>
  </si>
  <si>
    <t>Intern at uday infra developers, Project: Vertical Farming</t>
  </si>
  <si>
    <t>Intern at PWD Special building projects Sub. Osmanabad.</t>
  </si>
  <si>
    <t>Studying the impact of geo-electromagnetic field zone on natural materials.</t>
  </si>
  <si>
    <t>AutoCAD, Fusion 360, Proteus, MATLAB</t>
  </si>
  <si>
    <t>Participate in solar decathlon national level challenge to design net-zero energy water building.</t>
  </si>
  <si>
    <t>University level badminton championship.</t>
  </si>
  <si>
    <t>https://preskilet.com/62bd81eb9535010004fd2623</t>
  </si>
  <si>
    <t>https://drive.google.com/open?id=1u0eW0uSycHd52Cd0i3HMvpzNplUBq0z3</t>
  </si>
  <si>
    <t>https://drive.google.com/open?id=1MkdtG5i2yuja91niaIB8vFZO9x1jJ3ao</t>
  </si>
  <si>
    <t>https://drive.google.com/open?id=1VaRAYEn_yb4AFVC5fwtg9l_-V2awRCW_</t>
  </si>
  <si>
    <t>https://drive.google.com/open?id=127dH3CtXCT-Uwp-9E0QWV6iA6bI0iP0O</t>
  </si>
  <si>
    <t>https://drive.google.com/open?id=1eiNTC8rrXqfkgC9g3Hn0xsPwBv-cDGee</t>
  </si>
  <si>
    <t>https://drive.google.com/open?id=1ioCJgbbdWL4alKtS6x82bT-TU1s5XjAq</t>
  </si>
  <si>
    <t>https://drive.google.com/open?id=1lc4rj5JrZPyUskl-a7k94N9NBqosP-Zc</t>
  </si>
  <si>
    <t>https://drive.google.com/open?id=1GQbd7w35xfYDZtIt_NXPaXsZF9GZftR9</t>
  </si>
  <si>
    <t>Amcat results, technical certification, internship certification, video link of preskilet.</t>
  </si>
  <si>
    <t>ganesh.boyane@mitaoe.ac.in</t>
  </si>
  <si>
    <t>0220200141</t>
  </si>
  <si>
    <t>DNYANOBA</t>
  </si>
  <si>
    <t>BOYANE</t>
  </si>
  <si>
    <t>https://www.linkedin.com/in/ganesh-boyane-a25100241</t>
  </si>
  <si>
    <t>AYODHYA</t>
  </si>
  <si>
    <t>At post Wasangaon, Tal. Latur, Dist. Latur- 413512</t>
  </si>
  <si>
    <t>CV215L - Geospatial Engineering</t>
  </si>
  <si>
    <t xml:space="preserve">Microsoft PYTHON certification </t>
  </si>
  <si>
    <t>AutoCAD certification</t>
  </si>
  <si>
    <t>Online Internship- AutoCAD course</t>
  </si>
  <si>
    <t>Project on "Energy efficiency in pump and pumping system"</t>
  </si>
  <si>
    <t>1. Use of plastic in construction of paving block (Diploma)
2. Energy saving opportunities in pump and pumping system (BTech)</t>
  </si>
  <si>
    <t>AutoCAD, Revit, Etabs, Openroad</t>
  </si>
  <si>
    <t xml:space="preserve">1. Participated in concrete tiles casting event organized by College of Engineering Pune.
2. Participated in concrete cube casting event organized by MIT World Peace University.
</t>
  </si>
  <si>
    <t>1. Participated in regional level project competition organized by AISSMS College.
2. Participated in project competition organized by team Unnat bharat abhiyan, MIT Academy of Engineering.</t>
  </si>
  <si>
    <t>https://preskilet.com/watch?v=62a35a4ca6956a00045ffeb8</t>
  </si>
  <si>
    <t>https://drive.google.com/open?id=1gQqTCiXZ9IMFjUPkeNvLqCMkCJGxjb__</t>
  </si>
  <si>
    <t>https://drive.google.com/open?id=17FqZbnVKvpUH8CY3B9HpFxNBZ27TKXr4</t>
  </si>
  <si>
    <t>https://drive.google.com/open?id=1c_KhCWOoyBCLi0DGLAq2cil6w_vR5mFE</t>
  </si>
  <si>
    <t>https://drive.google.com/open?id=1R9IwBc-wemgou6SJ_20iP77CpIQR_yG4</t>
  </si>
  <si>
    <t>samir.maske@mitaoe.ac.in</t>
  </si>
  <si>
    <t>0220200214</t>
  </si>
  <si>
    <t>SAMIR</t>
  </si>
  <si>
    <t>MASKE</t>
  </si>
  <si>
    <t>https://www.linkedin.com/in/sam-maske-642510236</t>
  </si>
  <si>
    <t xml:space="preserve">SUNIL </t>
  </si>
  <si>
    <t>JYOTI</t>
  </si>
  <si>
    <t>SAMBHAJI NAGAR NEAR BSNL TOWER DHARUR 431124</t>
  </si>
  <si>
    <t xml:space="preserve">Saint dyaneshwar boys hostel Samjkalyan office Vishrantwadi </t>
  </si>
  <si>
    <t xml:space="preserve">PYTHON </t>
  </si>
  <si>
    <t>ADVANCED EXCEL</t>
  </si>
  <si>
    <t>PYTHON</t>
  </si>
  <si>
    <t>Intership in Advanced Excel</t>
  </si>
  <si>
    <t>Constrologix Engg. &amp; Research Services Pvt.Lim</t>
  </si>
  <si>
    <t>Forecasting Slope Stability Using  Holistic Approach</t>
  </si>
  <si>
    <t>AutoCAD, MATLAB, Geo Slope, Plaxis</t>
  </si>
  <si>
    <t>https://preskilet.com/watch?v=62b53438af4f2700045cd8ff</t>
  </si>
  <si>
    <t>https://drive.google.com/open?id=1NC71obpj7K87Frg8SQJNfU6TiKitESUv</t>
  </si>
  <si>
    <t>https://drive.google.com/open?id=1MmaoRtSP_OlOpQYS9z0t04N0FRxM-5w4</t>
  </si>
  <si>
    <t>https://drive.google.com/open?id=1-V0QqRuaYao2dt5wdDuawoRUAFQV3-oa</t>
  </si>
  <si>
    <t>https://drive.google.com/open?id=1oN49gjM_TniMXaaLR0GeqJC7aebolQRA</t>
  </si>
  <si>
    <t>https://drive.google.com/open?id=1OQ1PF-daFcWF0E-t9JA4GLpFuIjaG82T</t>
  </si>
  <si>
    <t>keshraj.tonage@mitaoe.ac.in</t>
  </si>
  <si>
    <t>0220200170</t>
  </si>
  <si>
    <t>KESHRAJ</t>
  </si>
  <si>
    <t>RAJABHAU</t>
  </si>
  <si>
    <t>TONAGE</t>
  </si>
  <si>
    <t xml:space="preserve">keshraj.tonage@mitaoe.ac.in </t>
  </si>
  <si>
    <t>https://www.linkedin.com/in/keshraj-tonage-00375a199</t>
  </si>
  <si>
    <t>RAJABHAU BHASKAR TONAGE</t>
  </si>
  <si>
    <t>MEERA RAJABHAU TONAGE</t>
  </si>
  <si>
    <t xml:space="preserve">At post Lohata(East), ta. kallamb, dist. Osmanabad, 413507 </t>
  </si>
  <si>
    <t>At post dudulgaon, Alandi, Pune, Maharashtra, 412105</t>
  </si>
  <si>
    <t>Microsoft Technology Associate-Python programming</t>
  </si>
  <si>
    <t xml:space="preserve"> In process - python certification by Microsoft-inflow technology</t>
  </si>
  <si>
    <t>Online internship of Advanced excel</t>
  </si>
  <si>
    <t xml:space="preserve">On site and office work internship at Creations Engineers Pvt. Ltd, Pimpri-Chindwad
( ongoing)   </t>
  </si>
  <si>
    <t>1) Natural reduction of nirmalya and organic waste process by composting.</t>
  </si>
  <si>
    <t>AutoCAD, MATLAB, Revit architecture, 3Ds max, ETABS, QGIS, Open road desginer</t>
  </si>
  <si>
    <t xml:space="preserve">1) State level Technical quiz competition  </t>
  </si>
  <si>
    <t>1) Secured consolation prize in Regional Level Project Competition sponsored by DTE, Pune association with SPPU.</t>
  </si>
  <si>
    <t>Workshop on HIT OFFICE construction ERP</t>
  </si>
  <si>
    <t>1) Regional level project competition
2) Participation and achieved 3rd rank at the Hackathon for Rural Development organised by TEAM UBA MITAOE
3) Participation in Virtual campus recruitment program at VIT Latur</t>
  </si>
  <si>
    <t>https://preskilet.com/watch?v=62a5d3e3d629e000041e8d0e</t>
  </si>
  <si>
    <t>https://drive.google.com/open?id=14_eieAwM_5_o4nL7hl_bawMbcfa-JiNx</t>
  </si>
  <si>
    <t>https://drive.google.com/open?id=1Y1Zavfn1bYwTJ_IB9GCmsOJWWlwOB4Xa</t>
  </si>
  <si>
    <t>https://drive.google.com/open?id=1xddsTjxG7Nk11ecs4ZPUelnJtnRI2WaO</t>
  </si>
  <si>
    <t>https://drive.google.com/open?id=1ISAgqLFQ2Cyje_go8Mq_gnx2uule9vyB</t>
  </si>
  <si>
    <t>https://drive.google.com/open?id=1ryYfGE3WbHA5xM4mbhUQVm_dgZ5txEtr</t>
  </si>
  <si>
    <t>https://drive.google.com/open?id=1qBUUiPUd0ZCCngSXJ5sqQ5fBJzhqoLr_</t>
  </si>
  <si>
    <t>https://drive.google.com/open?id=1pZY87lJq6rJmVK2zK5jLihDKiIpsMchC</t>
  </si>
  <si>
    <t>https://drive.google.com/open?id=1EiOI6qeYt9ljQL0AbvV5a-BCJb3w-YQK</t>
  </si>
  <si>
    <t>https://drive.google.com/open?id=1KhYO1Nshg_YqEYMT0g0V83GCqB5dN6-M</t>
  </si>
  <si>
    <t>1. Technical certificates: cause recently I have completed MTA python programming and got certificate
2. SY and TY Amcat result : previously I had added the screen shots of result of Amcat. Now added score card</t>
  </si>
  <si>
    <t>rutuja.ghule@mitaoe.ac.in</t>
  </si>
  <si>
    <t>0220200211</t>
  </si>
  <si>
    <t>RUTUJA</t>
  </si>
  <si>
    <t>GHULE</t>
  </si>
  <si>
    <t>https://www.linkedin.com/in/rutuja-ghule-29084a241</t>
  </si>
  <si>
    <t>SUNIL HARISHCHANDRA GHULE</t>
  </si>
  <si>
    <t>SANGITA SUNIL GHULE</t>
  </si>
  <si>
    <t xml:space="preserve">At.KalasKh, Post. KalasBk, Tal.Akole, Dist. Ahmednagar </t>
  </si>
  <si>
    <t xml:space="preserve">Ongoing </t>
  </si>
  <si>
    <t>Microsoft Technology Associate</t>
  </si>
  <si>
    <t>Elearnmarkets Advanced Excel (online)</t>
  </si>
  <si>
    <t>Bhujal Abhiyan, Pashan (Physical)</t>
  </si>
  <si>
    <t>Slope stabilization by using Natural Fibers</t>
  </si>
  <si>
    <t>All Sports (Kho-Kho, Basketball, Shotput, Throw Ball, Carrom,etc.)</t>
  </si>
  <si>
    <t>https://preskilet.com/watch?v=62b2ff55cd590700045fb4be</t>
  </si>
  <si>
    <t>https://drive.google.com/open?id=1GxbKMKMDUwEmZVF7DHH9YvwLWbjS8zP7</t>
  </si>
  <si>
    <t>https://drive.google.com/open?id=1ZSZqaht8Fc-j5uQwUOydEt1ObEUfkA7S</t>
  </si>
  <si>
    <t>https://drive.google.com/open?id=1nqQjyqZIV3hv3bF_2vcoLuwid_340qU6</t>
  </si>
  <si>
    <t>https://drive.google.com/open?id=1SdWBFjILqCtR52a8ut9VZNO8yBCu-zHd</t>
  </si>
  <si>
    <t>hmbhat@mitaoe.ac.in</t>
  </si>
  <si>
    <t>0220200232</t>
  </si>
  <si>
    <t>HYDER</t>
  </si>
  <si>
    <t>MANZOOR</t>
  </si>
  <si>
    <t>BHAT</t>
  </si>
  <si>
    <t>https://www.linkedin.com/in/hyder-bhat-8557b520b</t>
  </si>
  <si>
    <t>MANZOOR AHMAD BHAT</t>
  </si>
  <si>
    <t>MEHBOOBA BEGUM</t>
  </si>
  <si>
    <t>Machipora Handwara kupwara J&amp;K</t>
  </si>
  <si>
    <t>Python certification(in progress)</t>
  </si>
  <si>
    <t>Microsoft excel</t>
  </si>
  <si>
    <t>Advanced excel</t>
  </si>
  <si>
    <t>Constrologix Pvt Ltd</t>
  </si>
  <si>
    <t>Slope Stability Analysis</t>
  </si>
  <si>
    <t>Residential building Analysis</t>
  </si>
  <si>
    <t>Kashmiri, Urdu</t>
  </si>
  <si>
    <t>AICTE PMSSS</t>
  </si>
  <si>
    <t>ITHDA</t>
  </si>
  <si>
    <t>Nakshatra participant in 2022 at MITAOE</t>
  </si>
  <si>
    <t>https://preskilet.com/watch?v=62b478b730b28000045233d5</t>
  </si>
  <si>
    <t>https://drive.google.com/open?id=1e50iAVR43hVrXEL7f0CHS30yOiH1jyqc</t>
  </si>
  <si>
    <t>https://drive.google.com/open?id=1tL7pU8JH8twAr3OaFfaLCs7YahQbMuPh</t>
  </si>
  <si>
    <t>https://drive.google.com/open?id=1o4Zu9lirZtQoBxnh99Xk1b2A3LYaWle5</t>
  </si>
  <si>
    <t>https://drive.google.com/open?id=1pwTZjlpdJKd-YktHUZHGMT6-f3SRvjjm</t>
  </si>
  <si>
    <t>https://drive.google.com/open?id=14fZb7sJvsi0HfUCLnwfSrrn9UZruWTAz</t>
  </si>
  <si>
    <t>https://drive.google.com/open?id=1ntVcWEMc6ymDXR7zZ_yoBR5m4nwW2uJt</t>
  </si>
  <si>
    <t>payal.chaugule@mitaoe.ac.in</t>
  </si>
  <si>
    <t>0220200104</t>
  </si>
  <si>
    <t>PAYAL</t>
  </si>
  <si>
    <t>BHAUSAHEB</t>
  </si>
  <si>
    <t>CHAUGULE</t>
  </si>
  <si>
    <t xml:space="preserve">payal.chaugule@mitaoe.ac.in </t>
  </si>
  <si>
    <t>https://www.linkedin.com/in/payal-chaugule-7b806b218</t>
  </si>
  <si>
    <t xml:space="preserve">AT/POST- DARODI,TAL-PARNER, DIST- AHMADNAGAR </t>
  </si>
  <si>
    <t xml:space="preserve">SHIV CLASSIC E-15, SHIVAJIWADI, MOSHI, PUNE </t>
  </si>
  <si>
    <t>MTA-Microsoft Python Certificarion</t>
  </si>
  <si>
    <t xml:space="preserve">Internship-Training on Internshala on STAAD Pro 
Project-Study of Green Building rating systems in India
</t>
  </si>
  <si>
    <t xml:space="preserve">Internship-Creation Engineering Pvt.Lmt
Project-Structural Performance of Light Guage Steel Stud Wall Systems </t>
  </si>
  <si>
    <t xml:space="preserve">B.E Project-Structural Performance of Light Guage Steel Stud Wall Systems 
Diploma Project-Use of crumb rubber partially replcing sand for preparing cement mortar </t>
  </si>
  <si>
    <t>AutoCAD, Fusion 360, MATLAB, Revit, ETABS &amp; Open Road Designer</t>
  </si>
  <si>
    <t>Volunteer in TECHNOFEST Engineering Event</t>
  </si>
  <si>
    <t>https://preskilet.com/watch?v=62a370dca6956a0004600189</t>
  </si>
  <si>
    <t>https://drive.google.com/open?id=1zoRHbQVM_EAuYk66l_UQdRV9SD1Ach41</t>
  </si>
  <si>
    <t>https://drive.google.com/open?id=1ehOcmwQG0u9XSANpQFRKHj6qFmlf8Eug</t>
  </si>
  <si>
    <t>https://drive.google.com/open?id=17U1SbiZXYA9i9kQavg4_rMuuZ-TUy0WW</t>
  </si>
  <si>
    <t>https://drive.google.com/open?id=1EYFGgvppKDIpiyq_ZNM_wdKIIwetPpgg</t>
  </si>
  <si>
    <t>https://drive.google.com/open?id=1IYd3CYm2fAl-s6Lj8udskV2pkSPFQ3gZ</t>
  </si>
  <si>
    <t>https://drive.google.com/open?id=1kPf90_E8uU88xNivOfZT9_7U8Bu8qkrf</t>
  </si>
  <si>
    <t>https://drive.google.com/open?id=1moiQegzmkZfQOa273MvJitgYzJBdz502</t>
  </si>
  <si>
    <t>Internship Certificate previousy i uploaded wrong document by mistakely.</t>
  </si>
  <si>
    <t>komal.kakde@mitaoe.ac.in</t>
  </si>
  <si>
    <t>0220200199</t>
  </si>
  <si>
    <t>KOMAL</t>
  </si>
  <si>
    <t>DINANATH</t>
  </si>
  <si>
    <t>KAKDE</t>
  </si>
  <si>
    <t xml:space="preserve">komal.kakde@mitaoe.ac.in </t>
  </si>
  <si>
    <t>https://www.linkedin.com/in/komal-kakde-240127215</t>
  </si>
  <si>
    <t xml:space="preserve">DINANATH </t>
  </si>
  <si>
    <t>Ward No. 3, At post shirpur, Tq-Wani, Dist-Yavatmal (445304)</t>
  </si>
  <si>
    <t>Microsoft python certificate</t>
  </si>
  <si>
    <t>Civil working training at municipal council yavatmal (Diploma)</t>
  </si>
  <si>
    <t>Staad pro</t>
  </si>
  <si>
    <t xml:space="preserve">CREATIONS ENGINEERING Pvt. Ltd, </t>
  </si>
  <si>
    <t xml:space="preserve">Structural Performance of light gauge steel stud wall system </t>
  </si>
  <si>
    <t>AutoCAD, Fusion 360, ANSYS, MATLAB, Revit, open road, staad pro</t>
  </si>
  <si>
    <t>1. FIELD ASPECTS OF CIVIL ENGINEERING STUDENTS (FACES 2020)
2. MAD FOR CAD
3. INTRODUCTION TO FINITE ELEMENT ANALYSIS USING ANSYS</t>
  </si>
  <si>
    <t>BUILDCON EVENT</t>
  </si>
  <si>
    <t>https://drive.google.com/drive/folders/1IA0kbLVYxYiZBGgWNXgxDCiHq7mNhOMa</t>
  </si>
  <si>
    <t>https://drive.google.com/open?id=1GTtLXGohGbO3eMw3K6nvhHOv4x7PZdVx</t>
  </si>
  <si>
    <t>https://drive.google.com/open?id=1tTgfnVnOP3utlT2-dez6V9JsbHLxOEP_</t>
  </si>
  <si>
    <t>https://drive.google.com/open?id=1ZFuwEtWAOyyw35UGGQpB0BBMKgPRkP1C</t>
  </si>
  <si>
    <t>https://drive.google.com/open?id=1S5tTc1TExJny_svrn1SNQWSM5fU3O38d</t>
  </si>
  <si>
    <t>https://drive.google.com/open?id=1mKU-2O3MyEoBxn9zGjw2pphN9vmaeaeP</t>
  </si>
  <si>
    <t>https://drive.google.com/open?id=1E8_-pjJHge-dN4ZX7_scZIGwRR8vn1rp</t>
  </si>
  <si>
    <t>https://drive.google.com/open?id=1Mhx3k-o4BPFFcyR3ukuFIGZxPCwHAxjX</t>
  </si>
  <si>
    <t>https://drive.google.com/open?id=1nip1-6LE-dBKr1ixeyGziX1UgWxdLj1F</t>
  </si>
  <si>
    <t>https://drive.google.com/open?id=11iFcd4ULmjj0IVBBcMPQzY_WGYS0ZRUU</t>
  </si>
  <si>
    <t>https://drive.google.com/open?id=1lYJuM49PgOWoVgEdSgH7M3HyqURVpmKa</t>
  </si>
  <si>
    <t xml:space="preserve">I have uploaded Python certificate in SY Amcat results place because, I'm uploading wrong certificate and the certificate is not getting remove. </t>
  </si>
  <si>
    <t>shweta.jagtap@mitaoe.ac.in</t>
  </si>
  <si>
    <t>0220200130</t>
  </si>
  <si>
    <t>SHWETA</t>
  </si>
  <si>
    <t>ARUN</t>
  </si>
  <si>
    <t>JAGTAP</t>
  </si>
  <si>
    <t>https://www.linkedin.com/in/shweta-jagtap-b66951241</t>
  </si>
  <si>
    <t>ARUN JAYWANT JAGTAP</t>
  </si>
  <si>
    <t>MANISHA ARUN JAGTAP</t>
  </si>
  <si>
    <t>Room no:14, Saikrupa society, hear holy Cross school, nandivali, haji malang road, kalyan east, thane 421306</t>
  </si>
  <si>
    <t>In process</t>
  </si>
  <si>
    <t>Python Language</t>
  </si>
  <si>
    <t>Intership-: Staadpro software
Project:- Study of Green Building Rating System in India</t>
  </si>
  <si>
    <t>Internship-: 
Project:- Structural Performance of Light Gauge  Steel Stud Wall System</t>
  </si>
  <si>
    <t>Experimental Work on Preparation of Concrete with Flyash and Steel fyber</t>
  </si>
  <si>
    <t>Treasurer of INDIAN GEOTECH SOCIETY STUDENT CHAPTER</t>
  </si>
  <si>
    <t>Technook in collaboration with IIT Bhubaneswar</t>
  </si>
  <si>
    <t>https://drive.google.com/drive/folders/18ru-z1XJLPAdUgKkq36dKh8gv1BAqmJJ</t>
  </si>
  <si>
    <t>https://drive.google.com/open?id=199TaIPDprKuXF68VGPRKPuJ8cdju09B0</t>
  </si>
  <si>
    <t>https://drive.google.com/open?id=1OfWd4pnaI8xoQ03A-5bOY7WtLzyy25g4</t>
  </si>
  <si>
    <t>https://drive.google.com/open?id=1hOYIW99cPEyontgG88CtkspNP8Vej8wx</t>
  </si>
  <si>
    <t>Branch not selected</t>
  </si>
  <si>
    <t>jatin.burde@mitaoe.ac.in</t>
  </si>
  <si>
    <t>0220200228</t>
  </si>
  <si>
    <t>JATIN</t>
  </si>
  <si>
    <t>BURDE</t>
  </si>
  <si>
    <t>www.linkedin.com/in/jatin-burde-0233271aa</t>
  </si>
  <si>
    <t>NILIMA</t>
  </si>
  <si>
    <t>370, Gangabai Niwas, New Nandanwan Layout, Hasanbagh Road Nagpur 440009</t>
  </si>
  <si>
    <t>Microsoft Python</t>
  </si>
  <si>
    <t>Done internship at Swapnapurti Builders Nagpur. Performing the duty of site engineer.</t>
  </si>
  <si>
    <t>MAHA Metro, Pune</t>
  </si>
  <si>
    <t xml:space="preserve">Energy Saving Opportunities in pump and pumping system, Traffic volume study to design an island, Zero energy discharge in waste water management </t>
  </si>
  <si>
    <t>AutoCAD, E tabs, Open Road, Revit</t>
  </si>
  <si>
    <t xml:space="preserve">worked for the post of wise president at government polytechnic Nagpur, passed elementary and intermediate drawing exams, </t>
  </si>
  <si>
    <t>getting 1st price at painting competition in 1st, 2nd and 3rd year in Government polytechnic Nagpur organised at state level</t>
  </si>
  <si>
    <t xml:space="preserve">getting 1st prize in rangoli competition </t>
  </si>
  <si>
    <t>https://preskilet.com/jatin.burde@mitaoe.ac.in</t>
  </si>
  <si>
    <t>https://drive.google.com/open?id=1P4iLL4gZ4b5DoW5raI_ENCQq3Xx7IROJ</t>
  </si>
  <si>
    <t>https://drive.google.com/open?id=1fenwo-8nM_IPAEJo5Fk-UJA0zX5EH4VM</t>
  </si>
  <si>
    <t>https://drive.google.com/open?id=1R6nnvrzfGiN1CdbTk-iDrrAXeljes_qi</t>
  </si>
  <si>
    <t>https://drive.google.com/open?id=1I-QJ55DbSHz1uErj0op3jvDOMKLd9cId</t>
  </si>
  <si>
    <t>https://drive.google.com/open?id=1aUcjtzatqRrfbLHMmPWSDrJbB-1DzASq</t>
  </si>
  <si>
    <t>https://drive.google.com/open?id=1E_UcfUvtwHJBM6jP6PzNRvvKuAXpa7jx</t>
  </si>
  <si>
    <t>uploaded AMCAT result</t>
  </si>
  <si>
    <t>umesh.khillare@mitaoe.ac.in</t>
  </si>
  <si>
    <t>0220200208</t>
  </si>
  <si>
    <t>UMESH</t>
  </si>
  <si>
    <t>PRALHAD</t>
  </si>
  <si>
    <t>KHILLARE</t>
  </si>
  <si>
    <t>https://www.linkedin.com/in/umesh-khillare-26316a241/</t>
  </si>
  <si>
    <t>SANJEEVANI</t>
  </si>
  <si>
    <t>Raholi (khurd) Tq. &amp; Dst. = Hingoli 431513</t>
  </si>
  <si>
    <t>Dehu phata ,Alandi,  Pune 412105</t>
  </si>
  <si>
    <t xml:space="preserve">Microsoft Certification Course </t>
  </si>
  <si>
    <t xml:space="preserve">From E-learn Markets Online Training on Advanced Excel Software </t>
  </si>
  <si>
    <t>Online Training on Advanced Excel Software from E-Learn Markets</t>
  </si>
  <si>
    <t>SHRINIWAS VASTUNIRMAN PVT.LTD.AURANGABAD.</t>
  </si>
  <si>
    <t>Energy Saving Opportunities in Pumps and Pumping System</t>
  </si>
  <si>
    <t>AutoCAD, Fusion 360, MATLAB, 1.Revit 2.ETABS</t>
  </si>
  <si>
    <t>1.Preparation of charts and models
2.Debate and Discussion
3.Celebration of festivals in institutes</t>
  </si>
  <si>
    <t xml:space="preserve">1.Participated in Modal Making Compilation Got Second Prize
2.Taken Participate in various quiz Compilations
</t>
  </si>
  <si>
    <t>https://preskilet.com/watch?v=62b209a9c1bbd50004166075</t>
  </si>
  <si>
    <t>https://drive.google.com/open?id=17FOqJ29WGQpNoH-rCxiCgSvdUKC7ZikX</t>
  </si>
  <si>
    <t>https://drive.google.com/open?id=1kVndgS5iJF99bt0vZZbx1N-Udpj6mA3n</t>
  </si>
  <si>
    <t>https://drive.google.com/open?id=1bb8xTnP6Qh5d_ccmqnfQulesCuRF473C</t>
  </si>
  <si>
    <t>https://drive.google.com/open?id=19iDDsqRf2RPlsCi8HinJs4r5KwC1WV5R</t>
  </si>
  <si>
    <t>https://drive.google.com/open?id=1lA_coJHonmXfDbawD0VOmFZT9L5xfIJj</t>
  </si>
  <si>
    <t>https://drive.google.com/open?id=1-E1YVv2RNWFUvT6XLkSCfcVUx5zSIzPt</t>
  </si>
  <si>
    <t>Backlogs putted as zero</t>
  </si>
  <si>
    <t>touphik.shaikh@mitaoe.ac.in</t>
  </si>
  <si>
    <t>0220200188</t>
  </si>
  <si>
    <t>TOUPHIK</t>
  </si>
  <si>
    <t>BABAN</t>
  </si>
  <si>
    <t>https://www.linkedin.com/in/touphik-shaikh-815333231</t>
  </si>
  <si>
    <t xml:space="preserve">BABAN NAMDAR SHAIKH </t>
  </si>
  <si>
    <t>NAFISA BABAN SHAIKH</t>
  </si>
  <si>
    <t>Shaikh Manjil wada,Opp. Of high school,Ghogargoan,Tal:Shrigonda,Dist:Ahmednagar, Maharashtra-414401.</t>
  </si>
  <si>
    <t>Nanashri Appartment ,Hindvi Colony No 2,Alandi,Pimpri Chinchwad, Maharashtra:412105</t>
  </si>
  <si>
    <t xml:space="preserve">Python course from Microsoft </t>
  </si>
  <si>
    <t xml:space="preserve">Ongoing Python course from Microsoft </t>
  </si>
  <si>
    <t>Diploma: Up graduation of Rahuri -Shanishignapur to junction of MSH (NH753 F) NH 160 C to two lane with paved shoulder (Designch 0+000 to 26 +160) on EPC mode ).</t>
  </si>
  <si>
    <t>Revit Course from Internshalla</t>
  </si>
  <si>
    <t xml:space="preserve">Creations Engineers pvt.limited </t>
  </si>
  <si>
    <t>To study the openflows FlOOD modeling software for understanding and mitigating the flood risks</t>
  </si>
  <si>
    <t xml:space="preserve">AutoCAD, MATLAB, Revit,Etabs,OpenRoads Designer,Filmora,Staad pro,MS Project </t>
  </si>
  <si>
    <t xml:space="preserve">1) To develop the working model of water treatment plant and design of signal
2)Participated in national level TCS Suistanathone </t>
  </si>
  <si>
    <t xml:space="preserve">1) Successfully won the 1st prize in interzonal matches for chess at the sangli
2)Three times district level certificate in chess during school days </t>
  </si>
  <si>
    <t>1)Completed the 5 days workshop on HIT Office</t>
  </si>
  <si>
    <t>1)Member of MITAOE Chess Club
2)Participated in different matches for chess  at MITAOE</t>
  </si>
  <si>
    <t>https://preskilet.com/watch?v=629c842b300eb1000471f1ec</t>
  </si>
  <si>
    <t>https://drive.google.com/open?id=13VqjhtzVttoVY5c5cnT4XO7-_Ebjvn38</t>
  </si>
  <si>
    <t>https://drive.google.com/open?id=1pw424WE4d5xiEavcwrl6G-LpWqdViaqj</t>
  </si>
  <si>
    <t>https://drive.google.com/open?id=1FO2a9z8OjFKU7i3MKFuMcw3_bKj-_UMb</t>
  </si>
  <si>
    <t>https://drive.google.com/open?id=1u8jdWjlfBHVuWKhztczlkrpaYO0cPAb6</t>
  </si>
  <si>
    <t>https://drive.google.com/open?id=10NG4ds3fPw4Qiv5_J_bYfFXDY4aAaPRv</t>
  </si>
  <si>
    <t>https://drive.google.com/open?id=1TzC0LiQ9lPxmfxwQeUEHLcFoJ3SyaoTA</t>
  </si>
  <si>
    <t>https://drive.google.com/open?id=1Dd6eoKa4TC9EfuzbG2ZEcrOJE_U4yq28</t>
  </si>
  <si>
    <t xml:space="preserve">Beacuse at that time I have not completed the course form Microsoft but few days ago I have completed </t>
  </si>
  <si>
    <t>varad.khandekar@mitaoe.ac.in</t>
  </si>
  <si>
    <t>02202200226</t>
  </si>
  <si>
    <t>VARAD</t>
  </si>
  <si>
    <t>VIDYADHAR</t>
  </si>
  <si>
    <t>KHANDEKAR</t>
  </si>
  <si>
    <t>https://www.linkedin.com/in/varad-khandekar-65363b223</t>
  </si>
  <si>
    <t>VRUSHALI</t>
  </si>
  <si>
    <t>Sr. No. 359, Plot No.17, Siddhaved Bungalow, Dhumal Ali, Shahupuri, Satara.</t>
  </si>
  <si>
    <t>Python by Microsoft(In Process)</t>
  </si>
  <si>
    <t>Advanced Excel by Elearnmarket</t>
  </si>
  <si>
    <t>Internship in Minor Irrigation Sub. Div. Vaduj, Z.P. Satara(Ongoing)</t>
  </si>
  <si>
    <t>Study on natural reduction of Nirmalya Waste and oraganic waste by composting</t>
  </si>
  <si>
    <t>AutoCAD, MATLAB,  Etabs, Openroad Designer, QGis</t>
  </si>
  <si>
    <t>Webinar on “Road Construction in BC Soils with Stabilization.” held on 20th August 2021, at Civil Engineering Section of SMCE, MIT Academy of Engineering, Alandi, Pune</t>
  </si>
  <si>
    <t>1) Runner Up in State Level 'Bridge Making' competition held on 9th March 2018 in G.P Awasari, Pune.
2) Runner Up in State Level 'LEVEL-IT' competition held on 21 Feb 2019 in G.P Awasari, Pune 
3) Runner Up in State Level 'Techno-Quiz'  in CodeTech Event on 7th March 2019 in G.P. Awasari, Pune.</t>
  </si>
  <si>
    <t xml:space="preserve">1)Completed training at Government College of Engineering, Awasari by GTT Foundation on Employability Skills
2) Excel Training on 15-Aug-21 organised by BIZWIZ.CO.IN
</t>
  </si>
  <si>
    <t>1) Third Winner at Hackathon for rural development organised by Team UBA MITAOE on 15-16 April 2022.
2) Consolation Prize in 'Regional Level Project Competition' on 2 May 2022 by DTE, Pune.
3) Winner in Quiz Competition at TECHNOVIA Event in G.P. Awasari, Pune.
4) Winner in Quiz Competition in ELECTRA Event in G.P. Awasari on 4 March 2020.</t>
  </si>
  <si>
    <t>https://preskilet.com/62a49618589aee0004d9851c</t>
  </si>
  <si>
    <t>https://drive.google.com/open?id=1sGt9PQ4ePHKJEpY6-LjtvXk5ZJXpNhOT</t>
  </si>
  <si>
    <t>https://drive.google.com/open?id=1sJ8hoqcCO1xvscuSVDTyFUDiby4KuJbD</t>
  </si>
  <si>
    <t>https://drive.google.com/open?id=16AH4FAnTW-67zBWMomd_zErYBCT1dwpN</t>
  </si>
  <si>
    <t>https://drive.google.com/open?id=16uN6w0hTnWBkVUo8V2mA4_liUDorBZBY</t>
  </si>
  <si>
    <t>https://drive.google.com/open?id=1fV84R1_PvhllorcgKEdM0tZT7IsfHUBA</t>
  </si>
  <si>
    <t>https://drive.google.com/open?id=1P8IDIFfwdz8sJcWUzNkr_ZzcloZ26tQW</t>
  </si>
  <si>
    <t>https://drive.google.com/open?id=1lL9XUdVLsdrjk75Xb7KcMQqZdrH7Kks5</t>
  </si>
  <si>
    <t>Educational Certificates pdf edited and certificate of completed certification course is added...</t>
  </si>
  <si>
    <t>ajinkya.kad@mitaoe.ac.in</t>
  </si>
  <si>
    <t>0220200154</t>
  </si>
  <si>
    <t xml:space="preserve">AJINKYA </t>
  </si>
  <si>
    <t>KAD</t>
  </si>
  <si>
    <t>https://www.linkedin.com/in/ajinkya-kad -128786214</t>
  </si>
  <si>
    <t>BALASAHEB BHAUSAHEB KAD</t>
  </si>
  <si>
    <t>SUMAN</t>
  </si>
  <si>
    <t>plot no.18, Shivaji nagar,Anusaya nagar,Nagar kalyan road, Ahmednagar.</t>
  </si>
  <si>
    <t>Staad pro virtual internship from Internshala platform</t>
  </si>
  <si>
    <t>Survey of India ,Pune (8 week physical internship)</t>
  </si>
  <si>
    <t>Flood Control System using IOT.</t>
  </si>
  <si>
    <t>Python, HTML</t>
  </si>
  <si>
    <t>AutoCAD, ANSYS, REVIT ,E TAB , STAAD PRO , ARC GIS</t>
  </si>
  <si>
    <t>-Model Making Competition ( Secure 1st position )(Model:  Traffic signal design )
-5 Days workshop on HIT office software.</t>
  </si>
  <si>
    <t xml:space="preserve">Auto CAD </t>
  </si>
  <si>
    <t xml:space="preserve">-Model Making Competition ( Secure 1st position )(Model:  Traffic signal design ).
-Participate in Volleyball tournament in College. 
</t>
  </si>
  <si>
    <t xml:space="preserve">https://preskilet.com/6298598d1eda900004ec102a   </t>
  </si>
  <si>
    <t>https://drive.google.com/open?id=1e2oduT531iKVvAaY3yDVTI12ChzL3bim</t>
  </si>
  <si>
    <t>https://drive.google.com/open?id=1-lJLtIv74lCGeF7zHrdPpLw-TK1TTVie</t>
  </si>
  <si>
    <t>https://drive.google.com/open?id=1FxRG71FydwYGrEtAb3-G8WBE8jzVMho6</t>
  </si>
  <si>
    <t>https://drive.google.com/open?id=1Dx3vHly14VT8saseWGQ2NsqGeUgeZIBJ</t>
  </si>
  <si>
    <t>https://drive.google.com/open?id=1zOkKopLr2WjOF_Nd4jpqPdxEWHtT8Hn9</t>
  </si>
  <si>
    <t>https://drive.google.com/open?id=1EFMFFp1utf9BKD-9ojaJc1cTZh-DEcLe</t>
  </si>
  <si>
    <t>https://drive.google.com/open?id=1dIU0ISIR5OM6OQ3GNlkBnVyErPky1zqA</t>
  </si>
  <si>
    <t>Technical certification and SY amcat report. because it was not available earlier.</t>
  </si>
  <si>
    <t>aakash.rathod@mitaoe.ac.in</t>
  </si>
  <si>
    <t>0220200182</t>
  </si>
  <si>
    <t>AAKASH</t>
  </si>
  <si>
    <t>RATHOD</t>
  </si>
  <si>
    <t>https://www.linkedin.com/in/aakash-rathod-9592b0240</t>
  </si>
  <si>
    <t>PRAKASH NAANHU RATHOD</t>
  </si>
  <si>
    <t>At. Banglatanda , Post. Bidkin, Tq. Paithan, Dist. Aurangabad-431105</t>
  </si>
  <si>
    <t xml:space="preserve">AutoCAD Software from Internshala </t>
  </si>
  <si>
    <t>Creations Engineers Pvt. Ltd. (CEPL)</t>
  </si>
  <si>
    <t>Waste water Treatment with the help of constructed wetland system</t>
  </si>
  <si>
    <t xml:space="preserve">AutoCAD, STAAD PRO, Revit, Open Road Designer, </t>
  </si>
  <si>
    <t xml:space="preserve">Model Making Competition, Quiz Competition </t>
  </si>
  <si>
    <t>HIT Office Software</t>
  </si>
  <si>
    <t>Collage Cricket Match</t>
  </si>
  <si>
    <t>https://preskilet.com/aakash.rathod@mitaoe.ac.in</t>
  </si>
  <si>
    <t>https://drive.google.com/open?id=1cSemBCcPM7fs37RXwC1COYlg0EgxDctm</t>
  </si>
  <si>
    <t>https://drive.google.com/open?id=1e2m-QQU5nFoQ9vMRxadQb-HnnKxwl--h</t>
  </si>
  <si>
    <t>https://drive.google.com/open?id=11VIrB0zhqCWZPTiq4BLvdxMEdmD-sScs</t>
  </si>
  <si>
    <t>https://drive.google.com/open?id=1UG_M_4DL9cUOvxi-a6cjhHeDtStN6jZg</t>
  </si>
  <si>
    <t>https://drive.google.com/open?id=1B8RfaTzsoUEtiBNGN8Sfbaiw9EVfrKvx</t>
  </si>
  <si>
    <t>https://drive.google.com/open?id=1tPzkhZoSmoCE8WlCHvEGXoIxWGjw4zn6</t>
  </si>
  <si>
    <t>https://drive.google.com/open?id=1BoZxRtSj9fxCrnYjpk63EKTF41NJdh20</t>
  </si>
  <si>
    <t>https://drive.google.com/open?id=1qvYYDAftOJnp5DiLldsqIM0z3VIO75Oc</t>
  </si>
  <si>
    <t>https://drive.google.com/open?id=12ZoVeWImG4TyyPZR-WCADCsaMiAGquYV</t>
  </si>
  <si>
    <t>https://drive.google.com/open?id=1sJoaYa1xBwB_aep8vOvO3SC7ZZrtkgge</t>
  </si>
  <si>
    <t xml:space="preserve">AMCAT Report </t>
  </si>
  <si>
    <t>madhura.irlaaplle@mitaoe.ac.in</t>
  </si>
  <si>
    <t>0220200123</t>
  </si>
  <si>
    <t>MADHURA</t>
  </si>
  <si>
    <t>PANDURANG</t>
  </si>
  <si>
    <t>IRLAAPLLE</t>
  </si>
  <si>
    <t>www.linkedin.com/in/madhurra-irlaaplle-517733228</t>
  </si>
  <si>
    <t>MU. PO. DEVANGRA, TAL- CHAKUR , DIST- LATUR  , PIN CODE 413581</t>
  </si>
  <si>
    <t>KATE COLONY , NEAR DEHU PHATA  ALANDI , PUNE</t>
  </si>
  <si>
    <t xml:space="preserve">CV307T
CV305T
CS 361T
CV306T
CV342L
</t>
  </si>
  <si>
    <t xml:space="preserve">CV232L 
</t>
  </si>
  <si>
    <t xml:space="preserve">AUTODESK REVIT  </t>
  </si>
  <si>
    <t>ONLINE INTERNSHIP OF SOFTWARE - AUTODESK REVIT</t>
  </si>
  <si>
    <t>AT DAPODI  METRO  - WORKING UNDER BBG INFRASTRUCTURE LIM. WITH COLLABORATION PUNE METRO.</t>
  </si>
  <si>
    <t xml:space="preserve">Structural Performance of Light Gauge Steel Stud Wall Systems
</t>
  </si>
  <si>
    <t xml:space="preserve">AutoCAD, Fusion 360, MATLAB, REVIT , ETABS , STADD PRO ,  MS EXCEL </t>
  </si>
  <si>
    <t xml:space="preserve">PARTICIPATED IN INTRT COLLAGE SPORTS IN KHO-KHO WON 2ND PRIZE AND BADMINTON
</t>
  </si>
  <si>
    <t>https://preskilet.com/watch?v=62ba7b6c2a08150004abbaa2</t>
  </si>
  <si>
    <t>https://drive.google.com/open?id=1t8N6ZdMYA7ye4iC7Lbxx_GU19Ix10SHC</t>
  </si>
  <si>
    <t>https://drive.google.com/open?id=17XfgOy6SMuLQ_AIekQXy7dwqrfqjhtPr</t>
  </si>
  <si>
    <t>https://drive.google.com/open?id=179qx6c56CU5oNpFsE4scVsI_JGvXar60</t>
  </si>
  <si>
    <t>https://drive.google.com/open?id=1EB2U_l9tWLVcvQOaYpm-4I0UrintwcuB</t>
  </si>
  <si>
    <t>https://drive.google.com/open?id=1P_q37SCHAGyfr2jYVj7Lrl_UO-wle9Xo</t>
  </si>
  <si>
    <t>https://drive.google.com/open?id=1-PpwhAu5P_Bf3l7VQdTLYzYBSIu_lD72</t>
  </si>
  <si>
    <t>0120190376</t>
  </si>
  <si>
    <t>SHREYASH</t>
  </si>
  <si>
    <t>SAKHARWADE</t>
  </si>
  <si>
    <t>shreyashsakharwade321@gmail.com</t>
  </si>
  <si>
    <t>https://www.linkedin.com/in/shreyash-sakharwade-97871a211</t>
  </si>
  <si>
    <t>SHARAD LAXMANRAO SAKHARWADE</t>
  </si>
  <si>
    <t>SUNITA SHARAD SAKHARWADE</t>
  </si>
  <si>
    <t>House No.205, Ganesh Nagar, Canal Road, Khat Road, Bhandara - 441904</t>
  </si>
  <si>
    <t>Microsoft - Introduction to Programming using Python</t>
  </si>
  <si>
    <t xml:space="preserve">Programming for Everybody (Getting Started with Python) - Coursera
Autodesk Certified Professional: AutoCAD for Design and Drafting Exam Prep - Coursera
Python Data Structures - Coursera </t>
  </si>
  <si>
    <t xml:space="preserve">Training on STAAD Pro - Internshala
MATLAB Onramp
Curriculum Development NGO internship - Team Everest - Internshala (Received letter of recommendation)
</t>
  </si>
  <si>
    <t>Ongoing Internship - MAHA Metro Corporation Ltd. Pune</t>
  </si>
  <si>
    <t>MAHA Metro Corporation Ltd. Pune</t>
  </si>
  <si>
    <t>B.E.</t>
  </si>
  <si>
    <t>AutoCAD, Fusion 360, Proteus, MATLAB, Revit, STAAD Pro, QGIS, ETABS, WATER-GEMS</t>
  </si>
  <si>
    <t>Currently serving as Secretary of IGS 9th Chapter PUNE at MIT-AOE
Taken parts in sports including Kabaddi, Volleyball and Kho-Kho
Have completed NGO Social work internship on content writing organised by Team Everest
Have won 2nd price in sketching competition organised by Forces 
Have taken part in NIRMITTE event in WPU For Paper Presentation 
Have taken part in presentation at AISSMS College for major project presentation</t>
  </si>
  <si>
    <t>STAAD Pro Training - Internshala</t>
  </si>
  <si>
    <t>Have served as volunteer in social work internship program organized by TEAM EVEREST and have received letter of recommendation
Have Taken parts in sports including Kabaddi, Volleyball and Kho-Kho</t>
  </si>
  <si>
    <t>https://preskilet.com/watch?v=62a4e486589aee0004d9866f</t>
  </si>
  <si>
    <t>https://drive.google.com/open?id=1SHaMHS5BWoWPzUd6RiNOG194GcyEUrdh</t>
  </si>
  <si>
    <t>https://drive.google.com/open?id=15W8HsNrMMNTmkwsk8fRB_DOHZbJSff2n</t>
  </si>
  <si>
    <t>https://drive.google.com/open?id=1MjXe5I7U1ZVWMTNol6Yx1wRFspCbfC-P</t>
  </si>
  <si>
    <t>https://drive.google.com/open?id=1RD5yXxbcF-knDjhjeLJM9FAnxjrUKxeL</t>
  </si>
  <si>
    <t>https://drive.google.com/open?id=1rUAopjIN2Y9Vr1loBrnWYQ8lBU8_-WQL</t>
  </si>
  <si>
    <t>https://drive.google.com/open?id=1ZLB4Ee8YNXLlPujWnJ7M6iz6tdaS5Tpm</t>
  </si>
  <si>
    <t>0120190561</t>
  </si>
  <si>
    <t>YOGAM</t>
  </si>
  <si>
    <t xml:space="preserve">MAHENDRA </t>
  </si>
  <si>
    <t>yogamdekate1404@gmail.com</t>
  </si>
  <si>
    <t>https://www.linkedin.com/in/yogam-dekate-776881241</t>
  </si>
  <si>
    <t>MAHENDRA DEKATE</t>
  </si>
  <si>
    <t>NITU DEKATE</t>
  </si>
  <si>
    <t>PLOT NO 134 RAM NAGAR KHAT ROAD,BHANDARA</t>
  </si>
  <si>
    <t>KAUSHALYA HOSTEL BEHIND ATITHI HOTEL ,NEAR MIT ACADEMEY OF ENGINEERING,ALANDI PUNE</t>
  </si>
  <si>
    <t>ENGINEERING GRAPHICS</t>
  </si>
  <si>
    <t>MICROSOFT - Introduction to Programming Using Python</t>
  </si>
  <si>
    <t>PROGRAMMING FOR EVERYBODY GETTING START WITH PYTHON - Coursera</t>
  </si>
  <si>
    <t>MATLAB ONRAMP
STADPRO - Internshala</t>
  </si>
  <si>
    <t>MAHAMETRO CARPORATION LIMITED, PUNE (ONGOING)</t>
  </si>
  <si>
    <t>MAHAMETRO CARPORATION LIMITED PUNE</t>
  </si>
  <si>
    <t>AutoCAD, Fusion 360, ANSYS, Proteus, MATLAB, REVIT, STADPRO,QGIS,ETABS,WATERGEMS</t>
  </si>
  <si>
    <t>1)I WAS THE MEMBER OF AJANVRIKSHA CLUB IN ART SECTION IN MITAOE IN FIRST YEARMEMBER OF ART CLUB IN MITAOE IN FIRST YEAR
2)3RD RANK IN DRAWING COMPETITION HELD BY FORCES CLUB IN MITAOE
3)CERTIFICATION OF PARTICIPATION IN INAUGURAL OF 9TH CHAPTER OF INDIAN GEOTECHNICAL SOCIETY ALSO I AM THE MEMBER OF IGS TEAM
4)TAKEN PART IN KHO KHO AND WE ACHIEVED 2ND RANK AS A TEAM IN 3RD YEAR AND WON THE SHIELD</t>
  </si>
  <si>
    <t>STADPRO TRAINING(INTERNSHALA)</t>
  </si>
  <si>
    <t>I WAS THE MEMBER OF AJANVRIKSHA CLUB IN ART SECTION IN MITAOE IN FIRST YEARMEMBER OF ART CLUB IN MITAOE IN FIRST YEAR
3RD RANK IN DRAWING COMPETITION HELD BY FORCES CLUB IN MITAOE</t>
  </si>
  <si>
    <t>https://preskilet.com/watch?v=62a4fe4da3b5410004f4eae3</t>
  </si>
  <si>
    <t>https://drive.google.com/open?id=17a1oi98raAsr5C-2vGnKiBv3ETb0-RNi</t>
  </si>
  <si>
    <t>https://drive.google.com/open?id=1vMfA3dA822Rfz4hSIpTh1VOx41-ucJjh</t>
  </si>
  <si>
    <t>https://drive.google.com/open?id=1yTYaoxPZZlj9d5Sue19S3P6A22sl2mNS</t>
  </si>
  <si>
    <t>https://drive.google.com/open?id=1vYBQnzNDO0dzEtUXCOBdbYQQ3TsWj2dA</t>
  </si>
  <si>
    <t>https://drive.google.com/open?id=1NKNOwQv0R7_T-GwGdLUp_QifS73wewwh</t>
  </si>
  <si>
    <t>https://drive.google.com/open?id=1ZY4V1gA92MxqvGDYPDBVxhHLYH9bd00c</t>
  </si>
  <si>
    <t>0120190434</t>
  </si>
  <si>
    <t>VEDIKA</t>
  </si>
  <si>
    <t>BHANUDAS</t>
  </si>
  <si>
    <t>RAUT</t>
  </si>
  <si>
    <t>rautvedika2712@gmail.com</t>
  </si>
  <si>
    <t xml:space="preserve">vbraut@mitaoe.ac.in </t>
  </si>
  <si>
    <t>https://www.linkedin.com/in/vedika-raut-284b3a210</t>
  </si>
  <si>
    <t xml:space="preserve">BHANUDAS </t>
  </si>
  <si>
    <t>APARNA</t>
  </si>
  <si>
    <t>90 4 new shrikrushna colony, karanje turf satara</t>
  </si>
  <si>
    <t>CH101T
CV102T
CV215L
CV361T
CV342T</t>
  </si>
  <si>
    <t>98-381:MTA:Introduction to programming using python</t>
  </si>
  <si>
    <t>REVIT</t>
  </si>
  <si>
    <t xml:space="preserve">Ongoing internship on construction site with Hestia developers Pvt Ltd </t>
  </si>
  <si>
    <t>Developing A Model for defining susceptibility index for earthquake and landslide for a region.</t>
  </si>
  <si>
    <t>Regional level project competition</t>
  </si>
  <si>
    <t xml:space="preserve">Getting started with Pyhton
Python data structures 
(Coursera)
</t>
  </si>
  <si>
    <t>https://preskilet.com/vbraut@mitaoe.ac.in</t>
  </si>
  <si>
    <t>https://drive.google.com/open?id=19PnJq2Mai7xcUBMahxRrfgKq9440Dl-I</t>
  </si>
  <si>
    <t>https://drive.google.com/open?id=1wDPfNaIIMelrVxjatoigZhQmigKXuPGX</t>
  </si>
  <si>
    <t>https://drive.google.com/open?id=1iOTWbAuUNvI6xjVuAHYC0i-r2s7s_BJy</t>
  </si>
  <si>
    <t>https://drive.google.com/open?id=1cmc6n0oMDxKXS5S3_aZ8nEj0_KTm3I6H</t>
  </si>
  <si>
    <t>https://drive.google.com/open?id=1Gzwg9GxotupMy3VypPnS6QTX9j7nus0c</t>
  </si>
  <si>
    <t>0120190435</t>
  </si>
  <si>
    <t>SHRUTI</t>
  </si>
  <si>
    <t>MANE</t>
  </si>
  <si>
    <t>shruti.mane.2511@gmail.com</t>
  </si>
  <si>
    <t>www.linkedin.com/in/shruti-mane-b1179a241</t>
  </si>
  <si>
    <t>PRAKASH VAYANKTRAO MANE</t>
  </si>
  <si>
    <t>SUJATA PRAKASH MANE</t>
  </si>
  <si>
    <t>63/3/5 PLOT NO 5 NEW VIKASNAGR KHED, SATARA</t>
  </si>
  <si>
    <t>GOKULDHAM SOCIETY FLAT NO 101,DEHU PHATA</t>
  </si>
  <si>
    <t>AS105T
AS106T
CS101T
EX102T
ME104L
ME104T
CV215T
CS361T
CV305T
CV342L</t>
  </si>
  <si>
    <t xml:space="preserve">98-381:MTA:Introduction to Programming using python </t>
  </si>
  <si>
    <t>I have done my SY summer internship On internshala platform in Revit course .</t>
  </si>
  <si>
    <t>I'm currently doing internship  in Hestia Developer Pvt.Ltd. In satara .</t>
  </si>
  <si>
    <t>Developing A Model for defining susceptibility index for earthquake and landslide for a region</t>
  </si>
  <si>
    <t>Operational Research</t>
  </si>
  <si>
    <t>AutoCAD, Fusion 360, MATLAB, Revit,Watergems,Etab,QGIS</t>
  </si>
  <si>
    <t>Participate in 'Regional Level Project Competition' on 2nd May 2022 by DTE, pune.</t>
  </si>
  <si>
    <t>Programming for Everyday(Getting Started With Python)</t>
  </si>
  <si>
    <t>https://preskilet.com/watch?v=62b54765af4f2700045cdaa8</t>
  </si>
  <si>
    <t>https://drive.google.com/open?id=1FhWtzVAmZ76PWReOZhWFw9iaiyfQrb1I</t>
  </si>
  <si>
    <t>https://drive.google.com/open?id=1mmR4K1-SWNHCdwfSsLQn-SZmseD1xaJi</t>
  </si>
  <si>
    <t>https://drive.google.com/open?id=1uTmgguEiQllgCkMQklqeG2OCn_tUEwig</t>
  </si>
  <si>
    <t>https://drive.google.com/open?id=1ChHGWuNI4njMHf5eJysOGSrZ12tsG0h2</t>
  </si>
  <si>
    <t>https://drive.google.com/open?id=1dFCzUf-jRYL-tUz0Nw8eYVYBi_jFRch9</t>
  </si>
  <si>
    <t>0120190115</t>
  </si>
  <si>
    <t>TANAJI</t>
  </si>
  <si>
    <t xml:space="preserve">JAGTAP </t>
  </si>
  <si>
    <t>tejaljagtap77@gmail.com</t>
  </si>
  <si>
    <t>https://www.linkedin.com/in/tejal-jagtap-ba25a523b</t>
  </si>
  <si>
    <t xml:space="preserve">TANAJI JAGTAP </t>
  </si>
  <si>
    <t xml:space="preserve">LATA JAGTAP </t>
  </si>
  <si>
    <t>post kudashi kaksewad tal sakri dist dhule</t>
  </si>
  <si>
    <t xml:space="preserve">near mitaoe alandi </t>
  </si>
  <si>
    <t>infosys springboard python</t>
  </si>
  <si>
    <t>3D Autocad designing, fusion 360, Revit software, Python programming, Matlab Onramp, python spring board</t>
  </si>
  <si>
    <t>know how school internship center</t>
  </si>
  <si>
    <t>Arts club mitaoe</t>
  </si>
  <si>
    <t xml:space="preserve">Revit Training, know how school </t>
  </si>
  <si>
    <t xml:space="preserve">drawing competition, </t>
  </si>
  <si>
    <t>https://drive.google.com/file/d/1liremEdiW-D0fMwApR3u8wtUUNzpDJtD/view?usp=drivesdk</t>
  </si>
  <si>
    <t>https://drive.google.com/open?id=1LkOpzP1XZKGcx9BIjrDuHsmW_8ygFVnp</t>
  </si>
  <si>
    <t>https://drive.google.com/open?id=1HXpQe6uWYrLnZ6AlICqBAOkoz6G8RHum</t>
  </si>
  <si>
    <t>https://drive.google.com/open?id=1sLXmFByl_E7h6vI34KjddFN81lZjqeyj</t>
  </si>
  <si>
    <t>YASHVARDHAN</t>
  </si>
  <si>
    <t>BHISE</t>
  </si>
  <si>
    <t>bhisechotu@gmail.com</t>
  </si>
  <si>
    <t>https://www.linkedin.com/in/yashvardhan-bhise-b569581a4</t>
  </si>
  <si>
    <t>KALYANI</t>
  </si>
  <si>
    <t>Aryan Garden, Balikashram Road, Sudke mala, Ahmednagar</t>
  </si>
  <si>
    <t>Matoshree Boys Hostel, Near athiti hotel, alandi</t>
  </si>
  <si>
    <t>Microsoft Azure AI Fundamentals</t>
  </si>
  <si>
    <t>AWS Academy Graduate - AWS Academy Cloud Foundations</t>
  </si>
  <si>
    <t>AWS Cloud practitioner</t>
  </si>
  <si>
    <t xml:space="preserve">Done certification of Responsive Web Design
on free code camp </t>
  </si>
  <si>
    <t>celebal technologies</t>
  </si>
  <si>
    <t>Phishing website detection using ML</t>
  </si>
  <si>
    <t>Cloud Computing</t>
  </si>
  <si>
    <t>Attended Ethical Hacking Workshop at COEP</t>
  </si>
  <si>
    <t>Ethical Hacking Workshop At COEP pune AT 2019</t>
  </si>
  <si>
    <t>https://preskilet.com/watch?v=62a380e8a6956a00046004f8</t>
  </si>
  <si>
    <t>https://drive.google.com/open?id=1Mh0xT_6DBWHItMvnLOmNS8pfRhS8lIbG</t>
  </si>
  <si>
    <t>https://drive.google.com/open?id=1Cypk2XeEwCtL-XQCyGVAGiwgBh6DmgPd</t>
  </si>
  <si>
    <t>https://drive.google.com/open?id=1QtSeKHUL10VeeKngd62cR1jC2iXFSF0T</t>
  </si>
  <si>
    <t>https://drive.google.com/open?id=1zzffRZKiJtIOWobWayzCPHD-dW5AUYoZ</t>
  </si>
  <si>
    <t>https://drive.google.com/open?id=1uZ7Oz6cceBpqFOBCElZVyXJxcbMom0yY</t>
  </si>
  <si>
    <t>https://drive.google.com/open?id=1HB_gZqPJomN9CIWm9i1oFDkKM6R80TFu</t>
  </si>
  <si>
    <t>https://drive.google.com/open?id=1g8MTwkfhLekBCtM5iJDrNPZPgku49GW3</t>
  </si>
  <si>
    <t>https://drive.google.com/open?id=1DyYxMfwL7nswgq5lvSK3g6oPF5pPAFSc</t>
  </si>
  <si>
    <t>amcat score problem</t>
  </si>
  <si>
    <t>KETAKI</t>
  </si>
  <si>
    <t xml:space="preserve">GANESH </t>
  </si>
  <si>
    <t>MANKAR</t>
  </si>
  <si>
    <t>mankarketaki2001@gmail.com</t>
  </si>
  <si>
    <t>https://www.linkedin.com/in/ketaki-mankar-8680041aa/</t>
  </si>
  <si>
    <t>GANESH MANKAR</t>
  </si>
  <si>
    <t>ANITA MANKAR</t>
  </si>
  <si>
    <t>29/7 Vastu Udyog Colony, Ajmera Housing Society road, Pimpri Pune- 411018</t>
  </si>
  <si>
    <t>Microsoft DP-900: Microsoft Azure Data Fundamental</t>
  </si>
  <si>
    <t>Microsoft AI-900: Microsoft Azure AI Fundamentals</t>
  </si>
  <si>
    <t>Zensar Technologies</t>
  </si>
  <si>
    <t>Training in HTML5, CSS from Coursera</t>
  </si>
  <si>
    <t>Spark Foundation - Web Development Intern</t>
  </si>
  <si>
    <t>Critical AI - working in the area of AI ML</t>
  </si>
  <si>
    <t>Data Science</t>
  </si>
  <si>
    <t xml:space="preserve">Student Council member of computer department
Organizing Coding Events in college
worked as a team lead in one of the club in my college
</t>
  </si>
  <si>
    <t>Won 1st prize in State level project competition in Book recommendation system project.</t>
  </si>
  <si>
    <t>Canvas Painting
Team Building
Organizing events in clubs</t>
  </si>
  <si>
    <t>https://preskilet.com/watch?v=62b4456e30b28000045231c4</t>
  </si>
  <si>
    <t>https://drive.google.com/open?id=1UvGYrSlqziGZS93xqiCJYNbkE3aWZ29V</t>
  </si>
  <si>
    <t>https://drive.google.com/open?id=1FNTCMvxeI8zC8EV52YqGBukE0aiSTkcV</t>
  </si>
  <si>
    <t>https://drive.google.com/open?id=16D8AbRHCh1-MU6JouEjwDbqAjCOj49vR</t>
  </si>
  <si>
    <t>https://drive.google.com/open?id=18ZnT6HVG-cbRNxRuhcx9J2LwrjDziNGH</t>
  </si>
  <si>
    <t>https://drive.google.com/open?id=1p14kZ8Z4_ElhBQ1TOUdOYpfbDBSG8dvh</t>
  </si>
  <si>
    <t>https://drive.google.com/open?id=1LJ5FzHPQ0K8iM6Pe899I4KCvXOKhfrhK</t>
  </si>
  <si>
    <t>TANISHA</t>
  </si>
  <si>
    <t>NAZARE</t>
  </si>
  <si>
    <t>tanishanazare@gmail.com</t>
  </si>
  <si>
    <t>www.linkedin.com/in/tanisha-nazare</t>
  </si>
  <si>
    <t>D1-304, Blue Dice Society, Dehu-Alandi Road, Near Rustic Society, Chikhali, Pune -411062</t>
  </si>
  <si>
    <t xml:space="preserve">ME105T - Engineering Graphics, AS105T - Calculus and Differential Equations. </t>
  </si>
  <si>
    <t>Microsoft DP-900 - Microsoft Data Fundamentals</t>
  </si>
  <si>
    <t>Google Data Analytics Professional Course</t>
  </si>
  <si>
    <t>Faced difficulties like Understanding the concepts which were related to Cloud.</t>
  </si>
  <si>
    <t>Content Writer at The Dridh Sankalp Foundation.</t>
  </si>
  <si>
    <t>Data Analytics Intern at Sparks Foundation where I used unsupervised and supervised learning in Python and Java Intern in the Ten: Labs for Java where I made some sample programs in SwaggerUI software.</t>
  </si>
  <si>
    <t>Data Analytics Intern in Critical AI Pvt Ltd where I built some algorithms using Python.</t>
  </si>
  <si>
    <t>Automatic Text Recognition</t>
  </si>
  <si>
    <t>Angular, Flask (Python)</t>
  </si>
  <si>
    <t>Project Expo 2022, Smart India Hackathon 2022, Datathon 2022</t>
  </si>
  <si>
    <t>News and Media Team Leader in ASSCET and Content Writer in E-Cell during FY.</t>
  </si>
  <si>
    <t>https://preskilet.com/watch?v=62977a095545ea0004a92727</t>
  </si>
  <si>
    <t>https://drive.google.com/open?id=1Iuqzk1M4DAxU0PYZFiTaNrrfY1VrNR_a</t>
  </si>
  <si>
    <t>https://drive.google.com/open?id=1MCBQ_LIRtPJlLpz-LqzIeMuepSLtmXjN</t>
  </si>
  <si>
    <t>https://drive.google.com/open?id=1p14LmdNQcmfc1T1vZCsOu4rkhEbauQcR</t>
  </si>
  <si>
    <t>https://drive.google.com/open?id=12A865TokcshXe-bWykqI3b808_r-S85m</t>
  </si>
  <si>
    <t>https://drive.google.com/open?id=1XD1d_vMMlTHdCUOuciaivoNGT5eVlIN9</t>
  </si>
  <si>
    <t>https://drive.google.com/open?id=1kP1KHz2mxgguRKwXzsNi-6mnIAmSsK0p</t>
  </si>
  <si>
    <t>https://drive.google.com/open?id=15jgJaJq-IFQysvjXy-Iu7Nk2AgoMrpkN</t>
  </si>
  <si>
    <t>https://drive.google.com/open?id=1w6mFhj5TsBvnsI1NzJbZmX1leD4juVHp</t>
  </si>
  <si>
    <t>Amcat in detail Results as they were not declared before</t>
  </si>
  <si>
    <t>VAISHNAVI</t>
  </si>
  <si>
    <t>JADHAV</t>
  </si>
  <si>
    <t>vaishnavijadhav2023@gmail.com</t>
  </si>
  <si>
    <t>https://www.linkedin.com/in/vaishnavi-jadhav-31a7911aa</t>
  </si>
  <si>
    <t>SONALI</t>
  </si>
  <si>
    <t>At post thergaon, tq-shirur anatpal district-latur
413524</t>
  </si>
  <si>
    <t>Microsoft AI-900: Microsoft Azure AI fundamentals</t>
  </si>
  <si>
    <t>Oracle Cloud Infrastructure Foundations 2021 Certified Associate</t>
  </si>
  <si>
    <t>Tathastu  Data Science and Machine Learning Intern</t>
  </si>
  <si>
    <t xml:space="preserve">Data Science Internship by VIEH private limited </t>
  </si>
  <si>
    <t>Devanagari Handwritten  Character Recognition System</t>
  </si>
  <si>
    <t>AI/ML</t>
  </si>
  <si>
    <t>Python, Java, C/C++, HTML, CSS, JavaScript, XML</t>
  </si>
  <si>
    <t>Android Development (Java/Kotlin), Angular, Spring &amp; Hibernate (Java)</t>
  </si>
  <si>
    <t>Fusion 360, Figma, Adobe XD, MATLAB</t>
  </si>
  <si>
    <t xml:space="preserve">DATATHON 2022(National level) for machine learning skills and project presentation 
Pragya 2020(National level) for switch hero coding competition
Skill building workshop  on "Arduino"  </t>
  </si>
  <si>
    <t>Industrial Training on Angular Development by Mindlabz software solution pune</t>
  </si>
  <si>
    <t>https://preskilet.com/watch?v=62a39600a6956a0004600975</t>
  </si>
  <si>
    <t>https://drive.google.com/open?id=1coYh4oFo6iL6piaMaJPm5VRwCwvd5jiF</t>
  </si>
  <si>
    <t>https://drive.google.com/open?id=1HN0Ft9BefDjcsySQUuu5sn3F00PWX72B</t>
  </si>
  <si>
    <t>https://drive.google.com/open?id=1LRmNojzl8QEMqIQsh0OfMwS3X0KEr_vv</t>
  </si>
  <si>
    <t>https://drive.google.com/open?id=13DZ4QiDD7YGq0g6Vq79GOcb31BvIo67V</t>
  </si>
  <si>
    <t>https://drive.google.com/open?id=1Ps5HFHlPACff7Dy2TMs2Hyx7AIsNlFAW</t>
  </si>
  <si>
    <t>https://drive.google.com/open?id=1lustKDN0nDPhIa_6lScFgbKXs1XwqJD6</t>
  </si>
  <si>
    <t>https://drive.google.com/open?id=1r3SMjHFLmA8pJxhXPmGQGPF-of2rxORK</t>
  </si>
  <si>
    <t>https://drive.google.com/open?id=1gdEgat4mDl1vCHtD3P0GDK1Xzcd18DE_</t>
  </si>
  <si>
    <t>Change in Internship Certifications , Change in Technical Certifications</t>
  </si>
  <si>
    <t>0120190049</t>
  </si>
  <si>
    <t>BAJIRAO</t>
  </si>
  <si>
    <t>vaibhavpatil4240@gmail.com</t>
  </si>
  <si>
    <t>https://www.linkedin.com/in/vaibhav-patil-04756a213/</t>
  </si>
  <si>
    <t>A/P: Khupire, Tal: Karvir, Dist: Kolhapur, 416205</t>
  </si>
  <si>
    <t>Microsoft AI-900: Microsoft Azure AI</t>
  </si>
  <si>
    <t>Google Cloud Fundamentals: Core Infrastructure</t>
  </si>
  <si>
    <t>Comlpeted web development training and project at Verzeo</t>
  </si>
  <si>
    <t>Worked as a Android full stack development intern at CodeKul Pvt. Ltd. Developed an android app to stream videos from Vimeo. Technology stack used, Android(Java), Spring Boot, MySQL</t>
  </si>
  <si>
    <t>Worked as a R&amp;D Intern at BMC software.</t>
  </si>
  <si>
    <t>Devanagari handwritten character recognition system</t>
  </si>
  <si>
    <t>Python, Java, C/C++, PHP</t>
  </si>
  <si>
    <t>Android Development (Java/Kotlin), Flask (Python)</t>
  </si>
  <si>
    <t>Fusion 360, Proteus, MATLAB, Blender 3D</t>
  </si>
  <si>
    <t>Participated in Datathon 2022,
Participated in Unnat Bharat Abhiyan 2022.</t>
  </si>
  <si>
    <t>Learning fundamentals of Kubernetes by Civo</t>
  </si>
  <si>
    <t>https://preskilet.com/watch?v=62bd681b9535010004fd254c</t>
  </si>
  <si>
    <t>https://drive.google.com/open?id=1giY788fHWpXlfjjGN9EjD5cY9_HvSAh7</t>
  </si>
  <si>
    <t>https://drive.google.com/open?id=1Gn3nR1spnZw0Uy-GEIe6g2CX4Nn-fJ5n</t>
  </si>
  <si>
    <t>https://drive.google.com/open?id=114vjyx_h4xf6Hurj51PQtxn2aOO7vibA</t>
  </si>
  <si>
    <t>https://drive.google.com/open?id=1UW_dLzt1XiQGmp1_R-28s4qi7JQ5Ammw</t>
  </si>
  <si>
    <t>https://drive.google.com/open?id=1bxCD9ojp5rRlIirn3jrZqmpp7h1VRpby</t>
  </si>
  <si>
    <t>https://drive.google.com/open?id=1SoPzNJoqcw_n-LDjqCM_jsxpnC-CrB6V</t>
  </si>
  <si>
    <t>https://drive.google.com/open?id=1KPBquE2Lv1Y-5f4hJFagaRlgno1CmT-l</t>
  </si>
  <si>
    <t>https://drive.google.com/open?id=1R4QGsuIJCr8rmC0qRDevxV_mm-uN7q81</t>
  </si>
  <si>
    <t>Internship Certificates, Technical Certifications- Added new one
Educational Certifications : Updated to correct ones</t>
  </si>
  <si>
    <t>0120190054</t>
  </si>
  <si>
    <t>SHUBHAM</t>
  </si>
  <si>
    <t>IRBA</t>
  </si>
  <si>
    <t>KENDRE</t>
  </si>
  <si>
    <t>shubhamkendre221@gmail.com</t>
  </si>
  <si>
    <t>https://www.linkedin.com/in/shubham-kendre-a7ba28221</t>
  </si>
  <si>
    <t>IRBA PANDURANG KENDRE</t>
  </si>
  <si>
    <t>NIRMALA IRBA KENDRE</t>
  </si>
  <si>
    <t>Gut.No 168, Plot.NO 65, Ganeshnagar, CIDCO Waluj Mahanagar-1, Aurangabad</t>
  </si>
  <si>
    <t>Dehu Phata, Alandi, Pune</t>
  </si>
  <si>
    <t>Oracle Certified Foundations Associate</t>
  </si>
  <si>
    <t>Course:- Programming for Everybody (Getting Started with Python)</t>
  </si>
  <si>
    <t>Course:- Machine Learning: A case study Approach</t>
  </si>
  <si>
    <t>Persistent Systems Ltd. Martian Program 2022</t>
  </si>
  <si>
    <t>Devanagari Handwritten Character Recognition using CNN</t>
  </si>
  <si>
    <t>Python, Java, C/C++, HTML, CSS, JavaScript, Dart</t>
  </si>
  <si>
    <t>Android Development (Java/Kotlin), Angular, Spring &amp; Hibernate (Java), Django (Python), Flutter App Development</t>
  </si>
  <si>
    <t>AutoCAD, Fusion 360, CATIA, Proteus, MATLAB</t>
  </si>
  <si>
    <t>1. Datathon for Machine Learning Problem Statements
2. Unnat Bharat Abhiyan - Hackathon for Rural Development
3. Smart India Hackathon</t>
  </si>
  <si>
    <t>4th ranker at Datathon for Machine Learning Problem Statements</t>
  </si>
  <si>
    <t xml:space="preserve">1. Sports Event (played Cricket, Kho-Kho) in Nakshatra 2022
2. Drama in Cultural Event of Nakshatra 2022 </t>
  </si>
  <si>
    <t>https://preskilet.com/sikendre@mitaoe.ac.in</t>
  </si>
  <si>
    <t>https://drive.google.com/open?id=1RJ3-WNvcHB3Gwed7RGMWbnTSFBbpDQOb</t>
  </si>
  <si>
    <t>https://drive.google.com/open?id=1juvZnt6uvxrgfGJYAEEzWSvkaa9jTPl9</t>
  </si>
  <si>
    <t>https://drive.google.com/open?id=1tBemWO0vwhJgFKPpxflxTSSkG54JFSde</t>
  </si>
  <si>
    <t>https://drive.google.com/open?id=1EIloCCPb1_kgY6_CGKX7VQzLipp7ZlQ4</t>
  </si>
  <si>
    <t>https://drive.google.com/open?id=1_uQSRwP4mC-qsEsRkfW4JAczU0ZL6tgj</t>
  </si>
  <si>
    <t>Nothing is updated, I just uploaded Technical Certificate and SY Amacat Report which was previously not uploaded.</t>
  </si>
  <si>
    <t>0120190065</t>
  </si>
  <si>
    <t>VITTHAL</t>
  </si>
  <si>
    <t>SAI</t>
  </si>
  <si>
    <t>KAUL</t>
  </si>
  <si>
    <t>vitthalsai2001@gmail.com</t>
  </si>
  <si>
    <t>https://www.linkedin.com/in/vitthal-sai-kaul-515118200/</t>
  </si>
  <si>
    <t>ASHWANI KAUL</t>
  </si>
  <si>
    <t>BHARTI KAUL</t>
  </si>
  <si>
    <t>1734,Sector-37,Arun Vihar,Noida,UP-201303</t>
  </si>
  <si>
    <t>3Q-35, Lotus A, Aditya Garden City, Warje, Pune-58- 411058</t>
  </si>
  <si>
    <t>Microsoft AZ-900: Microsoft Azure Fundamentals</t>
  </si>
  <si>
    <t xml:space="preserve">
Amazon Certified Cloud Practitioner </t>
  </si>
  <si>
    <t>Microsoft AZ-104: Azure Administrator</t>
  </si>
  <si>
    <t>Codekul; - The Gurukul for Coders! Web Development Intern. Work as a web development intern where I developed with a team Resource Management System. The tech stack used for the project was React JS, Springboot, MySQL</t>
  </si>
  <si>
    <t>Celebal Technologies worked as Cloud Infra Intern</t>
  </si>
  <si>
    <t>Storage Cloud Federation on a Multi-Cloud Platform</t>
  </si>
  <si>
    <t>Node.js</t>
  </si>
  <si>
    <t>French</t>
  </si>
  <si>
    <t>Attended KubeCon+Cloud NativeCon EU,North America and KCD Bengaluru and KCD Chennai</t>
  </si>
  <si>
    <t>https://preskilet.com/watch?v=6297a7685545ea0004a929f4</t>
  </si>
  <si>
    <t>https://drive.google.com/open?id=12KH7aOxn9EDJ2ZFp5QBM4P5sP9jD7LH7</t>
  </si>
  <si>
    <t>https://drive.google.com/open?id=1LpTACr6XKLAugBDcI7QZf1qwO1Y9V1VJ</t>
  </si>
  <si>
    <t>https://drive.google.com/open?id=1EdRFDI7JuRQkOL1yb_xLsFaqRYMIX-0t</t>
  </si>
  <si>
    <t>https://drive.google.com/open?id=1JtULF8kpn-xqFc1f7LHpQxXzdoGwRyXP</t>
  </si>
  <si>
    <t>https://drive.google.com/open?id=1T-AP1m8SDZZYkTBWOIGqCLxrwyE1Sw2q</t>
  </si>
  <si>
    <t>https://drive.google.com/open?id=1wIucH5MLvxuJEVbz_Dn3VGnet3Jgrdo_</t>
  </si>
  <si>
    <t>0120190067</t>
  </si>
  <si>
    <t>NAYAN</t>
  </si>
  <si>
    <t>BAPU</t>
  </si>
  <si>
    <t>NIRVIKAR</t>
  </si>
  <si>
    <t>nirvikarnayan@gmail.com</t>
  </si>
  <si>
    <t>nbnirvikar@gmail.com</t>
  </si>
  <si>
    <t>https://www.linkedin.com/in/nayan-nirvikar-9b534819b/</t>
  </si>
  <si>
    <t>BAPU NIRVIKAR</t>
  </si>
  <si>
    <t>VIDYA NIRVIKAR</t>
  </si>
  <si>
    <t>Narayan Nagar, Amgaon dist. Gondia 441902</t>
  </si>
  <si>
    <t>OCI Foundations 2021 Associate</t>
  </si>
  <si>
    <t>Pheonixgen System Pune</t>
  </si>
  <si>
    <t>Alpha Alternatives LLP Algorithmic Trading Developer Intern</t>
  </si>
  <si>
    <t>Development of Decentralised AI Training Platform</t>
  </si>
  <si>
    <t>Amibroker, Ninjatrader</t>
  </si>
  <si>
    <t>KPIT Sparkle</t>
  </si>
  <si>
    <t>https://drive.google.com/drive/folders/1DQRUWR61Bibl8zG2pGqefTfLC71LipIp?usp=sharing</t>
  </si>
  <si>
    <t>https://drive.google.com/open?id=1ZxM85Le3me_ZxnXj2imUMoB46o87FT4z</t>
  </si>
  <si>
    <t>https://drive.google.com/open?id=1sHPqkDzcZ3DalQb4Ij8prbNCoVIQDLrG</t>
  </si>
  <si>
    <t>https://drive.google.com/open?id=1zMgZTT7hm0YiimdxnNA-M5lXk-egMV7q</t>
  </si>
  <si>
    <t>https://drive.google.com/open?id=1skutvouBiBwRcxQrlZ3vZqADNJW_ZrUW</t>
  </si>
  <si>
    <t>https://drive.google.com/open?id=1LG5sosutoh44YI6x5Fm04-GNN9gsAlqi</t>
  </si>
  <si>
    <t>https://drive.google.com/open?id=1g-J3TfdnXCLzPh6v6XLYMiU5UFEJUfPs</t>
  </si>
  <si>
    <t>0120190076</t>
  </si>
  <si>
    <t>MANAV</t>
  </si>
  <si>
    <t>BHIMRAO</t>
  </si>
  <si>
    <t>BHOSALE</t>
  </si>
  <si>
    <t>mnvbhosale@gmail.com</t>
  </si>
  <si>
    <t>www.linkedin.com/in/manav-bhosale-05617b205</t>
  </si>
  <si>
    <t>BHIMRAO DATTU BHOSALE</t>
  </si>
  <si>
    <t>BABITA BHIMRAO BHOSALE</t>
  </si>
  <si>
    <t>Plot no. 9, sagarkanya colony, Daulatnagar, satara - 415001.</t>
  </si>
  <si>
    <t>Process Mining Virtual Internship Certificate</t>
  </si>
  <si>
    <t>Zensar ESD program</t>
  </si>
  <si>
    <t>Programming for Everybody (Getting Started with
Python)</t>
  </si>
  <si>
    <t>Codekul company - Web Developer</t>
  </si>
  <si>
    <t>Phishing Detection Website using machine learning</t>
  </si>
  <si>
    <t>Java, C/C++, HTML, CSS, JavaScript</t>
  </si>
  <si>
    <t>Codebytes participation</t>
  </si>
  <si>
    <t>https://preskilet.com/watch?v=6294adb16dfec6000459100d</t>
  </si>
  <si>
    <t>https://drive.google.com/open?id=1pmvVi-n4Hg5VbJd4UZjtKN9pSrVoVIK6</t>
  </si>
  <si>
    <t>https://drive.google.com/open?id=1QIQ885o21EaSe4XKDeqVs_2oa0fPGInj</t>
  </si>
  <si>
    <t>https://drive.google.com/open?id=1mefuVrdHL9CKQCI3HlSQiMhosaVqVSar</t>
  </si>
  <si>
    <t>https://drive.google.com/open?id=12SM58GQA4RTh0QeGiJnFWWwCI5cOc7rF</t>
  </si>
  <si>
    <t>https://drive.google.com/open?id=1EfVkRYKm0V9UvQUMvQtM-7SpDJwW9RqE</t>
  </si>
  <si>
    <t>https://drive.google.com/open?id=1wIxzrjtA1x_C60Q0nhPlxTGRh8Z2MCi-</t>
  </si>
  <si>
    <t>0120190084</t>
  </si>
  <si>
    <t>PRACHI</t>
  </si>
  <si>
    <t>CHANNE</t>
  </si>
  <si>
    <t>prachichanne820@gmail.com</t>
  </si>
  <si>
    <t>www.linkedin.com/in/prachichanne2607</t>
  </si>
  <si>
    <t>MAHESH CHANNE</t>
  </si>
  <si>
    <t>SUCHITA CHANNE</t>
  </si>
  <si>
    <t>Amrai Ward No. 11 , Rajura , Chandrapur , Maharashtra</t>
  </si>
  <si>
    <t>Vaibhav Girls Hostel , Alandi , Pune</t>
  </si>
  <si>
    <t>Zensar Employability Skill Development Program
Udemy Maven Crash Course</t>
  </si>
  <si>
    <t>Python Data Structure on Coursera</t>
  </si>
  <si>
    <t>Codekull Pvt Ltd</t>
  </si>
  <si>
    <t>Web development Intern At Techsword Solution</t>
  </si>
  <si>
    <t>Smart grading and feedback for text answer</t>
  </si>
  <si>
    <t xml:space="preserve">Python, Java, C/C++, HTML, CSS, JavaScript, Sql </t>
  </si>
  <si>
    <t>React.js (JavaScript/Typescript), Angular, Spring &amp; Hibernate (Java), SpringBoot</t>
  </si>
  <si>
    <t>Congnizant Nurture Program</t>
  </si>
  <si>
    <t xml:space="preserve">Zensar Employability and Skill  development program </t>
  </si>
  <si>
    <t>Aalekh (Arts Club)</t>
  </si>
  <si>
    <t>https://preskilet.com/pmchanne@mitaoe.ac.in</t>
  </si>
  <si>
    <t>https://drive.google.com/open?id=1CMgL5rNZoMiZ8cJ3iCnRocs4hyVQT1n-</t>
  </si>
  <si>
    <t>https://drive.google.com/open?id=1rot0R40OZ3INRFXs_IGgqiXcV9Cb-iCX</t>
  </si>
  <si>
    <t>https://drive.google.com/open?id=1JkHM2hFrv1nZXxv5iLX03PbmMRqIp1_s</t>
  </si>
  <si>
    <t>https://drive.google.com/open?id=1JGcZzVLL4f0gwm7tsu8sNqF2WzR3fLoO</t>
  </si>
  <si>
    <t>https://drive.google.com/open?id=1xN6nQ5NRpYnTcIeHTXimEQQAENYLei70</t>
  </si>
  <si>
    <t>https://drive.google.com/open?id=1KkGY7xNhD7vZOboByNuH9DWr3feRsoCl</t>
  </si>
  <si>
    <t>https://drive.google.com/open?id=15rTm1l6YIZ2Ee56Y4zDKZaQ4vcErJL6f</t>
  </si>
  <si>
    <t xml:space="preserve">Technical Certification </t>
  </si>
  <si>
    <t>0120190085</t>
  </si>
  <si>
    <t>PRADIP</t>
  </si>
  <si>
    <t>RALE</t>
  </si>
  <si>
    <t>pratiksharale221@gmail.com</t>
  </si>
  <si>
    <t>https://www.linkedin.com/in/pratiksha-rale-a53970225/</t>
  </si>
  <si>
    <t>PRADIP TANHAJI RALE</t>
  </si>
  <si>
    <t>CHITRA PRADIP RALE</t>
  </si>
  <si>
    <t>Gogavale Vasti, Pait Road, Koye-Kurkundi, Pune, Maharashtra - 410505</t>
  </si>
  <si>
    <t>Jyotirlinga sosa, Zitraimala, Ambethan Road, Chakan-410501, Dist-Pune, Tal-Khed.</t>
  </si>
  <si>
    <t>EX102T - Electrical and Electronics Engineering
ME104T - Engineering Graphics</t>
  </si>
  <si>
    <t xml:space="preserve">Oracle:  OCI Foundations Associate </t>
  </si>
  <si>
    <t>1. AWS Academy Graduate - AWS Academy Cloud Foundations
2. Web Development - Internshala
3. Programming for Everybody(Python) - Coursera
4. Infosys Springboard: Java Programming Fundamentals
6. Python for Machine Learning- Great Learning
7. Matlab Onramp - Mathworks</t>
  </si>
  <si>
    <t>Microsoft Azure: AI Fundamentals
Infosys Springboard: Java Developer Certification</t>
  </si>
  <si>
    <t xml:space="preserve">Python programming certification in coursera where I have learn the basic fundaments and libraries of the python. </t>
  </si>
  <si>
    <t>Course Details:
Oraganization: Internshala
Project Name: Web Development
In this training, I had made one web application for online shopping.</t>
  </si>
  <si>
    <t>Internship:
Organization: VIEH Group, Domain: Machine Learning, Project: Predict Employee Turnover
In this internship, Currently I'm working on to create supervised machine learning models to assist in classifying certain employee data.
Internship:
Organization: Oasis InfoByte, Project: Web Development
In this internship, I had completed tasks that they had provided on the basis of html, css, bootstrap and javascript.</t>
  </si>
  <si>
    <t>Web Application for Detecting Multiple Diseases using CNN (Deep Learning)</t>
  </si>
  <si>
    <t>Python, Java, C/C++, C#, HTML, CSS, JavaScript, PHP</t>
  </si>
  <si>
    <t>React.js (JavaScript/Typescript), Angular, Django (Python), Flask (Python)</t>
  </si>
  <si>
    <t>AutoCAD, Fusion 360, Adobe XD, Proteus, MATLAB</t>
  </si>
  <si>
    <t>30 Days of Google Cloud Program - Google</t>
  </si>
  <si>
    <t>Industrial Training in IOT - Enovate Skill</t>
  </si>
  <si>
    <t>I have coordinated events in Nakshtra (Gathering) and also participated in a cultural events as a dancer.
I had played the vital role for our Menace Dance Club as a Member.</t>
  </si>
  <si>
    <t>https://preskilet.com/watch?v=62a37bc7a6956a0004600409</t>
  </si>
  <si>
    <t>https://drive.google.com/open?id=193N6y-BFg0DQMP2LvaQFC8350RMWw1Sb</t>
  </si>
  <si>
    <t>https://drive.google.com/open?id=14Y_xABcobDT4ElfPTdcF6AxYMw09ETS_</t>
  </si>
  <si>
    <t>https://drive.google.com/open?id=1QgESXqggKWeszR1-fJAYrGcbfY0gaJI_</t>
  </si>
  <si>
    <t>https://drive.google.com/open?id=1NJtS4eebgDcW6ET-qhYM3P9cNcZrFQR_</t>
  </si>
  <si>
    <t>https://drive.google.com/open?id=1oTWR1JfIMV6E1Fn17zxeBzkNky2VLfXh</t>
  </si>
  <si>
    <t>https://drive.google.com/open?id=1hFTysDikwPljBr9_ZVLRKkl4wwrgTKCR</t>
  </si>
  <si>
    <t>https://drive.google.com/open?id=1vOAEb-RPf2x3yZaBnr3mRKpdvARMELO4</t>
  </si>
  <si>
    <t>I had add one more technical certification and  badge because, last time Oracle Certification was half completed and now it is completed so I had added that one also.</t>
  </si>
  <si>
    <t>0120190088</t>
  </si>
  <si>
    <t>TANMAY</t>
  </si>
  <si>
    <t>JOSHI</t>
  </si>
  <si>
    <t>joshitanmay2001@gmail.com</t>
  </si>
  <si>
    <t>https://www.linkedin.com/in/tanmay-joshi-4720541ba/</t>
  </si>
  <si>
    <t>BHUPESH JOSHI</t>
  </si>
  <si>
    <t>BHADRASHEELA JOSHI</t>
  </si>
  <si>
    <t>4-A-3, Behind Shree Nath School, Shivaji Nagar, Housing Board, Dungarpur, Rajasthan (314001)</t>
  </si>
  <si>
    <t>Flat 101, Behind Gokul Mess</t>
  </si>
  <si>
    <t>Statistics for Machine Learning</t>
  </si>
  <si>
    <t>Python Data Structures</t>
  </si>
  <si>
    <t>Zensar Training</t>
  </si>
  <si>
    <t>CODEKUL Pvt. Ltd.</t>
  </si>
  <si>
    <t>WorqHat</t>
  </si>
  <si>
    <t xml:space="preserve">Automatic Violence Detection Through Surveillance Videos </t>
  </si>
  <si>
    <t>Python, Java, C/C++, HTML, CSS, JavaScript</t>
  </si>
  <si>
    <t>React.js (JavaScript/Typescript), Angular, Spring &amp; Hibernate (Java), Node</t>
  </si>
  <si>
    <t>Fusion 360, MATLAB</t>
  </si>
  <si>
    <t>Participated in DATATHON</t>
  </si>
  <si>
    <t>https://preskilet.com/watch?v=62b2cec0cd590700045fb374</t>
  </si>
  <si>
    <t>https://drive.google.com/open?id=1ZFTpHfghigkYvKz-TtqWvr8R-j6wfJt4</t>
  </si>
  <si>
    <t>https://drive.google.com/open?id=1pU_IXiZ4gxptqaYnBDX2O_hzEusi-YBQ</t>
  </si>
  <si>
    <t>https://drive.google.com/open?id=1pyc99yas5rLrR1BhUvTB993lMOY0EIka</t>
  </si>
  <si>
    <t>https://drive.google.com/open?id=1w91CMB-ZWB95Lll-BYGYO8NUGa5m6D1q</t>
  </si>
  <si>
    <t>https://drive.google.com/open?id=146k29SSjIbG0xsppeHj4S6VHsBIHYT6a</t>
  </si>
  <si>
    <t>https://drive.google.com/open?id=1BS6y5AJ_zQ0LC633t1GdX_aO8XGHDjik</t>
  </si>
  <si>
    <t>0120190091</t>
  </si>
  <si>
    <t>SIDDHI</t>
  </si>
  <si>
    <t>MANOJ</t>
  </si>
  <si>
    <t>NAIK</t>
  </si>
  <si>
    <t>siddhinaik3324@gmail.com</t>
  </si>
  <si>
    <t>linkedin.com/in/siddhi-n-160772212</t>
  </si>
  <si>
    <t>MRUDULA</t>
  </si>
  <si>
    <t>flat no. 301, 2nd floor c wing swapn nagari appt, pune-nashik highway ,chakan ,taluka khed pune,412501</t>
  </si>
  <si>
    <t>flat no. 2 shyam enclave Shree ravishankar marg dwarka nashik 422011</t>
  </si>
  <si>
    <t>Microsoft Data Fundamentals</t>
  </si>
  <si>
    <t>courses on python datastructure, python for everybody and introduction to iot and embedded system done from coursera</t>
  </si>
  <si>
    <t>training from internshala on web development</t>
  </si>
  <si>
    <t>Utkarshini Edutech</t>
  </si>
  <si>
    <t xml:space="preserve">Web based system for performance assessment of employees in any organization </t>
  </si>
  <si>
    <t>AutoCAD, Fusion 360, Figma, Adobe XD, MATLAB</t>
  </si>
  <si>
    <t>German, Sanskrit</t>
  </si>
  <si>
    <t>training on AIML from IIT hyadrabad remarkskills</t>
  </si>
  <si>
    <t>https://preskilet.com/watch?v=62beb6e52c9a6200041e125e</t>
  </si>
  <si>
    <t>https://drive.google.com/open?id=1Df3FL0DhWj7HfUoOtTneWd01kBX9cDxc</t>
  </si>
  <si>
    <t>https://drive.google.com/open?id=1OxWRJrVK2tSxbU6901QON2rygfZOEkEJ</t>
  </si>
  <si>
    <t>https://drive.google.com/open?id=1VFCiI4C85mdOaMiUYmy2nUt-h9zBzxWD</t>
  </si>
  <si>
    <t>https://drive.google.com/open?id=1w65UQQUqCQ9WxwHGG8wnILDKLEYu6fpy</t>
  </si>
  <si>
    <t>https://drive.google.com/open?id=107ui2l3j1JYTtrWD_85PHvo89uUFwmw0</t>
  </si>
  <si>
    <t>https://drive.google.com/open?id=1utBt0q-_xiB6bWChH4n9o9Ah6OLwDF4w</t>
  </si>
  <si>
    <t>i have uploaded new files for technical certifications, SY AMCAT result and TY AMCAT results as i submitted wrong file for technical certification and for amcat results they were not downloaded previously.</t>
  </si>
  <si>
    <t>0120190100</t>
  </si>
  <si>
    <t>VIRENDRA</t>
  </si>
  <si>
    <t>DHAMDHERE</t>
  </si>
  <si>
    <t>dhamdhereom1@gmail.com</t>
  </si>
  <si>
    <t xml:space="preserve">ovdhamdhere@mitaoe.ac.in </t>
  </si>
  <si>
    <t>https://www.linkedin.com/in/om-dhamdhere/</t>
  </si>
  <si>
    <t>VIRENDRA VASANTRO DHAMDHERE</t>
  </si>
  <si>
    <t>JYOTI VIRENDRA DHAMDHERE</t>
  </si>
  <si>
    <t>681, Mauryapuram, Near Bafna Mala, Shirur, Dist- Pune, Pin code- 412210</t>
  </si>
  <si>
    <t>Process Mining Virtual Internship- AICTE</t>
  </si>
  <si>
    <t>Zensar ESD Program- Zensar Technologies</t>
  </si>
  <si>
    <t>SQL For Data Science Course from Coursera</t>
  </si>
  <si>
    <t>Software Development Intern at Phoenixgen Systems Private Ltd, Pune</t>
  </si>
  <si>
    <t>University of East Anglia, Norwich, UK</t>
  </si>
  <si>
    <t>Fake Review Detection using Supervised Machine Learning</t>
  </si>
  <si>
    <t>React.js (JavaScript/Typescript), Angular, Spring &amp; Hibernate (Java), Django (Python), Flask (Python)</t>
  </si>
  <si>
    <t>MATLAB</t>
  </si>
  <si>
    <t>https://preskilet.com/watch?v=62962c24716ac100049816f5</t>
  </si>
  <si>
    <t>https://drive.google.com/open?id=1zx2yxw2okj8KhODNaY7kI9OIJgvJ3g2z</t>
  </si>
  <si>
    <t>https://drive.google.com/open?id=1LCm9sK0faZe7q9P8B7tF8IKAIVLaa4aW</t>
  </si>
  <si>
    <t>https://drive.google.com/open?id=1jE1uLJR5amc5oL2iU2cjrPJBGWYfSwpZ</t>
  </si>
  <si>
    <t>https://drive.google.com/open?id=1kqa1v7KgLiuCypfsFLJnqaP7tNJ1W56k</t>
  </si>
  <si>
    <t>https://drive.google.com/open?id=1f35mhJ-f33-9XNxSUb6_3-ClfKyP4u1Q</t>
  </si>
  <si>
    <t>https://drive.google.com/open?id=11BhBbaGhQ74PumLkCMLK_q5tyt63-t-Y</t>
  </si>
  <si>
    <t>0120190105</t>
  </si>
  <si>
    <t>AISHWARYA</t>
  </si>
  <si>
    <t>BHALME</t>
  </si>
  <si>
    <t>aishwaryabhalme@gmail.com</t>
  </si>
  <si>
    <t>https://www.linkedin.com/in/aishwarya-bhalme-7549a5190</t>
  </si>
  <si>
    <t>VINOD NAMDEV BHALME</t>
  </si>
  <si>
    <t>KALPANA VINOD BHALME</t>
  </si>
  <si>
    <t>Near kale residency Alandi-pune road, Alandi, Pune-412105</t>
  </si>
  <si>
    <t>1. Palo Alto: Fundamentals of Network Security  2. Palo Alto: Fundamentals of Cloud Security  3. Palo Alto: Fundamentals of  SOC  4. Palo Alto: Fundamentals of Cyber Security</t>
  </si>
  <si>
    <t xml:space="preserve">Pirple : Training course on Frontend fundamentals </t>
  </si>
  <si>
    <t>CODEKUL Private Limited : Full stack Web Developer Intern</t>
  </si>
  <si>
    <t xml:space="preserve">Cyber Security intern at Aneja Associates </t>
  </si>
  <si>
    <t>Cyber Attack implementation and prevention method for web application</t>
  </si>
  <si>
    <t>Computer Security</t>
  </si>
  <si>
    <t>React.js (JavaScript/Typescript), Spring &amp; Hibernate (Java)</t>
  </si>
  <si>
    <t xml:space="preserve">1. CIT-TLC-ISAC Hackathon
2. TryHackMe: Advent of Cyber 2021
3. PicoCTF Challenges </t>
  </si>
  <si>
    <t>TryHackMe: Advent of Cyber 2021, CIT-TLC-ISAC Hackathon</t>
  </si>
  <si>
    <t>https://preskilet.com/avbhalme@mitaoe.ac.in</t>
  </si>
  <si>
    <t>https://drive.google.com/open?id=1BotZEqS-mWUyC01C3TeCKeCVz9F94gju</t>
  </si>
  <si>
    <t>https://drive.google.com/open?id=1SP4rNKk6R0GVB9dsQE80tLr1cf1vgaLr</t>
  </si>
  <si>
    <t>https://drive.google.com/open?id=1iN4N6HMOU8TcTM1ZZqasIlRVhm8VjIOa</t>
  </si>
  <si>
    <t>https://drive.google.com/open?id=1ONaeF3XFTPIb4lyneZWqY-ZNKeTT1-ry</t>
  </si>
  <si>
    <t>https://drive.google.com/open?id=1o0oYcoe1ozJqhRsEYYT5XFkYhLLShGeD</t>
  </si>
  <si>
    <t>https://drive.google.com/open?id=1MUIKZkahrIRfIA4eY0xRcVQILHTg7WfX</t>
  </si>
  <si>
    <t xml:space="preserve">updated the technical certificate </t>
  </si>
  <si>
    <t>0120190111</t>
  </si>
  <si>
    <t>ROHIT</t>
  </si>
  <si>
    <t>GAJANAN</t>
  </si>
  <si>
    <t>MUNDHE</t>
  </si>
  <si>
    <t>rgmundhe2000@gmail.com</t>
  </si>
  <si>
    <t>linkedin.com/in/rohit-mundhe-6061ab202</t>
  </si>
  <si>
    <t>UJWALA</t>
  </si>
  <si>
    <t>PAVANGIRI VASAHAT ROKDIYA NAGAR SHEGAON,DIST-BULDHANA</t>
  </si>
  <si>
    <t>Palo Alto-Cybersecurity</t>
  </si>
  <si>
    <t>Codekul Internship-worked in angular created forms and connected it to backend .</t>
  </si>
  <si>
    <t>Celebal Internship-working in power apps and Automate domain</t>
  </si>
  <si>
    <t xml:space="preserve">titile: to show  pollution free path to user </t>
  </si>
  <si>
    <t>Angular</t>
  </si>
  <si>
    <t>IIT Bombay  OOPS Course Completed.</t>
  </si>
  <si>
    <t>Iskcon's  Discover yourself course completed.
Spiritual lectures(two) in college arranged  through Ignited Mind Club.</t>
  </si>
  <si>
    <t>https://preskilet.com/watch?v=62b34c8ccd590700045fb6aa</t>
  </si>
  <si>
    <t>https://drive.google.com/open?id=1aSCI_38gHLAUn5be81WRHSIJHYmJi_JE</t>
  </si>
  <si>
    <t>https://drive.google.com/open?id=1SDnWXOg0tdIs1-_EKWgBX8qb-a7VB7_E</t>
  </si>
  <si>
    <t>https://drive.google.com/open?id=1CsRh7qni_C50jBvvUB7grigZKrDKTx4U</t>
  </si>
  <si>
    <t>https://drive.google.com/open?id=1AxBmvCKF3tNe5yeSjO2L405EpquwXpyP</t>
  </si>
  <si>
    <t>https://drive.google.com/open?id=168sYOZR8wk27dYO8wrp-jBE96rSp_na2</t>
  </si>
  <si>
    <t>0120190122</t>
  </si>
  <si>
    <t>DIVYA</t>
  </si>
  <si>
    <t>JAYENDRA</t>
  </si>
  <si>
    <t>CHAUDHARI</t>
  </si>
  <si>
    <t>cdivya1005@gmail.com</t>
  </si>
  <si>
    <t>https://www.linkedin.com/in/divyachaudhari105/</t>
  </si>
  <si>
    <t>Flat no 308, Samruddhi Isha, Pendse Colony, Vikas Nagar, Kiwale, PCMC, 412101, Pune</t>
  </si>
  <si>
    <t>Vaibhav Girl's Hostel, beside Dnyanvardhini hostel, Vishweshwar Nagar, dehu phata, Alandi, 412105, Pune</t>
  </si>
  <si>
    <t>Oracle Cloud Infrastructure 2022 Certified Foundations Associate</t>
  </si>
  <si>
    <t>Zensar Employability Skill Development Program
Python for data analysis(Coursera offered by IBM) 
Natural Language Processing with Python (Infosys Springboard)</t>
  </si>
  <si>
    <t>Certifications from Coursera - Python data structures</t>
  </si>
  <si>
    <t>Software Development Intern at Codekul Private Limited
- During this internship, I worked as a group leader to build a web application for the Hospital aggregator platform.
- We used technology stack reactjs, spring boot, MongoDB and nodejs for this project.
- I contributed in registration of hospitals module.
- My work included saving data in a database and mapping that data on the website homepage.</t>
  </si>
  <si>
    <t>Data Science Intern at Celebal Technologies
- This internship involves completing the assigned tasks intended to cement the foundations of data science and machine learning concepts. Also implementing those concepts to analyze and develop different data science projects, and gain real-time insights into current market trends.
Martian Summer Intern at Persistent Systems</t>
  </si>
  <si>
    <t>Major Project : 
Title -  Interview Chatbot with dynamic question generation and answer evaluation
Technology Stack: Natural Language Processing, Python, Data Science, Object detection, Text Analytics
1. Resume Screening: Extracting skills from the resume submitted by the candidate
2. Question Generation: Dynamic generation of questions based on the skills extracted 
3. Answer Evaluation: Evaluation of the candidate's responses and final score generation
4. Face Detection: Face, device, and single-person detection to prevent malpractice during an interview</t>
  </si>
  <si>
    <t>Python, Java, C/C++, HTML, CSS, JavaScript, SQL, PLSQL, Redhat Linux</t>
  </si>
  <si>
    <t>React.js (JavaScript/Typescript)</t>
  </si>
  <si>
    <t>Participation in Datathon - a national level event organised by Girlscript club, MITAOE</t>
  </si>
  <si>
    <t>Zensar Employability Development Program - Zensar Technologies
Persistent Martian Summer Internship and training - Persistent Systems</t>
  </si>
  <si>
    <t xml:space="preserve">-- Creative content writer and volunteer at Ajaanvriksha -official college megazine
-- Anchoring in physical and virtual event
-- Script Writing for annual gathering
</t>
  </si>
  <si>
    <t>https://preskilet.com/watch?v=62a24090fed70c00042b6962</t>
  </si>
  <si>
    <t>https://drive.google.com/open?id=1riIK3qNoLmvKoX6U2324I1sSAtWF0hzS</t>
  </si>
  <si>
    <t>https://drive.google.com/open?id=1_jYz3Wa_ldav1yukEqfyGof_Y_k4RGO7</t>
  </si>
  <si>
    <t>https://drive.google.com/open?id=1IH2VScje2jHcxBve558v5ZcbpFu-zwtp</t>
  </si>
  <si>
    <t>https://drive.google.com/open?id=11A9bLLkbR0ql6nWk-3rIQ1KifGo4cWyz</t>
  </si>
  <si>
    <t>https://drive.google.com/open?id=14OHL59A4ANtf-Q3RYuHG_IV_72eH3rMw</t>
  </si>
  <si>
    <t>https://drive.google.com/open?id=1Qx6glt--u2tK7vU9jOZz2gzsFsS6AT9h</t>
  </si>
  <si>
    <t>https://drive.google.com/open?id=1jTE4loLsOAIiTUl8Mq8NnGcTY6e_AGa8</t>
  </si>
  <si>
    <t>https://drive.google.com/open?id=1ML15c5OwS4aYTTRZjKSFx9krlzDYrpYS</t>
  </si>
  <si>
    <t>https://drive.google.com/open?id=1Xih0f8CLhcNDJo0c1Lf3uxUi_0wZ6CWY</t>
  </si>
  <si>
    <t>https://drive.google.com/open?id=1jBkXRC0D-UN9qb2Hqv-iZ3EsnTyeynQp</t>
  </si>
  <si>
    <t>https://drive.google.com/open?id=1f0jkywTHV6HJTCx7GWrtRFRmlR7xzNgv</t>
  </si>
  <si>
    <t xml:space="preserve">SY amcat reports and technical certificates - were not available earlier
</t>
  </si>
  <si>
    <t>0120190142</t>
  </si>
  <si>
    <t>GAIKWAD</t>
  </si>
  <si>
    <t>sonalisureshgaikwad533@gmail.com</t>
  </si>
  <si>
    <t>https://www.linkedin.com/in/sonali-gaikwad-52084b241</t>
  </si>
  <si>
    <t xml:space="preserve">SURESH </t>
  </si>
  <si>
    <t xml:space="preserve">PUSHPA </t>
  </si>
  <si>
    <t>Flat No.101, 1st Floor Sagar Apartment Opposite Kadar Palace Near Kausa Police Station , Kausa Mumbra. Thane 400612.</t>
  </si>
  <si>
    <t>Hrushiprasad Girls Hostel, Opposite Dnyanwardhini Boys Hostel Near MITAOE, Alandi Pune 412105.</t>
  </si>
  <si>
    <t>ME104T - Engineering Graphics.</t>
  </si>
  <si>
    <t>OCI Foundations 2021 Associate [1Z0-1085-21]</t>
  </si>
  <si>
    <t>1. Coursera : Foundations Data, Data, Everywhere.
2. Infosys SpringBoard : Introduction to Data Science.
3. Coursera : Programming For Everybody.
4. MATLAB Mathworks : Image Processing Onramp.
5. Coding Ninjas : Introduction To Python</t>
  </si>
  <si>
    <t>1. Google Data Analytics Professional Certification.</t>
  </si>
  <si>
    <t>INTERNSHALA : Web Development</t>
  </si>
  <si>
    <t>Celebal Technologies : Data Science Intern.</t>
  </si>
  <si>
    <t>WEB Based System For Performance Assessment Of Employees In Any Organization.</t>
  </si>
  <si>
    <t>AutoCAD, Fusion 360, Figma, MATLAB</t>
  </si>
  <si>
    <t>eXEMPLAR'22 Event.</t>
  </si>
  <si>
    <t>3rd Runner Up in eXEMPLAR'22 Technical Event.</t>
  </si>
  <si>
    <t>Post-Matric Tuition Fee and Examination Fee (Freeship).</t>
  </si>
  <si>
    <t xml:space="preserve"> Zensar ESD Training Program.</t>
  </si>
  <si>
    <t>https://preskilet.com/sonaligaikwad@mitaoe.ac.in</t>
  </si>
  <si>
    <t>https://drive.google.com/open?id=11fD-hinUdI5C0vBGQuPKlUhwUuKhHy3Q</t>
  </si>
  <si>
    <t>https://drive.google.com/open?id=1qwdYvhbzYTHOuvo4SEavf-_p_Rfm_6qm</t>
  </si>
  <si>
    <t>https://drive.google.com/open?id=1JT4o5niawvuVkm3ENnicaikx7pgm3ZPN</t>
  </si>
  <si>
    <t>https://drive.google.com/open?id=1g0YNN8mgDRX3Unq5UhKTE9qoFsTjoyjQ</t>
  </si>
  <si>
    <t>https://drive.google.com/open?id=13-ljAqCzIFHV_3rERAFasO53scoZR9cX</t>
  </si>
  <si>
    <t>https://drive.google.com/open?id=1i-KzmQg1ipuBSGKjezDSO0eVSV4xH65g</t>
  </si>
  <si>
    <t xml:space="preserve">I have updated my TY and SY amcat reports because earlier I didn't have them with me. </t>
  </si>
  <si>
    <t>0120190145</t>
  </si>
  <si>
    <t>PRASHANT</t>
  </si>
  <si>
    <t>KANIKDALE</t>
  </si>
  <si>
    <t>kanikdaleS03@gmail.com</t>
  </si>
  <si>
    <t>https://www.linkedin.com/in/siddharth-kanikdale-35451a1ab/</t>
  </si>
  <si>
    <t>SWATI</t>
  </si>
  <si>
    <t>Flat No: 501, A2 Building, Phase III, Tirupati Campus, Road No: 2, Tingre Nagar, Pune - 411015</t>
  </si>
  <si>
    <t>Yatrika - A smart City Tour Guide
It is a tour guide android application that helps tourist find the best and fastest route to their preferred tourist attraction. It also provides a translator to communicate with local people.</t>
  </si>
  <si>
    <t>Celebal Technologies - UI/UX Design</t>
  </si>
  <si>
    <t>Predictive analysis of knowledge retention</t>
  </si>
  <si>
    <t>Python, Java, C/C++, HTML, CSS, JavaScript, Dart, Kotlin</t>
  </si>
  <si>
    <t>Android Development (Java/Kotlin)</t>
  </si>
  <si>
    <t>Smart India Hackathon 2022</t>
  </si>
  <si>
    <t>Android App Development - Internshala
UI/UX Designing - Great Learning
C and C++ Programming - Enosis Learning</t>
  </si>
  <si>
    <t>President of IUCEE Student Chapter MIT Academy of Engineering
         Organized 3 events on the topic "Preparation strategies for placement in IT/Mech 
         Sector".
Participated in IUCEE Faculty empowerment course for "Introduction to Sustainability" in 2021
2nd rank in Placement Experia event conducted by Srujan Club MITAOE and Board of School of Electrical Engineering (BOSE2).
Participated in Inter Department sports competition in Football in 2019 and 2021.</t>
  </si>
  <si>
    <t>https://preskilet.com/watch?v=62b413d330b2800004522fc5</t>
  </si>
  <si>
    <t>https://drive.google.com/open?id=1H3qJEszRhVgbWKvCWBGdwtuV-WNg-SAU</t>
  </si>
  <si>
    <t>https://drive.google.com/open?id=1thacrqmdrLeApZnMNWVlIzanGoQWQe0S</t>
  </si>
  <si>
    <t>https://drive.google.com/open?id=1qB4UGgjuiqke0Qw1Hk1Xy_gh1UerWopY</t>
  </si>
  <si>
    <t>https://drive.google.com/open?id=1i5vaFIzyqwZIi_ncOuQY_G9EyqdOnWWG</t>
  </si>
  <si>
    <t>https://drive.google.com/open?id=1m-8MVkKULZukmMJXaev7mKkvbnUrm8Nm</t>
  </si>
  <si>
    <t>https://drive.google.com/open?id=1ckiwJtuiIwb8-fm8FeVAMQFlBLYsqhvV</t>
  </si>
  <si>
    <t>0120190148</t>
  </si>
  <si>
    <t xml:space="preserve">HIMANSHU </t>
  </si>
  <si>
    <t>SENGAR</t>
  </si>
  <si>
    <t>sengarhiman@gmail.com</t>
  </si>
  <si>
    <t>https://www.linkedin.com/in/himanshu-sengar-6b78041b7/</t>
  </si>
  <si>
    <t>SANJAY SENGAR</t>
  </si>
  <si>
    <t>SAVITA SINGH</t>
  </si>
  <si>
    <t>A-204,PALLADIUM HOMES,DHANORI,PUNE-411015</t>
  </si>
  <si>
    <t>palto alto cyber security foundation</t>
  </si>
  <si>
    <t>freecodecamp course</t>
  </si>
  <si>
    <t>VIEH Private Limited
Sagar City Society, Andheri West, Mumbai, Maharashtra - 400058
Data Science internship. As a result, i will be working s on the project "Google Analytics
Customer Revenue Prediction"</t>
  </si>
  <si>
    <t>identification of plant disease using cnn</t>
  </si>
  <si>
    <t>Python, C/C++, SQL, MONGODB</t>
  </si>
  <si>
    <t>Spring &amp; Hibernate (Java)</t>
  </si>
  <si>
    <t>POWER BI, SQL WORKBENCH, ORACLE SERVER</t>
  </si>
  <si>
    <t xml:space="preserve">WORKSHOP
Attended a equilibrium based on The Art In the Edge of Machine
Intelligence and Data Science conduted by one of the club from mitaoe.
APPTITUDE EXAM
Participated in RMD sinhgad school engineering aptitude test and scored
83% marks.
[Agile] Cognizant [Sept-20-2021]–[Sept-25-2021]
Ready ,Set ,Agile! Virtual Experience Program is based software model. Forage is the platform where it is conducted.
[Machine Learning] university of Washington [04-05-2020]-[06-11-2020]
The course contains regression, classification concepts.
[Foundations: Data, Data, Everywhere] authorized by Google [18-02-22]-[19-03-22]
</t>
  </si>
  <si>
    <t>intern at ybi foundation</t>
  </si>
  <si>
    <t>https://preskilet.com/sengarhiman@gmail.com</t>
  </si>
  <si>
    <t>https://drive.google.com/open?id=1qpDr7iwYagBmio30HZXGHya2Gm3f0BQb</t>
  </si>
  <si>
    <t>https://drive.google.com/open?id=1yy2v70KXKfT7dtZvWROmbpe-nUhtVupl</t>
  </si>
  <si>
    <t>https://drive.google.com/open?id=1pNeCXW5TeoMvRCdGEmUTUVH0cL3Y9Na8</t>
  </si>
  <si>
    <t>https://drive.google.com/open?id=1caR1h0oGqlBLiSBZR2tIt0mWf6zNe2Po</t>
  </si>
  <si>
    <t>https://drive.google.com/open?id=1uAp1R0kO7Zvl9WxeAgoyyW8yH5_CZgUH</t>
  </si>
  <si>
    <t>https://drive.google.com/open?id=1VD2KCHHn9nXAwQ4pFPDZq_1gaOTMnm1u</t>
  </si>
  <si>
    <t>0120190152</t>
  </si>
  <si>
    <t>RISHAV</t>
  </si>
  <si>
    <t>SINHA</t>
  </si>
  <si>
    <t>rishavsinha57@gmail.com</t>
  </si>
  <si>
    <t>http://linkedin.com/in/rishav-sinha-717a4320a</t>
  </si>
  <si>
    <t>INDRAJIT SINHA</t>
  </si>
  <si>
    <t>MITALI SINHA</t>
  </si>
  <si>
    <t>243F/1 B.B. Chatterjee Road Kolkata:-700042</t>
  </si>
  <si>
    <t>A-5 Pragati Boys Apatment, Dehu Phata, Alandi, Pune, 412105</t>
  </si>
  <si>
    <t>Cybersecurity Virtual Internship</t>
  </si>
  <si>
    <t>Gustovalley Technovations Private Limited:- Internship  on machine learning, iot, web development, etc</t>
  </si>
  <si>
    <t xml:space="preserve">Codomotive Software Private ltd:- Internship 
Full time  working Handson Internship on full stack web development
</t>
  </si>
  <si>
    <t>Uinsports Canadian Company :- To develop a website desktop portal as well as mobile application for the website to make it more convenient</t>
  </si>
  <si>
    <t>TY Btech Major Project:- Sponsored Project of Uinsports Canadian Company</t>
  </si>
  <si>
    <t>Python, HTML, CSS, JavaScript, PHP</t>
  </si>
  <si>
    <t>Android Development (Java/Kotlin), React.js (JavaScript/Typescript), Angular, Django (Python), Flask (Python)</t>
  </si>
  <si>
    <t>Bengali</t>
  </si>
  <si>
    <t>Zensar Technologies:- SQL,JAVA,ADV.JAVA,Python
Persistent Sytems:-DATA STRUCTURE, COMPUTER NETWORKS, DBMS</t>
  </si>
  <si>
    <t>https://drive.google.com/drive/u/0/folders/1ia6rQm_dsyHY5ujCIO0-PJtNB2J-UzZ9</t>
  </si>
  <si>
    <t>https://drive.google.com/open?id=1-tWgLJZ9lTGTSfQYMWSq6voRJORzg2JW</t>
  </si>
  <si>
    <t>https://drive.google.com/open?id=1TOhpOJx1KCdx0QfQ_TIOQvS-OOympu8H</t>
  </si>
  <si>
    <t>https://drive.google.com/open?id=1J5Dqe-xglC-JfwqG5m4qhY45MyrdVY2A</t>
  </si>
  <si>
    <t>https://drive.google.com/open?id=1VaM2ollbCFn_o3LcOtEOQGIHYCsj_Quq</t>
  </si>
  <si>
    <t>https://drive.google.com/open?id=1CtiNzbfp0qZKLrd3j3busDVspN8oukgW</t>
  </si>
  <si>
    <t>https://drive.google.com/open?id=1Dk1jw13HdiP0bD-qTfpnreEqNmQjQtDT</t>
  </si>
  <si>
    <t>technical certificates are updated because of the latest updates on those certificates.</t>
  </si>
  <si>
    <t>0120190155</t>
  </si>
  <si>
    <t xml:space="preserve">SHANTANU </t>
  </si>
  <si>
    <t xml:space="preserve">EKNATH </t>
  </si>
  <si>
    <t>shantanuekadam@gmail.com</t>
  </si>
  <si>
    <t>https://www.linkedin.com/in/shantanu-kadam-7b4225192/</t>
  </si>
  <si>
    <t>EKNATH KADAM</t>
  </si>
  <si>
    <t>SMITA KADAM</t>
  </si>
  <si>
    <t>flat 103 padmalay building,near sai mandir , sai colony no 4, wadmukhwadi ,alandi road pune</t>
  </si>
  <si>
    <t>na</t>
  </si>
  <si>
    <t xml:space="preserve">Microsoft DP-900:Microsoft Azure Data Fundamentals </t>
  </si>
  <si>
    <t xml:space="preserve">Internship done at codekul company for 2 months in web application </t>
  </si>
  <si>
    <t>Ongoing internship in VIEH group on DATA SCIENCE project</t>
  </si>
  <si>
    <t>Identification of plant disease using CNN</t>
  </si>
  <si>
    <t>React.js (JavaScript/Typescript), Angular, Spring &amp; Hibernate (Java)</t>
  </si>
  <si>
    <t>AutoCAD, Fusion 360, CATIA, Figma, Adobe XD, MATLAB</t>
  </si>
  <si>
    <t xml:space="preserve">Management head of mozilla club
</t>
  </si>
  <si>
    <t>Took part  in fashion walk at nakshatra event</t>
  </si>
  <si>
    <t>https://preskilet.com/watch?v=62a318e1a6956a00045ff8df</t>
  </si>
  <si>
    <t>https://drive.google.com/open?id=1tD558pthgvCINAUCvgdu2tupezl7-E8y</t>
  </si>
  <si>
    <t>https://drive.google.com/open?id=1hnYe3H7Numz8l-7XOXgTjwtXKzM4Hmi5</t>
  </si>
  <si>
    <t>https://drive.google.com/open?id=1z89E_-EejxDGjo0KszIlGijOXBNz4Nlo</t>
  </si>
  <si>
    <t>https://drive.google.com/open?id=1V4HXGMcJf7FALenhNJ7V893L6X5N1f_P</t>
  </si>
  <si>
    <t>https://drive.google.com/open?id=1HZU-Z0S-CnEMQHm6j9kwvevgRqZADF-g</t>
  </si>
  <si>
    <t>https://drive.google.com/open?id=11uSe7c3LQ3Nq_tKldwyAvRqyusB3Lr2s</t>
  </si>
  <si>
    <t>0120190156</t>
  </si>
  <si>
    <t>RAKESH</t>
  </si>
  <si>
    <t>KUMAR</t>
  </si>
  <si>
    <t>shwetakumar006@gmail.com</t>
  </si>
  <si>
    <t>www.linkedin.com/in/shwetakumar6</t>
  </si>
  <si>
    <t>RAKESH KUMAR</t>
  </si>
  <si>
    <t>REKHA DEVI</t>
  </si>
  <si>
    <t>B-103,SAI LAXMI GALAXY,KALAS,VISHRANTWADI,PUNE-411015</t>
  </si>
  <si>
    <t>Internship at MITAero -"RC Planes and Drone Design"</t>
  </si>
  <si>
    <t xml:space="preserve">Intern at DRDO, Pune </t>
  </si>
  <si>
    <t>Data Science Intern at NPPD</t>
  </si>
  <si>
    <t>Predictive Analysis of knowledge using Machine Learning,</t>
  </si>
  <si>
    <t>Participated in Datathon 2022</t>
  </si>
  <si>
    <t>Participated in Accio-Wars  by Accio Jobs (Rank=1427)</t>
  </si>
  <si>
    <t>https://preskilet.com/watch?v=62a2469efed70c00042b6980</t>
  </si>
  <si>
    <t>https://drive.google.com/open?id=1tvPdvNiXEKJk_SZi4ENCpZsDlJzmxqxt</t>
  </si>
  <si>
    <t>https://drive.google.com/open?id=15JxwEZ4ZIzDH97TFBWgeNPJOfalJI05a</t>
  </si>
  <si>
    <t>https://drive.google.com/open?id=14knGCVge-CV0DyyK2ltTVcCHBaFQki0N</t>
  </si>
  <si>
    <t>https://drive.google.com/open?id=1068etUw32thgrPjPazK9FromzXUj9cke</t>
  </si>
  <si>
    <t>0120190168</t>
  </si>
  <si>
    <t>ANISH</t>
  </si>
  <si>
    <t>bhatanish1976@gmail.com</t>
  </si>
  <si>
    <t>www.linkedin.com/in/anish-bhat-016695212</t>
  </si>
  <si>
    <t>GANESH BHAT</t>
  </si>
  <si>
    <t>ASHA BHAT</t>
  </si>
  <si>
    <t>Aaditva Society, B-205, Indrayani Nagar, Bhosari, Pune</t>
  </si>
  <si>
    <t>Introduction to SQL
Python Data Structures
Introduction to C programming
MATLAB Onramp
Using python to access web data</t>
  </si>
  <si>
    <t>Chat App- An instant messaging app to connect with your friends, family and colleagues using your Google account. Audio messages, videos, images and files can be sent and different chat rooms could be created for messaging different people. Implemented using React and Firebase.
Leave Management System- A system which can be used by the employees of any organization for easy tracking of leaves with options for managers and above to approve/reject leaves. Implemented using PHP and MySQL.</t>
  </si>
  <si>
    <t>Python Developer at Celebal Technologies(Ongoing)</t>
  </si>
  <si>
    <t>Credit Card Fraud Prediction</t>
  </si>
  <si>
    <t>Python, C/C++, C#, HTML, CSS, JavaScript, PHP</t>
  </si>
  <si>
    <t>React.js (JavaScript/Typescript), Angular, FastAPI</t>
  </si>
  <si>
    <t xml:space="preserve">Martian Programme by Persistent Systems
Participated in Juspay Hiring Challenge 
Participated in Campus Beats by ZS Associates
Participated in Code-IT by Cummins College of Engineering </t>
  </si>
  <si>
    <t>React by Internshala Trainings
AIML by ATS infotech</t>
  </si>
  <si>
    <t>Participated in carrom
Participated in E-sports tournament</t>
  </si>
  <si>
    <t>https://preskilet.com/agbhat@mitaoe.ac.in</t>
  </si>
  <si>
    <t>https://drive.google.com/open?id=1tsLCNx1BkJbhY2kg6FvK0YjjWtIw_iTJ</t>
  </si>
  <si>
    <t>https://drive.google.com/open?id=1EpV5wGRt3W3WavG9h5JS4NcN1Xz1IThk</t>
  </si>
  <si>
    <t>https://drive.google.com/open?id=1P2SGE-3POz63MX77ZX05ZcJqPpmPJx2f</t>
  </si>
  <si>
    <t>https://drive.google.com/open?id=1vqC5MVI6-ApPpsonDQempjBC-AZi5HO3</t>
  </si>
  <si>
    <t>https://drive.google.com/open?id=1JPdWDCPXmLC8FaHYsPsNbCSrYuu4jNRb</t>
  </si>
  <si>
    <t>https://drive.google.com/open?id=1KmyFysWnFGF59xU-YwVioOWg5Pqb6oz0</t>
  </si>
  <si>
    <t>Form was updated and new field was added to upload pdf of technical certification.</t>
  </si>
  <si>
    <t>0120190170</t>
  </si>
  <si>
    <t>DASHMESH</t>
  </si>
  <si>
    <t xml:space="preserve">UDAYSHANKAR </t>
  </si>
  <si>
    <t>dashmesh.singh2@gmail.com</t>
  </si>
  <si>
    <t>https://www.linkedin.com/in/dashmesh-singh-18b447241/</t>
  </si>
  <si>
    <t>UDAY SHANKAR SINGH</t>
  </si>
  <si>
    <t>AMRIT UDAYSHANKAR SINGH</t>
  </si>
  <si>
    <t>C1, FLAT NO.1, TRIBHUVAN APT., KASTURBA HOUSING SOCIETY, VISHRANTWADI, PUNE - 411015</t>
  </si>
  <si>
    <t xml:space="preserve">Programming for Everybody (Python Beginners)
MATLAB Onramp
Introduction to JAVA
The Complete Web Development </t>
  </si>
  <si>
    <t>Programming for Everybody (Python Beginners)</t>
  </si>
  <si>
    <t>Codekul Pvt. Ltd.</t>
  </si>
  <si>
    <t>Persistent Systems</t>
  </si>
  <si>
    <t>AI Based Smart Proctoring System</t>
  </si>
  <si>
    <t>Python, Java, C/C++, C#, HTML, CSS, JavaScript</t>
  </si>
  <si>
    <t>Android Development (Java/Kotlin), React.js (JavaScript/Typescript), Angular</t>
  </si>
  <si>
    <t>AutoCAD, Fusion 360, MATLAB, Oracle, MongoDBCompass</t>
  </si>
  <si>
    <t xml:space="preserve">Datathon </t>
  </si>
  <si>
    <t xml:space="preserve">Participated in photography club </t>
  </si>
  <si>
    <t>https://preskilet.com/watch?v=62a387e0a6956a0004600654</t>
  </si>
  <si>
    <t>https://drive.google.com/open?id=1roVBiHS4dkyOl7LjLb5eqEdlL8_2YGQE</t>
  </si>
  <si>
    <t>https://drive.google.com/open?id=1aM4swfEwwmtVLhEN5eO6NBhcaEQvzJHx</t>
  </si>
  <si>
    <t>https://drive.google.com/open?id=1wZPKDXT2bAEowcpTjstaLWpa5fPSYVyZ</t>
  </si>
  <si>
    <t>https://drive.google.com/open?id=17FEWxg-hVrHsLySKjKO4EVvkiDsJFRrH</t>
  </si>
  <si>
    <t>https://drive.google.com/open?id=1o_OsJr824haGx1pLZxejyaHZL5hDhHNe</t>
  </si>
  <si>
    <t>https://drive.google.com/open?id=136D53ecMj-mT90k5j09KYodmYbyEshdo</t>
  </si>
  <si>
    <t>https://drive.google.com/open?id=1xPSlAZjuEtMnw07QH2IWhcy5DuegtZX7</t>
  </si>
  <si>
    <t>https://drive.google.com/open?id=1wjjhPtFwxMYOMZrH1rlnepTITCfGbzao</t>
  </si>
  <si>
    <t>https://drive.google.com/open?id=1IcL6zwDRsbwNExm7P1K8_KEVeNNulUav</t>
  </si>
  <si>
    <t xml:space="preserve">Technical Certificates: Was not able to upload one certificate 
SY Amcat Result: Full report was not available 
TY Amcat Result: Full report was not available </t>
  </si>
  <si>
    <t>0120190175</t>
  </si>
  <si>
    <t>TANUJA</t>
  </si>
  <si>
    <t>RATAN</t>
  </si>
  <si>
    <t>NEHARKAR</t>
  </si>
  <si>
    <t>neharkartanuja2001@gmail.com</t>
  </si>
  <si>
    <t>https://www.linkedin.com/in/tanuja-neharkar-490b7423b/</t>
  </si>
  <si>
    <t>AT.P. YEDGAON JUNNER DIST-PUNE</t>
  </si>
  <si>
    <t>Rushiprasad girls hostel,opposite dnyanwardhini boys hostel near MITAOE Alandi pune 412105</t>
  </si>
  <si>
    <t>ORACLE:OCI Foundations 2021 Associate</t>
  </si>
  <si>
    <t>COURCERA: Foundations Data, Data, Everywhere
Coursera-ask questions to make data-driven
decisions
Courcera -Programming for everybody(Python)
Infosys-Introduction to Data Science</t>
  </si>
  <si>
    <t>Courcera : Google data analysist proffesional certificate</t>
  </si>
  <si>
    <t>INTERNSHALA : Web Development.</t>
  </si>
  <si>
    <t>UTKARSHINI EDUTECH : Artificial Neural Network Intern</t>
  </si>
  <si>
    <t xml:space="preserve"> Web based system for performance assessment of employees in any organization</t>
  </si>
  <si>
    <t>eXemplar'22 event</t>
  </si>
  <si>
    <t>HDLC Technology - DATA SCIENCE</t>
  </si>
  <si>
    <t>https://preskilet.com/trneharkar@mitaoe.ac.in</t>
  </si>
  <si>
    <t>https://drive.google.com/open?id=1BhO832arjLgN1Z_pHq6O0YuacLpmvGud</t>
  </si>
  <si>
    <t>https://drive.google.com/open?id=1w-sH9NFMNy2Pq5q8R_OvgFEQqSGCNBcw</t>
  </si>
  <si>
    <t>https://drive.google.com/open?id=1rkhUJ2zykXF9fXcaTMoWd_375YVNTe_g</t>
  </si>
  <si>
    <t>https://drive.google.com/open?id=1kPnuu8RGFdXaV1JLwWpanj37M8r_wiSU</t>
  </si>
  <si>
    <t>https://drive.google.com/open?id=1XgfaxnmJEAInazWFbHpKAN0rPrUq1S_n</t>
  </si>
  <si>
    <t>https://drive.google.com/open?id=1WSp6tH3-u3G8gJYQ61nIy3CHX0YyQAMW</t>
  </si>
  <si>
    <t>https://drive.google.com/open?id=1BJNyVS3QOxAte0I-zCR-ThQXtKY9V-dX</t>
  </si>
  <si>
    <t>https://drive.google.com/open?id=1gfP1IRf4-RNY1ZfNjXKl3VYX5qfrIv4j</t>
  </si>
  <si>
    <t>https://drive.google.com/open?id=1C9coV2fZwYExt7jkhGdRi8HetEkuZj-7</t>
  </si>
  <si>
    <t>https://drive.google.com/open?id=17j6DkdaQU0DmX3Vv8NiuJoCKA_OfWW9K</t>
  </si>
  <si>
    <t>https://drive.google.com/open?id=1ZDGmsKDQtOXlxnD8_EsXVC3bN5x9yxH9</t>
  </si>
  <si>
    <t>AMCAT result because before there are some issues for downloading the result.</t>
  </si>
  <si>
    <t>0120190177</t>
  </si>
  <si>
    <t>MADHU</t>
  </si>
  <si>
    <t>madhu26feb@gmail.com</t>
  </si>
  <si>
    <t>https://www.linkedin.com/in/ms2602/</t>
  </si>
  <si>
    <t xml:space="preserve">AWADHESH KUMAR SINGH </t>
  </si>
  <si>
    <t xml:space="preserve">KUSUM SINGH </t>
  </si>
  <si>
    <t>P 66 type v rnde colony kalas alandi road dighi pune 411015</t>
  </si>
  <si>
    <t xml:space="preserve">DP 900 MICROSOFT AZURE </t>
  </si>
  <si>
    <t>CELONIS PROCESS MINING FUNDAMENTALS</t>
  </si>
  <si>
    <t>Oracle Cloud Infrastructure Data Science Professional
Oracle Cloud Infrastructure Foundation 
Google Data Analytics Professional
Google Analytics
Full Stack Web Development 
Google UX Design Professional Certificate</t>
  </si>
  <si>
    <t xml:space="preserve">PYTHON PROGRAMMING - COURSERA </t>
  </si>
  <si>
    <t>DRDO - HUMAN ROBOT WEB INTERFACE</t>
  </si>
  <si>
    <t>Salesforce Intern at CloudScripts Infosolution</t>
  </si>
  <si>
    <t>Knowledge Retention Using Predictive analytics</t>
  </si>
  <si>
    <t>Python, Java, C/C++, C#, HTML, CSS, JavaScript, PHP, TypeScript</t>
  </si>
  <si>
    <t>React.js (JavaScript/Typescript), Angular, Laravel (PHP), Django (Python), Flask (Python), Robot Framework</t>
  </si>
  <si>
    <t xml:space="preserve">DATATHON 2022 
</t>
  </si>
  <si>
    <t>Participated in various Sports Events, Coding competitions, Robotics workshops, E-cell events,volunteered at saksham foundation.</t>
  </si>
  <si>
    <t>https://preskilet.com/watch?v=62b56cfbaf4f2700045cde35</t>
  </si>
  <si>
    <t>https://drive.google.com/open?id=1jqBgjVDVMtUcqTe25ypzgfv60EXOOF5N</t>
  </si>
  <si>
    <t>https://drive.google.com/open?id=1_VBJutqMebmfxr_S0Shaq18QpArok5ZE</t>
  </si>
  <si>
    <t>https://drive.google.com/open?id=1VFsOpNikOqG_vOln18frJFYosuaktfVr</t>
  </si>
  <si>
    <t>https://drive.google.com/open?id=1RPf-7uTLW5d8uSGMyhqr5VitsoZtChYa</t>
  </si>
  <si>
    <t>0120190189</t>
  </si>
  <si>
    <t>SARAT</t>
  </si>
  <si>
    <t>SAHOO</t>
  </si>
  <si>
    <t>rajsahoo2441@gmail.com</t>
  </si>
  <si>
    <t>https://www.linkedin.com/in/rajesh-sahoo-14926a21a/</t>
  </si>
  <si>
    <t>SARAT SAHOO</t>
  </si>
  <si>
    <t>BAIJAYANTI SAHOO</t>
  </si>
  <si>
    <t>Nisarg Sangam Appt, Shastri Nagar, Akola, 444001</t>
  </si>
  <si>
    <t>Pragati Appartment, B4, Dehuphata, Alandi, 412105</t>
  </si>
  <si>
    <t>Programming for Everybody</t>
  </si>
  <si>
    <t>Codekul Pvt Ltd- Full stack web Developer</t>
  </si>
  <si>
    <t>Persistant System-Martian's Program</t>
  </si>
  <si>
    <t>Proctori-AI based smart Proctoring System</t>
  </si>
  <si>
    <t>Python, C/C++, C#, HTML, CSS, JavaScript</t>
  </si>
  <si>
    <t>React.js (JavaScript/Typescript), Angular, React Native, Node JS</t>
  </si>
  <si>
    <t>AutoCAD, Fusion 360, Figma, MATLAB, Oracle 10g, Mongodb Compass</t>
  </si>
  <si>
    <t>CodeBytes - Technical Event by CodeChef
Workshop on DSA by Coding Ninjas
Code-Chemistry Coding Event by Coding Ninjas</t>
  </si>
  <si>
    <t xml:space="preserve">Chess Competition </t>
  </si>
  <si>
    <t>https://preskilet.com/rssahoo@mitaoe.ac.in</t>
  </si>
  <si>
    <t>https://drive.google.com/open?id=1c10PxMyFLB3qox2OZ3HyXJRXa3jRNkyh</t>
  </si>
  <si>
    <t>https://drive.google.com/open?id=11M60c8xJhpLbnsO-4u3nuaC6RxFwRkB9</t>
  </si>
  <si>
    <t>https://drive.google.com/open?id=1LwUlf3rrzOdkPUKekM-UU-PyhnNcLUZU</t>
  </si>
  <si>
    <t>https://drive.google.com/open?id=1zLrMrOcERov0IgFQY1kpvZDLZmS_CeFv</t>
  </si>
  <si>
    <t>https://drive.google.com/open?id=1_g5QlDLWyKDdbiNStczQZQyv2FZ3DpFz</t>
  </si>
  <si>
    <t>https://drive.google.com/open?id=1s0_xoUo3415g-dNYeSCvI6R9gajx0Wdu</t>
  </si>
  <si>
    <t>https://drive.google.com/open?id=1VC7woE0zXIUHLx2pLuIrpGaL7j15goLD</t>
  </si>
  <si>
    <t>https://drive.google.com/open?id=10gm1EZCmzopMZPaZoD__Bt2BRYaageVc</t>
  </si>
  <si>
    <t>https://drive.google.com/open?id=1f71IA10rJGhpgB1oQHf0cSr8pT3J0PsL</t>
  </si>
  <si>
    <t>Amcat Report was not getting downloaded and by mistake uploaded the wrong certification</t>
  </si>
  <si>
    <t>0120190190</t>
  </si>
  <si>
    <t>DHIRAJ</t>
  </si>
  <si>
    <t>VASUDEV</t>
  </si>
  <si>
    <t>KOMB</t>
  </si>
  <si>
    <t>dhirajkomb4444@gmail.com</t>
  </si>
  <si>
    <t>https://www.linkedin.com/in/dhiraj-komb-725329157</t>
  </si>
  <si>
    <t xml:space="preserve">VASUDEV </t>
  </si>
  <si>
    <t>VASULA</t>
  </si>
  <si>
    <t>AT-GAIKAWAD PADA , POST-KASA , TAL-DAHANU, DIST- PALGHAR MAHARASHTRA</t>
  </si>
  <si>
    <t>NEAR MAJID BACK SIDE, RAMNATH HERITAGE BULDING ,PATELPADA TAL-DAHANU DIST-PALGHAR</t>
  </si>
  <si>
    <t>Infosys Springboard - Programming Fundamentals using Python - Science Graduates - Foundation Program</t>
  </si>
  <si>
    <t xml:space="preserve">TutorPoint Project of UI/UX (Bootstrap) Domain
</t>
  </si>
  <si>
    <t xml:space="preserve">UI/UX (Bootstrap) 
</t>
  </si>
  <si>
    <t>AutoCAD, Fusion 360, CATIA</t>
  </si>
  <si>
    <t>https://drive.google.com/drive/folders/1Mr4wbbpKM0eb_QzPBMGSWSl4dFYWxp6w?usp=sharing</t>
  </si>
  <si>
    <t>https://drive.google.com/open?id=13Dzj1-5Oozqk6bgEY2nxA5gwkpz24OQL</t>
  </si>
  <si>
    <t>https://drive.google.com/open?id=1OjPH2u5oE5C2IFTEaJGC2w124bdRhvY5</t>
  </si>
  <si>
    <t>https://drive.google.com/open?id=1XXXkMigQbrACFazAWXjLRG6VcsQnEYCu</t>
  </si>
  <si>
    <t>https://drive.google.com/open?id=183RMsyJygjlBAv5NLPh-hlNp74HGzNrF</t>
  </si>
  <si>
    <t>https://drive.google.com/open?id=1DWmRHBZOPcY2O4uJpMdaAUg4Tun-eg7V</t>
  </si>
  <si>
    <t>0120190202</t>
  </si>
  <si>
    <t>ASHOK</t>
  </si>
  <si>
    <t>Vaishnavijahav@gmail.com</t>
  </si>
  <si>
    <t>https://www.linkedin.com/in/vaishnavi-13/</t>
  </si>
  <si>
    <t>SMITA</t>
  </si>
  <si>
    <t>Shree Chhatrapati Pratishthan's Niwasi Matimand Vidyalaya, Anand Vihar Colony no. 1, NK Jagtap Patil Road, Vitthalwadi, Sinhagad Road, Pune - 411051</t>
  </si>
  <si>
    <t>Python Developer Intern at Hybrowlabs Technologies</t>
  </si>
  <si>
    <t>Python/Django Intern at Pixelstat eSolutions</t>
  </si>
  <si>
    <t>Backend Developer Intern at Famepilot Internet Pvt Ltd</t>
  </si>
  <si>
    <t>Tag Automation &amp; Menu Analytics</t>
  </si>
  <si>
    <t>Smart India Hackathon
Google Girl Hackathon
10 days Coding Challenge by Hackerrank Coding Club</t>
  </si>
  <si>
    <t>Data Structure &amp; Algorithms by GeeksForGeeks</t>
  </si>
  <si>
    <t>Codechef Coding Contests
Leetcode Contests
Hackerrank Coding Club</t>
  </si>
  <si>
    <t>https://preskilet.com/watch?v=62a36f86a6956a000460014f</t>
  </si>
  <si>
    <t>https://drive.google.com/open?id=1_0gcMAb5ZHWzy8eE316PUbBTQo8GfNC5</t>
  </si>
  <si>
    <t>https://drive.google.com/open?id=1uE_ggcx6MFGwKYdSL11Ik_kYz3va03We</t>
  </si>
  <si>
    <t>https://drive.google.com/open?id=1nyTSoJKyCTC6DabFxhWvbeVfWREpMyTB</t>
  </si>
  <si>
    <t>https://drive.google.com/open?id=1_KHv4GM_bmS7aY46G0Ej4HlhdggLImNJ</t>
  </si>
  <si>
    <t>https://drive.google.com/open?id=1u1v3luMiOu-V7FqpPP3VTKXeRCmpUcux</t>
  </si>
  <si>
    <t>https://drive.google.com/open?id=1H37sv-d9N6oBkqnry-cE_140Yq4vPDHa</t>
  </si>
  <si>
    <t>https://drive.google.com/open?id=1-fVtdj7kNrc0pq9gUq_j3sxcVLoDifoS</t>
  </si>
  <si>
    <t>https://drive.google.com/open?id=1djmPLjgMtqJc1N5zI_rq_zkLRCjjB40-</t>
  </si>
  <si>
    <t>https://drive.google.com/open?id=15IeAA1pDlCIdesj2rghCt9yC3_Dl3mrZ</t>
  </si>
  <si>
    <t>https://drive.google.com/open?id=1bOj3DiQD8aRC4ZBgoFepGTD3Yy08akJS</t>
  </si>
  <si>
    <t>https://drive.google.com/open?id=1mj2icE06liuDFuXUOOPjanxvma49YNaG</t>
  </si>
  <si>
    <t>Internship Certicate: 1 certificate was missing
Educational Certifications: Reassurance
Technical Certifications: Reassurance
SY Amcat Result: report was not available
TY Amcat Result: report was not available
All 5 documents are updated</t>
  </si>
  <si>
    <t>0120190206</t>
  </si>
  <si>
    <t>KAUSHIK</t>
  </si>
  <si>
    <t>RAJENDRA</t>
  </si>
  <si>
    <t>BHADANE</t>
  </si>
  <si>
    <t>kaushikbhadaner@gmail.com</t>
  </si>
  <si>
    <t>http://www.linkedin.com/in/kaushikbhadane-724283211</t>
  </si>
  <si>
    <t>RAJENDRA GOVIND BHADANE</t>
  </si>
  <si>
    <t>JYOTI RAJENDRA BHADANE</t>
  </si>
  <si>
    <t>House No.- 431/D, Old Agra Road, Opp Circle Cinema, Ashok Stambh, Nashik, Maharashtra, 422002</t>
  </si>
  <si>
    <t>A-302 Dnyanyog Society, Opposite Bank of India Alandi, Alandi-412105</t>
  </si>
  <si>
    <t>AICTE virtual internship in cybersecurity (Palo Alto Networks): 1. Introduction to Cybersecurity, 2. Fundamentals of Network Security, 3. Fundamentals of Cloud Security, 4. The Fundamentals of SOC (Security Operations Center)</t>
  </si>
  <si>
    <t>Cybersecurity Foundation: Palo Alto Networks Academy
Programming for Everybody (Getting Started with Python) : Coursera 
Python Data Structures : Coursera
Operating Systems and You: Becoming a Power User : Coursera
Cybersecurity Essentials : Cisco 
Microsoft Certified: Dynamics 365 Fundamentals (CRM)</t>
  </si>
  <si>
    <t>Programming for Everybody (Getting Started with Python) : Coursera 
Python Data Structures : Coursera
NDG Linux Essentials : Cisco</t>
  </si>
  <si>
    <t>Ethical Hacking course : Intershala</t>
  </si>
  <si>
    <t>Internship at Aneja Associates</t>
  </si>
  <si>
    <t>Three factor authentication using Graphical password</t>
  </si>
  <si>
    <t>Research paper publication: Kaushik Bhadane, Vipul Patel, Viraj Yadav, Nisarg Kutwal, “Three-Factor Authentication using Graphical Password”, International Journal of Scientific &amp; Engineering Research, Volume 13, issue 4, April 2022.</t>
  </si>
  <si>
    <t>Treasurer &amp; Sponsors' coordinator Chakravyuh Committee, MIT Academy of Engineering, March 2022</t>
  </si>
  <si>
    <t>https://preskilet.com/krbhadane@mitaoe.ac.in</t>
  </si>
  <si>
    <t>https://drive.google.com/open?id=1Iea8V1mZDeydMt3nm6SQ_khsYVIAPFtA</t>
  </si>
  <si>
    <t>https://drive.google.com/open?id=1Ir_b17PvmLVxfS7tLYUv4azSN3bYs5qP</t>
  </si>
  <si>
    <t>https://drive.google.com/open?id=1_VWXXFP9ye31iqC3KmIe1t9kdslP5RYn</t>
  </si>
  <si>
    <t>https://drive.google.com/open?id=1OqVeS_aA0X4CzRTmcwrBxpCFrkCW0aT1</t>
  </si>
  <si>
    <t>https://drive.google.com/open?id=1pdEaK3A4g_6R46Q1eYdVr4p9MNpkLgTm</t>
  </si>
  <si>
    <t>https://drive.google.com/open?id=1FJtAoO3KE4JlL5npYn_tbFpO-5-hU3lY</t>
  </si>
  <si>
    <t>https://drive.google.com/open?id=1AH9CpHe4P0EQS13VuNOZLxgtJLf61SMJ</t>
  </si>
  <si>
    <t>Technical Certifications info and PDF</t>
  </si>
  <si>
    <t>0120190208</t>
  </si>
  <si>
    <t>CHANDRAKANT</t>
  </si>
  <si>
    <t>BEDRE</t>
  </si>
  <si>
    <t>adityabedre.ab@gmail.com</t>
  </si>
  <si>
    <t>https://www.linkedin.com/in/aditya-bedre-54084b241</t>
  </si>
  <si>
    <t>CHANDRAKANT BEDRE</t>
  </si>
  <si>
    <t>CHANDRABHAGA</t>
  </si>
  <si>
    <t>2nd lane, behind bus stop, Rashin, Tal.karjat, Dist. Ahmednagar- 414403</t>
  </si>
  <si>
    <t>Microsoft DP-900: Azure Data Fundamentals</t>
  </si>
  <si>
    <t>Industry Training by Zensar</t>
  </si>
  <si>
    <t>Certification : Getting Started with Python</t>
  </si>
  <si>
    <t>Certification: Responsive Web Designing</t>
  </si>
  <si>
    <t>Software development Internship at Samyak Software Pvt. Ltd., Mumbai</t>
  </si>
  <si>
    <t>ERP Development for gems and jewelry industry at Samyak Software Mumbai.</t>
  </si>
  <si>
    <t>AutoCAD, Fusion 360, MATLAB, Blender, Tableau, PowerBI Desktop.</t>
  </si>
  <si>
    <t>Event: Microsoft Azure Virtual Training Day: Fundamentals</t>
  </si>
  <si>
    <t>1. Industry training by Zensar and RPG Foundation
2. Persistent Martian Programe</t>
  </si>
  <si>
    <t>Participated in Interdepartmental Sports event - Kho-Kho</t>
  </si>
  <si>
    <t>https://preskilet.com/watch?v=62a3849da6956a00046005af</t>
  </si>
  <si>
    <t>https://drive.google.com/open?id=1edP4NWhpLwhTrxT6ypPksoiwEGeTam39</t>
  </si>
  <si>
    <t>https://drive.google.com/open?id=1ntTcN5jNWA_5LOgaijWPXXA0kcJa0_I5</t>
  </si>
  <si>
    <t>https://drive.google.com/open?id=1geudoPJCQRKIbF74z6wx6AFLRn31myRJ</t>
  </si>
  <si>
    <t>https://drive.google.com/open?id=1BaHdAqbDN5boHXixqHkMqkkwCM7MkS7a</t>
  </si>
  <si>
    <t>https://drive.google.com/open?id=1ujzHZ_pnFnmvaZxFeohGN6GVVTf7q8BU</t>
  </si>
  <si>
    <t>https://drive.google.com/open?id=1TzSgLR17RON3RASWUhMe1mkBQw3BzCjA</t>
  </si>
  <si>
    <t>0120190209</t>
  </si>
  <si>
    <t>DIVYANSHU</t>
  </si>
  <si>
    <t>MAMIDWAR</t>
  </si>
  <si>
    <t>mamidwardivyanshu@gmail.com</t>
  </si>
  <si>
    <t>https://www.linkedin.com/in/divyanshu-mamidwar-998835238/</t>
  </si>
  <si>
    <t>VIJAYSHRI</t>
  </si>
  <si>
    <t>Triskashi Niwas, Backside of Bharat Gas Godown, Maganpura, New Mondha, Nanded, Maharshtra</t>
  </si>
  <si>
    <t>Flat no. 46, Heritage Complex, near Gajanan Maharaj Mandir, Alandi, Pune, Mahrashtra</t>
  </si>
  <si>
    <t>web development project- Inventory management system</t>
  </si>
  <si>
    <t>CRUD App with Angular - Php &amp; MySQL under Suven Consultants &amp; Technology Pvt Ltd.</t>
  </si>
  <si>
    <t>Campus Navigation using Augmented Reality</t>
  </si>
  <si>
    <t>Certificate of Publication in Strad Research Publication</t>
  </si>
  <si>
    <t>Runners up in Abacus at National level</t>
  </si>
  <si>
    <t>Committee head ‘Team Chakrvyuh’, successfully organized intra-college BGMI E-sport event.</t>
  </si>
  <si>
    <t>https://preskilet.com/watch?v=62b55ae1af4f2700045cdd6b</t>
  </si>
  <si>
    <t>https://drive.google.com/open?id=1m362hK0SdSWHdxuZ6Yeg3eR_oplvakyV</t>
  </si>
  <si>
    <t>https://drive.google.com/open?id=1rtCA7xOKOo8Dj8QEd2WyBiKjJAcL3wng</t>
  </si>
  <si>
    <t>https://drive.google.com/open?id=1oi1LXu1KZOV0tx9XZojLzQg2oQi8hTau</t>
  </si>
  <si>
    <t>0120190212</t>
  </si>
  <si>
    <t>AJAY</t>
  </si>
  <si>
    <t>CHANDRAKANAT</t>
  </si>
  <si>
    <t>MAHAJAN</t>
  </si>
  <si>
    <t>ajmahajan109@gmail.com</t>
  </si>
  <si>
    <t>https://www.linkedin.com/in/ajay-mahajan-56a025221</t>
  </si>
  <si>
    <t>GANGASAGAR</t>
  </si>
  <si>
    <t>Ajay Trades ,Main road Barahali ,TQ. Mukhed ,Dist. Nanded</t>
  </si>
  <si>
    <t>B-14 Concept Heritage
Near MIT Arts and Commerce College, Dehu Phata, Alandi - 412105</t>
  </si>
  <si>
    <t>"oracle certified Foundations Associate"</t>
  </si>
  <si>
    <t>"springboard Infosys-Programming using Java"</t>
  </si>
  <si>
    <t>"Microsoft Azure AZ-900"</t>
  </si>
  <si>
    <t>Coursera-Programming For everybody, HTML</t>
  </si>
  <si>
    <t>Coursera-Front-End Web UI Frameworks and Tools: Bootstrap 4</t>
  </si>
  <si>
    <t>Persistent-Martians program</t>
  </si>
  <si>
    <t xml:space="preserve">WEB PORTAL AND APPLICATION DEVELOPMENT FOR ERP DEVELOPED FOR THE JAPANESE GEMS &amp; JEWELRY INDUSTRY.
</t>
  </si>
  <si>
    <t>https://drive.google.com/file/d/1CQxTSlHY32NlsihX2BadZUVkwcYyDS5p/view?usp=drivesdk</t>
  </si>
  <si>
    <t>https://drive.google.com/open?id=1SQNGwnnV5fWplknnnTopseKXyekTI6F_</t>
  </si>
  <si>
    <t>https://drive.google.com/open?id=19AOBtl17No6qbsZQNOdDVp74LYvAi2Mr</t>
  </si>
  <si>
    <t>https://drive.google.com/open?id=1cNK7Rrbz_5dFzujrcvAdJZU3uv5E64Xe</t>
  </si>
  <si>
    <t>https://drive.google.com/open?id=1X3fpVPPmJEH36-ikOumVhCtq-t6gwbN0</t>
  </si>
  <si>
    <t>https://drive.google.com/open?id=1B3VeRokfrjjTMC-lCWoFP8jBik-x0LPs</t>
  </si>
  <si>
    <t>https://drive.google.com/open?id=17x6VoeJxny2imCYCLmWCYPRdQ-_-UWUy</t>
  </si>
  <si>
    <t>0120190222</t>
  </si>
  <si>
    <t>SANJIVKUMAR</t>
  </si>
  <si>
    <t>ZOPE</t>
  </si>
  <si>
    <t>zopetejas122001@gmail.com</t>
  </si>
  <si>
    <t>https://www.linkedin.com/in/tejas-zope-1377211b6/</t>
  </si>
  <si>
    <t>SANJIVKUMAR DNYANESHWAR ZOPE</t>
  </si>
  <si>
    <t>HARSHA SANJIVKUMAR ZOPE</t>
  </si>
  <si>
    <t>22, Sadhana Nagar, near Police Station, Varangaon, tal- Bhusawal, dist- Jalgaon, PIN- 425305</t>
  </si>
  <si>
    <t>Indrayani boys hostel, Hindavi colony, near MIT Academy of Engineering Alandi, Pune, Maharashtra. PIN- 412105</t>
  </si>
  <si>
    <t xml:space="preserve"> Microsoft DP-900</t>
  </si>
  <si>
    <t>OCI Foundations Associate
Google Data Analytics</t>
  </si>
  <si>
    <t xml:space="preserve">Internshala training internship in Web Development </t>
  </si>
  <si>
    <t>Internshala training internship in Android App Development</t>
  </si>
  <si>
    <t xml:space="preserve">SQL developer in data engineering domain at Celebal Technologies Pune. </t>
  </si>
  <si>
    <t xml:space="preserve">Samyak Softwares </t>
  </si>
  <si>
    <t>Web portal and application development for ERP developed for the Japanese gems &amp; jewelry industry</t>
  </si>
  <si>
    <t>Python, Java, C/C++, HTML, CSS, JavaScript, PHP, TypeScript</t>
  </si>
  <si>
    <t>Angular, Express JS</t>
  </si>
  <si>
    <t xml:space="preserve">Visual Studio; SSMS; </t>
  </si>
  <si>
    <t xml:space="preserve">Infosys Certification exam; HackWithInfy Exam; TCS Codevita; </t>
  </si>
  <si>
    <t xml:space="preserve">Pre-Placement Opportunity in Infosys for Digital specialist role </t>
  </si>
  <si>
    <t>30 days google cloud program</t>
  </si>
  <si>
    <t>https://drive.google.com/drive/folders/1qRmHFZBTIMQux_Kq1_Uc4KDNWt5mjZAB?usp=sharing</t>
  </si>
  <si>
    <t>https://drive.google.com/open?id=1mYY-7JMadPHLGD2ESJi8IgDPQg6jo61Q</t>
  </si>
  <si>
    <t>https://drive.google.com/open?id=1kLusJSKpW9BG9StNcZxoqYL_9C0KBPay</t>
  </si>
  <si>
    <t>https://drive.google.com/open?id=13TCbtPS9GebGQZoVYKj__mAS0Bdxvi7G</t>
  </si>
  <si>
    <t>https://drive.google.com/open?id=1PB2OCejVDiyKNbuc02CzkI4aOKy93a1C</t>
  </si>
  <si>
    <t>https://drive.google.com/open?id=1uVGYutUj6B6pEIJcDyDXlvEwkncv4uze</t>
  </si>
  <si>
    <t>0120190232</t>
  </si>
  <si>
    <t>VEDANT</t>
  </si>
  <si>
    <t>AVINASH</t>
  </si>
  <si>
    <t>DAWANGE</t>
  </si>
  <si>
    <t>vedantdawange@gmail.com</t>
  </si>
  <si>
    <t>https://www.linkedin.com/in/vedant-dawange/</t>
  </si>
  <si>
    <t xml:space="preserve">SHILPA </t>
  </si>
  <si>
    <t>6 Vyankatesh park, Sawarkar Nagar, Gangapur Road, near New Rachna, Nashik 422013</t>
  </si>
  <si>
    <t>302 Girindu, Tapkir Nagar, Dehu phata, Alandi, Pune 412105</t>
  </si>
  <si>
    <t>Microsoft DP-900: Microsoft Azure Data Fundamentals</t>
  </si>
  <si>
    <t>Internshala: Android Application Development
HTML, CSS, and Javascript for Web Developers- Coursera</t>
  </si>
  <si>
    <t>Recruit NXT - Application Tracking system</t>
  </si>
  <si>
    <t>Python, Java, C/C++, HTML, CSS, JavaScript, Kotlin</t>
  </si>
  <si>
    <t>Android Development (Java/Kotlin), Spring &amp; Hibernate (Java)</t>
  </si>
  <si>
    <t>Figma, Adobe XD</t>
  </si>
  <si>
    <t>SIH participation in 2022</t>
  </si>
  <si>
    <t>Head of Design and Social media Section of Ajaanvriksha  - official cultural magazine of MIT Academy of Engineering</t>
  </si>
  <si>
    <t>https://preskilet.com/watch?v=6294ba596dfec6000459101b</t>
  </si>
  <si>
    <t>https://drive.google.com/open?id=1W1kO8NCtrOlKKBm8nkLbHHAn4CpPesSo</t>
  </si>
  <si>
    <t>https://drive.google.com/open?id=1yUOWywkK78NqNbenwb-vK8ZopAnsI7Pj</t>
  </si>
  <si>
    <t>https://drive.google.com/open?id=1Px4t1FMiUW7gPEGyz1tJ3MeOF6kWtcaM</t>
  </si>
  <si>
    <t>0120190237</t>
  </si>
  <si>
    <t>HOUDE</t>
  </si>
  <si>
    <t>houde.sanket28@gmail.com</t>
  </si>
  <si>
    <t>www.linkedin.com/in/sanket-houde-7122b0220</t>
  </si>
  <si>
    <t>HOUDE RAJENDRA SATLINGAPPA</t>
  </si>
  <si>
    <t>HOUDE ANITA RAJENDRA</t>
  </si>
  <si>
    <t>264B, Om nam shivay nagar, hatture wasti, Opp. Airport, Hotgi road, Solapur, 413224</t>
  </si>
  <si>
    <t>Microsoft DP-900: Microsoft Azure Data Fundamentals
Microsoft AZ-900: Microsoft Azure Fundamentals
Google Data Analytics
AWS Academy Graduate - AWS Academy Cloud Foundations</t>
  </si>
  <si>
    <t>AWS Certified Cloud Practitioner exam (CLF-C01)
Zensar ESD Program</t>
  </si>
  <si>
    <t>UInSports Inc.</t>
  </si>
  <si>
    <t>Web application for developing Global sports ecosystem</t>
  </si>
  <si>
    <t>Python, C/C++, HTML, CSS, JavaScript, SQL, Linux</t>
  </si>
  <si>
    <t>React.js (JavaScript/Typescript), Angular, Flask (Python), Flutter</t>
  </si>
  <si>
    <t>AutoCAD, Fusion 360, Figma, MATLAB,  Tableau</t>
  </si>
  <si>
    <t>Kannada</t>
  </si>
  <si>
    <t>Flipkart GRiD 4.0 - Software Development Challenge
Codechef January Challenge 2021
Explore Machine Learning Workshop by Developer Students Club MITAOE</t>
  </si>
  <si>
    <t>Persistent Martian Program 2022</t>
  </si>
  <si>
    <t>https://preskilet.com/watch?v=62b30288cd590700045fb4ed</t>
  </si>
  <si>
    <t>https://drive.google.com/open?id=1h_0AI9P59ezm7R2EysuyPVbuPUpaLfRV</t>
  </si>
  <si>
    <t>https://drive.google.com/open?id=1Um6tcnGtrHWQE41syUy5DdOm3OMGyMe2</t>
  </si>
  <si>
    <t>https://drive.google.com/open?id=1vB97LJSOF_EmrcIHU5rc2iKvzYX-4z7X</t>
  </si>
  <si>
    <t>https://drive.google.com/open?id=16cix1BilchxVlkInSzQMSdZmgx5F8jwp</t>
  </si>
  <si>
    <t>https://drive.google.com/open?id=1uHCpqasW2ge17sj49KnqkRmSMPwiAuyG</t>
  </si>
  <si>
    <t>https://drive.google.com/open?id=1K92Oa8bqLQuFpqSdzcAqdm7Jf8XkFOli</t>
  </si>
  <si>
    <t xml:space="preserve">Added two more technical certifications </t>
  </si>
  <si>
    <t>0120190244</t>
  </si>
  <si>
    <t>SHIVAM</t>
  </si>
  <si>
    <t>RAJARAM</t>
  </si>
  <si>
    <t>shivamshinde240@gmail.com</t>
  </si>
  <si>
    <t>https://www.linkedin.com/in/shivam-shinde-5428831a8/</t>
  </si>
  <si>
    <t>RAJARAM DINKAR SHINDE</t>
  </si>
  <si>
    <t>SUNITA RAJARAM SHINDE</t>
  </si>
  <si>
    <t>At. post Dhaval Tal.Phaltan Dist.Satara, 415523, Maharashtra</t>
  </si>
  <si>
    <t>Tejomay Apartment, Swami Vivekanand Nagar, Phaltan Dist. Satara, 415523, Maharashtra</t>
  </si>
  <si>
    <t xml:space="preserve">
Zensar ESD Program</t>
  </si>
  <si>
    <t>Internshala Machine Learning Training Program
Description: About the 'Machine Learning' Training Machine Learning is a 6-week online training program which will give you a comprehensive introduction to the world of Machine Learning. In this training program, I learned Python programming, steps involved in ML life cycle, visualization techniques for data analysis, and various Machine Learning algorithms. I learned all these things through video tutorials. For a great hands-on learning experience, this training program is packed with assignments, assessment tests, quizzes, and practice exercises. At the end of this training program, I have gained solid understanding of Machine Learning techniques and now, I am able to build end-to-end predictive models. For doubt clearing, there is forum so that place we can post our queries in the forum and get answers within 24 hours.
Project Problem Statement :
Your client is a Financial Distribution company. Over the last 10 years, they have created an 
offline distribution channel across the country. They sell Financial products to consumers by 
hiring agents in their network. These agents are freelancers and get a commission when they make a product sale.
SY Project:
MONITORING SOCIAL DISTANCING USING PYTHON LANGUAGE
Detect people who violets social distancing rule. Developed a model by using the python 
language and its some important libraries which can identify whether the subjects in the 
input stream are following social distancing or not. Input can be an image, video, and 
webcam. My role in this project was to work on GUI and algorithms.</t>
  </si>
  <si>
    <t>Celebal technologies: Celebal Summer Intern(CSI)
Data Science Domain
Roles and responsibilities of a CSI:
1. Maintaining the prescribed code of conduct.
2. Completing all the projects &amp; Tasks assigned in time. 
3. Managing the assigned Project team.
4. Participating in social media branding campaigns and learning how to communicate for
 a brand online</t>
  </si>
  <si>
    <t>AN AUTOMATED FACIAL MASK DETECTION SYSTEM,
MONITORING SOCIAL DISTANCING USING PYTHON LANGUAGE,
GROCERY STORE MANAGEMENT SYSTEM</t>
  </si>
  <si>
    <t>Python, Java, C/C++, HTML, CSS, JavaScript, PHP</t>
  </si>
  <si>
    <t xml:space="preserve">1) 30 Days of Google Cloud program (Cloud Engineering and Data Science &amp; Machine Learning Track)
2) International Youth Math Challenge 
3) National Level Technical Event "Equilibrium 2022" : Datathon 2022
</t>
  </si>
  <si>
    <t>Internshala : Machine Learning Training Program</t>
  </si>
  <si>
    <t>1) "Communication Development Bootcamp” conducted by Testbook Skill Academy
2) Juspay Hiring Challenge 2022 organised by Juspay
3) Innovaccer's HackerCamp'22 powered by Microsoft organised by Innovaccer
4) 10 hours workshop on “Starting with Aptitude Preparation
5) Talent Battle - TCS iON National Level Internship Eligibility Test
6) Introduction to JAVA by coding ninjas
7) Participated many quiz competitions conducted at national levels and many guest lectures and bootcamps</t>
  </si>
  <si>
    <t>https://preskilet.com/watch?v=62a43908589aee0004d983b6</t>
  </si>
  <si>
    <t>https://drive.google.com/open?id=12OFU5i7maKbfihzDKNM0--oPYKW7UcwH</t>
  </si>
  <si>
    <t>https://drive.google.com/open?id=12tJTpTYrZtGmtqESZrmdd7MwZhWWQYEa</t>
  </si>
  <si>
    <t>https://drive.google.com/open?id=1Rqm4qcWgIYtO9sEEc0kwbAebfc5I4M9M</t>
  </si>
  <si>
    <t>https://drive.google.com/open?id=1GSadcR-LcQyZdsKVw5UAdaPQybvhVbUn</t>
  </si>
  <si>
    <t>https://drive.google.com/open?id=1BoN895wct7IZq8f9NmTneq9dt9ZEQVoh</t>
  </si>
  <si>
    <t>0120190254</t>
  </si>
  <si>
    <t>SUPARNA</t>
  </si>
  <si>
    <t xml:space="preserve">PULAK </t>
  </si>
  <si>
    <t>dassuparna148@gmail.com</t>
  </si>
  <si>
    <t>www.linkedin.com/in/suparna-das-b46333232</t>
  </si>
  <si>
    <t>PULAK DAS</t>
  </si>
  <si>
    <t>REENA DAS</t>
  </si>
  <si>
    <t>B-706, OXY VALLEY PHASE-I, BAKORI ROAD, WAGHOLI, PUNE, MAHARASHTRA-412207</t>
  </si>
  <si>
    <t>Advanced Certification in Data Science and AI by IIT Madras</t>
  </si>
  <si>
    <t>Certification : Programming for Everybody (Getting Started with
Python)</t>
  </si>
  <si>
    <t>Certification : Ethical Hacking</t>
  </si>
  <si>
    <t>Python Developer at BlueBenz Digitizations Private Limited.</t>
  </si>
  <si>
    <t>Credit Card Fraud Detection System using Machine Learning algorithms like SVM , KNN and Deep learning algorithms like DNN (Deep Neural Networks) and GRU (Gated Recurrent Unit).</t>
  </si>
  <si>
    <t>Python, C/C++, HTML, CSS, JavaScript, PHP</t>
  </si>
  <si>
    <t>French, Japanese</t>
  </si>
  <si>
    <t xml:space="preserve">Participated in Campus Beats by ZS Associates 
Participated in Juspay Hiring Challenge </t>
  </si>
  <si>
    <t>Participated in the Juspay Coding Challenge (02/2022 - 02/2022)
Presented Research Paper at SVNIT, Surat (06/2021 - 06/2021)</t>
  </si>
  <si>
    <t>https://preskilet.com/spdas@mitaoe.ac.in</t>
  </si>
  <si>
    <t>https://drive.google.com/open?id=1R_KhekUHSu6XU-VECTuwbgn3eK2dPB_S</t>
  </si>
  <si>
    <t>https://drive.google.com/open?id=1JlUsPUwwIfUirLYDhWwnd4__hgBgmsXY</t>
  </si>
  <si>
    <t>https://drive.google.com/open?id=1tRQMdP4rmmHb9G-uvczgKwKl8HqK3hW6</t>
  </si>
  <si>
    <t>https://drive.google.com/open?id=1EnaLBzPLrAYsXOqEVoZdAcQKI6gWcITQ</t>
  </si>
  <si>
    <t>https://drive.google.com/open?id=1WECopsaKMLVj5wBvNf6j0QwzXv_o9FJ7</t>
  </si>
  <si>
    <t>no update</t>
  </si>
  <si>
    <t>0120190260</t>
  </si>
  <si>
    <t>PANKAJ</t>
  </si>
  <si>
    <t>SATYANARAYAN</t>
  </si>
  <si>
    <t>pankajsattusingh143@gmail.com</t>
  </si>
  <si>
    <t>https://www.linkedin.com/in/pankaj-singh-989579202</t>
  </si>
  <si>
    <t>SATYA NARAYAN SINGH</t>
  </si>
  <si>
    <t>MEERA SINGH</t>
  </si>
  <si>
    <t>ROOM NO.302 A3 WING RIDDHI SIDDHI COMPLEX TEMGHAR PADHA BHIWANDI 421302</t>
  </si>
  <si>
    <t>ROOM NO. 302 A WING DISHA HILLMIST ABOVE RTO OFFICE ALANDI 412105</t>
  </si>
  <si>
    <t>ORACLE Foundation</t>
  </si>
  <si>
    <t>Palo alto</t>
  </si>
  <si>
    <t>VIEH</t>
  </si>
  <si>
    <t>https://preskilet.com/watch?v=62975ca95545ea0004a925c1</t>
  </si>
  <si>
    <t>https://drive.google.com/open?id=1FVYf7VkRZxvmIK-nSMwThfWxCfgciYzr</t>
  </si>
  <si>
    <t>https://drive.google.com/open?id=1Q0AbExoSi12DpKG6qF7nPxbZmPSN88Wd</t>
  </si>
  <si>
    <t>https://drive.google.com/open?id=17vYWEZ2eytN_zR8toiMGsLcnbJH-74lC</t>
  </si>
  <si>
    <t>https://drive.google.com/open?id=1zUIbJ8kkUYSVhU9TWqVKACEuIGigi3FJ</t>
  </si>
  <si>
    <t>0120190270</t>
  </si>
  <si>
    <t>ANUSHKA</t>
  </si>
  <si>
    <t>YADAV</t>
  </si>
  <si>
    <t>anushka604f@gmail.com</t>
  </si>
  <si>
    <t>https://www.linkedin.com/in/yanushka/</t>
  </si>
  <si>
    <t>ASHOK KUMAR YADAV</t>
  </si>
  <si>
    <t>NILIMA DUTT</t>
  </si>
  <si>
    <t>KBN LION ENCLAVE, SUNDERPUR, VARANASI,221005</t>
  </si>
  <si>
    <t>"Palo Alto Networks - Cyber Security"</t>
  </si>
  <si>
    <t xml:space="preserve">Graphic Design Intern at Shiftkaro                                                                                                        Responsible for day to day posts, stories and Advertisement 
Designed Use cases, DFD, Architecture, Pitch Deck PPT
Collaborated with Marketing team 
</t>
  </si>
  <si>
    <t>UI Developer Intern at Krishigati Pvt Ltd.                                                                                          
Developed new features for easy interaction for farmers based in India
Features - Multilingual, News updates, Easy Checkouts &amp; Product mockup
Wireframed, User Flow</t>
  </si>
  <si>
    <t xml:space="preserve">Web Developemet Intern at Techsword Solutions                                                                                                                                    Fundamentals Web Developemnt using HTML, CSS, JAVASCRIPT </t>
  </si>
  <si>
    <t xml:space="preserve">Device based Encryption and Decryption </t>
  </si>
  <si>
    <t>React.js (JavaScript/Typescript), Laravel (PHP), Django (Python)</t>
  </si>
  <si>
    <t>AutoCAD, Fusion 360, Figma, Adobe XD, MATLAB, Photoshop</t>
  </si>
  <si>
    <t>Participated in Smart India Hackathon</t>
  </si>
  <si>
    <t>Head of Design and Social Media team of Entrepreneurship cell, Freelancing in UI/UX</t>
  </si>
  <si>
    <t>https://preskilet.com/watch?v=62a367afa6956a000460005c</t>
  </si>
  <si>
    <t>https://drive.google.com/open?id=1hNLdTTLghtcMXGljGrhgjoruOyRJyCej</t>
  </si>
  <si>
    <t>https://drive.google.com/open?id=1XlEBdkfdBCsReNuHYJj-9hbrQeCen21I</t>
  </si>
  <si>
    <t>https://drive.google.com/open?id=1kgkWSLJCxQOcSD5H4YOu88vM5fGTFCdQ</t>
  </si>
  <si>
    <t>https://drive.google.com/open?id=10pzR6NWzaFFf4bid-P1tc8hY3GHoQt0q</t>
  </si>
  <si>
    <t>https://drive.google.com/open?id=1CnRyVsyGdblDaZfxmkMVhSHuwiDN9rXy</t>
  </si>
  <si>
    <t>https://drive.google.com/open?id=1knyGSpurDMSXCZenhKVON3zFp6Bi3PMP</t>
  </si>
  <si>
    <t>0120190285</t>
  </si>
  <si>
    <t>CHARUDATTA</t>
  </si>
  <si>
    <t>TOPARE</t>
  </si>
  <si>
    <t>ct21032001@gmail.com</t>
  </si>
  <si>
    <t>https://www.linkedin.com/in/charudatta-topare-242632169/</t>
  </si>
  <si>
    <t>SHYAMKANT TOPARE</t>
  </si>
  <si>
    <t>CHITRA TOPARE</t>
  </si>
  <si>
    <t>154-A Shri Swami Samarth, Vrindavan Colony, Sai Nagar, Amravati, 444607</t>
  </si>
  <si>
    <t>302-A Disha Hillmist, above Alandi RTO sub Station, Alandi, Pune</t>
  </si>
  <si>
    <t>ME104T ENGINEERING GRAPHICS</t>
  </si>
  <si>
    <t>Palo Alto Cybersecurity Fundamentals</t>
  </si>
  <si>
    <t>Microsoft SE-900</t>
  </si>
  <si>
    <t>Internshala Ethical Hacking</t>
  </si>
  <si>
    <t>Cyber Vidyapeeth</t>
  </si>
  <si>
    <t>Facial, speech and text based emotion detection and recommendation system using hybrid machine learning algorithm</t>
  </si>
  <si>
    <t>Python, C/C++, Rust</t>
  </si>
  <si>
    <t>Sanskrit, Telugu</t>
  </si>
  <si>
    <t xml:space="preserve">Reverse Engineering and Malware Analysis </t>
  </si>
  <si>
    <t>NahamCon CTF, Hack The Box CTF</t>
  </si>
  <si>
    <t>https://drive.google.com/file/d/15H8Z325gYbK7GZnRG3-CMjVTw982jWia/view?usp=sharing</t>
  </si>
  <si>
    <t>https://drive.google.com/open?id=1lFKNpYqZdLiByRx951aseVCwiDThBkj3</t>
  </si>
  <si>
    <t>https://drive.google.com/open?id=1OuedzzvdBI228wfXhczXrkvYpPjAvM3O</t>
  </si>
  <si>
    <t>https://drive.google.com/open?id=17IrnxSLBemfRm8DeCIvRiCvDCZEwt1m1</t>
  </si>
  <si>
    <t>https://drive.google.com/open?id=1w-JeiL_nEJUOfrG_fH7z_R8ayIXw4UL8</t>
  </si>
  <si>
    <t>https://drive.google.com/open?id=1UOUHSFjre1c34rGF2x5gPgAzHGYtqAF0</t>
  </si>
  <si>
    <t>0120190287</t>
  </si>
  <si>
    <t>YASH</t>
  </si>
  <si>
    <t>JAWARE</t>
  </si>
  <si>
    <t>ycjaware@gmail.com</t>
  </si>
  <si>
    <t>www.linkedin.com/in/yash-jaware-36544b213</t>
  </si>
  <si>
    <t>Sabne Layout Ghatpuri Road Near Saraswati Temple khamgaon pincode-444303,District Buldhana,State Maharastra</t>
  </si>
  <si>
    <t>Oracle Certified Foundations Associate,FUTURE READY TAKENT BY MICROSOFT</t>
  </si>
  <si>
    <t>Machine Learning Foundations by University of Washington</t>
  </si>
  <si>
    <t>Persitent System Martian certificate</t>
  </si>
  <si>
    <t xml:space="preserve">Real life applications of machine learning the product suggestion application in e commerce.  </t>
  </si>
  <si>
    <t>Persistent System Martian program</t>
  </si>
  <si>
    <t>Stock Market Prediction Using ACO</t>
  </si>
  <si>
    <t>Angular, Django (Python)</t>
  </si>
  <si>
    <t>Unnat Bharat Hackathon for Rural Devlopment</t>
  </si>
  <si>
    <t>https://preskilet.com/watch?v=62bdc2709535010004fd28f2</t>
  </si>
  <si>
    <t>https://drive.google.com/open?id=1zx0M5exH1Ntv8inbBVxRZP2Cx6dssioh</t>
  </si>
  <si>
    <t>https://drive.google.com/open?id=1wednTk5EFO8oZKgPMkQI9QgLBfxA1buc</t>
  </si>
  <si>
    <t>https://drive.google.com/open?id=17FftotD6Y7xiDp6b9Psqvzmlp7lELQ-P</t>
  </si>
  <si>
    <t>https://drive.google.com/open?id=1XqlsrbCrQmzPHnMHLeFpsw7s9K9cYMus</t>
  </si>
  <si>
    <t>https://drive.google.com/open?id=1mcO-1IzfB1eFEsLGV4s0XIk7lXZS2lkM</t>
  </si>
  <si>
    <t>https://drive.google.com/open?id=1YCmzDJHGxYNVhB8raujGYmjKrYGJXg2D</t>
  </si>
  <si>
    <t>https://drive.google.com/open?id=1DX7_lkCh5QlZi9aIlzeyzXykBl9IGCaR</t>
  </si>
  <si>
    <t>amcat reports and branch,updated technical certifications</t>
  </si>
  <si>
    <t>0120190298</t>
  </si>
  <si>
    <t>YEESHANT</t>
  </si>
  <si>
    <t>SHESHRAO</t>
  </si>
  <si>
    <t>DAHIKAR</t>
  </si>
  <si>
    <t>dahikar.yeeshant@gmail.com</t>
  </si>
  <si>
    <t xml:space="preserve">ysdahikar@mitaoe.ac.in </t>
  </si>
  <si>
    <t>https://www.linkedin.com/in/yeeshant-dahikar/</t>
  </si>
  <si>
    <t xml:space="preserve">SHESHRAO </t>
  </si>
  <si>
    <t xml:space="preserve">USHA </t>
  </si>
  <si>
    <t>Rajarshi Shahu nagar, Arjuni/Mor, pin - 441701</t>
  </si>
  <si>
    <t>Tapkir Nagar, Alandi, Pune</t>
  </si>
  <si>
    <t>Zensar ESD</t>
  </si>
  <si>
    <t>Web Development Training by Internshala</t>
  </si>
  <si>
    <t xml:space="preserve">1.Ecommerse app development (project)
2.Graphics Design Internship </t>
  </si>
  <si>
    <t xml:space="preserve">Artificial intelligence and Machine Learning Internship (company - Critical Ai) </t>
  </si>
  <si>
    <t>Automatic Devanagari Text Recognition</t>
  </si>
  <si>
    <t>Android Development (Java/Kotlin), Angular, Laravel (PHP), Flask (Python)</t>
  </si>
  <si>
    <t>AutoCAD, Fusion 360, CATIA, Figma, Adobe XD, Proteus, MATLAB</t>
  </si>
  <si>
    <t>Participated in 
1.Hackathon 
2.Datathon 
3.Project Expo</t>
  </si>
  <si>
    <t>National Technical Event Equilibrium 2022</t>
  </si>
  <si>
    <t>1.Zensar ESD program by Zensar technologies
2.Web development Training program by Internshala</t>
  </si>
  <si>
    <t>Participated in intercollege Volleyball tournaments  and College sports</t>
  </si>
  <si>
    <t>https://preskilet.com/watch?v=62a2f831a6956a00045ff54e</t>
  </si>
  <si>
    <t>https://drive.google.com/open?id=19nyWbWLC4YWHQdK6nGEW5LFjOCQzIir8</t>
  </si>
  <si>
    <t>https://drive.google.com/open?id=1egS6VTgVObnEQtBAInfC17AaJTgLF5Dk</t>
  </si>
  <si>
    <t>https://drive.google.com/open?id=1h-PhMW0b71dVVgcE73B88lWt1WAd_Nlc</t>
  </si>
  <si>
    <t>https://drive.google.com/open?id=1CQ5w2esCX3L3FJU6JGg3nmYSkDxLmVA7</t>
  </si>
  <si>
    <t>https://drive.google.com/open?id=1rEz-xNj6mJCCCSy10swpqJgcvQg42rqd</t>
  </si>
  <si>
    <t>https://drive.google.com/open?id=1i0Av7GiPTQsBvRGdSDQrDa8igIsHqLUl</t>
  </si>
  <si>
    <t>https://drive.google.com/open?id=1Hc3M0w8Eod9m6TCniRgpYTlX6na9aboi</t>
  </si>
  <si>
    <t>I have updated Technical Certificates because I didn't upload the required certifications which are important for placements. Now I have uploaded new certifications which I completed.</t>
  </si>
  <si>
    <t>0120190308</t>
  </si>
  <si>
    <t>RAJ</t>
  </si>
  <si>
    <t>CHANDRASHEKHAR</t>
  </si>
  <si>
    <t>PANDEY</t>
  </si>
  <si>
    <t>rp653242@gmail.com</t>
  </si>
  <si>
    <t>https://www.linkedin.com/in/raj-pandey-82773a192</t>
  </si>
  <si>
    <t>CHANDRASHEKHAR RAGHUNATH PANDEY</t>
  </si>
  <si>
    <t>KUMKUM CHANDRASHEKHAR PANDEY</t>
  </si>
  <si>
    <t>A-305 Surya Kiran CHS, Plot No. 12/13, Sector-5, Ghansoli, Navi Mumbai 400701</t>
  </si>
  <si>
    <t>A3 Pragati Boys Hostel, MVCR+467, Vishweshwar Nagar, Dehu Phata, Maharashtra 412105</t>
  </si>
  <si>
    <t>IUCEE AI for All
Matlab Onramp</t>
  </si>
  <si>
    <t>Completed Courses on Coursera</t>
  </si>
  <si>
    <t>Software Development Intern at Codekul Pvt Ltd where we developed an application for service management system using ReactJS, Springboot, and Mysql. I was appointed as a Team Leader for the same where my responsibilities were to check everyone work and help them wherever the need arose.</t>
  </si>
  <si>
    <t>Data Science Intern at Celebal Technologies Ltd</t>
  </si>
  <si>
    <t>Interview Chatbot - where firstly the candidate resume would be scanned and skills would be extracted and candidate would be given appropriate Job role, and based on skills extracted candidate would be asked different questions that would be autogenerated from the paragraphs for the skills stored, based on the candidates response next questions would be asked and a score card would be generated based on interview and the candidate’s resume match with JD. During the QnA the camera would be used to proctor the interview and firstly candidate would be verified by matching with photo submitted during the resume submission</t>
  </si>
  <si>
    <t xml:space="preserve">Participated in Datathon </t>
  </si>
  <si>
    <t>Formal Anchor at Nakshatra 2022</t>
  </si>
  <si>
    <t>https://preskilet.com/watch?v=629665b7716ac1000498194a</t>
  </si>
  <si>
    <t>https://drive.google.com/open?id=1uGoG_qIFJmcpQ8mpsDRLt1mtiVz-SMg_</t>
  </si>
  <si>
    <t>https://drive.google.com/open?id=18dzjsM4CXT9VXwBIfaY_O_1Sbp_9uobG</t>
  </si>
  <si>
    <t>https://drive.google.com/open?id=1MeZ0AI82Y3h-qfeR33jsesSRd6eDBcfI</t>
  </si>
  <si>
    <t>https://drive.google.com/open?id=1gUXDOXlpJdSPtIIEUgTll0SG5dVJDkpl</t>
  </si>
  <si>
    <t>https://drive.google.com/open?id=1kycxdN7CK7a4hr6YpUE2OslPsxqEm9oU</t>
  </si>
  <si>
    <t>https://drive.google.com/open?id=1pe7UYQXEhap2gP84n0mndapbOxSEk_8M</t>
  </si>
  <si>
    <t>0120190322</t>
  </si>
  <si>
    <t>MAYUR</t>
  </si>
  <si>
    <t xml:space="preserve">BABASAHEB </t>
  </si>
  <si>
    <t>GADHAVE</t>
  </si>
  <si>
    <t>mayurgadhave01@gmail.com</t>
  </si>
  <si>
    <t>www.linkedin.com/in/mayur-gadhave-21072001</t>
  </si>
  <si>
    <t>BABASAHEB GADHAVE</t>
  </si>
  <si>
    <t>SUNANDA GADHAVE</t>
  </si>
  <si>
    <t>A/P- JAMBUT, TAL- SHIRUR, DIST- PUNE</t>
  </si>
  <si>
    <t>B-102, KALPVRUKSHA SOCIETY, JAWALKAR NAGAR, PIMPLE GURAV, PUNE 411061</t>
  </si>
  <si>
    <t xml:space="preserve">Microsoft AI-900: Microsoft Azure AI </t>
  </si>
  <si>
    <t>Data Fundamentals DP-900</t>
  </si>
  <si>
    <t>Coursera Training : Python For Everybody</t>
  </si>
  <si>
    <t>Research intern at Saksham: Child Welfare &amp; Educational Trust
Role and Responsibility : Involve in research and study material preparation of
standard 1-10th student</t>
  </si>
  <si>
    <t>Data Analyst 
East Angelia University 
Norwich Research Park, Norwich, NR4 7TJ, UK
Working on data analysis and data visualization 
Key Skills : Python, Tableau, PowerBI, Data science</t>
  </si>
  <si>
    <t>Full Stack Developer UInsport Pvt Ltd.
Aug 2021 – Present
Developing desktop portal and mobile application for UInsport Pvt Ltd using
technologies such as AWS Cloud, python microservices, Data analytics, SDLC
cycle, React JS.
Role and Responsibility : Working on real time chatting, including individual and
group chatting, persistent messaging, UI designing, traffic handling etc
Key Skills : React JS, Flask, MySQL</t>
  </si>
  <si>
    <t xml:space="preserve">Mobile and Webportal Development
UInsport Pvt Ltd.
Developing desktop portal and mobile application for UInsport Pvt Ltd using
technologies such as AWS Cloud, python microservices, Data analytics, SDLC
cycle, React JS.
Role and Responsibility : Working on real time chatting, including individual and
group chatting, persistent messaging, UI designing, traffic handling etc
Key Skills : React JS, Flask, MySQL </t>
  </si>
  <si>
    <t>Python, Java, C/C++, HTML, CSS, JavaScript, R language</t>
  </si>
  <si>
    <t>React.js (JavaScript/Typescript), Spring &amp; Hibernate (Java), Django (Python), Flask (Python), Flutter</t>
  </si>
  <si>
    <t>AutoCAD, Fusion 360, MATLAB, Tableau, PowerBI</t>
  </si>
  <si>
    <t>Participated in Smart India Hackathon 2022 and Datathon 2022</t>
  </si>
  <si>
    <t>SAKSHAM: Child Education and Welfare Trust
Volunteer, Onboarding and Recruitment Team Member, participation in weekly
campaigns, teaching underprivileged students, maintaining entire data of the trust,
involved in planning and managing events.</t>
  </si>
  <si>
    <t>https://drive.google.com/drive/folders/10A2d1oG5Ce_esbdeIe2UL9Mo6-KZuoIs?usp=sharing</t>
  </si>
  <si>
    <t>https://drive.google.com/open?id=19f3UOrumn0mq1prtXqV7zUkDaAqP-Co9</t>
  </si>
  <si>
    <t>https://drive.google.com/open?id=1gZhkxkVGfZifwR8rDdK72Gc3bQ3V7aGi</t>
  </si>
  <si>
    <t>https://drive.google.com/open?id=1aX9taxo3TKdMnV-bDLBODvTRmAQAvFJR</t>
  </si>
  <si>
    <t>https://drive.google.com/open?id=12gZj97wv5sLT4yjJ427AZ8uJS67iy6qG</t>
  </si>
  <si>
    <t>https://drive.google.com/open?id=18XbQSU0PsljmMzXGgEWNuL4QNjbP1l7s</t>
  </si>
  <si>
    <t>https://drive.google.com/open?id=1VIKPNOawJchTTTUq_SbxhxtQ73OFpmh2</t>
  </si>
  <si>
    <t>0120190326</t>
  </si>
  <si>
    <t>KHANDU</t>
  </si>
  <si>
    <t>NANGARE</t>
  </si>
  <si>
    <t>sanketnangare39@gmail.com</t>
  </si>
  <si>
    <t>https://www.linkedin.com/in/sanket-nangare-97b6311ab/</t>
  </si>
  <si>
    <t>Plot No D-34, Road No 2, B.u.bhandari society, Porwal Road.
Opposite to orchid Hospital, Near PMC Water Tank, dhanori.
Pune
Maharashtra
411015
India</t>
  </si>
  <si>
    <t>1965 (AVG 665)</t>
  </si>
  <si>
    <t>2635 (AVG 878.3)</t>
  </si>
  <si>
    <t>Microsoft AI-900</t>
  </si>
  <si>
    <t>AWS cloud practitioner</t>
  </si>
  <si>
    <t>6 non technical internships of Social media marketing.</t>
  </si>
  <si>
    <t>UIN Sports Intern
Full stack developer.
Pixelstat company Pvt Ltd.
Worked as full stack developer.
Spark Foundation Frontend Developer
Graduate Rotational Internship Program.</t>
  </si>
  <si>
    <t>Worqhat company.
Will work on as full stack developer and cloud developer.</t>
  </si>
  <si>
    <t>UIN sports company.</t>
  </si>
  <si>
    <t>1. Doctor-appointment-managementsystem (Current).
2. PMC-Management.
3. Project-Affilate.
4. Bany_Dashboard.
5. Covid-Protect-Dashboard.
6. AWS Instances using Python.</t>
  </si>
  <si>
    <t>Python, Java, C/C++, HTML, CSS, JavaScript, PHP, Dart, AWS, GCP, .NET, Firebase, Flutter, Firestore.</t>
  </si>
  <si>
    <t>Android Development (Java/Kotlin), React.js (JavaScript/Typescript), Laravel (PHP), Django (Python), Flask (Python)</t>
  </si>
  <si>
    <t>Participanted in Datathon, SIH.
Successfully completed 30 Days of Google Cloud Event. 
Completed many events and received Goodies in events like 
30 Days Of Google Cloud, 
Learn To Earn Challenge, 
Google Cloud Ready Facilitator, 
Gatsby.</t>
  </si>
  <si>
    <t>Many technical achivement I have received.
30 Days Of Google Cloud, 
Learn To Earn Challenge, 
Google Cloud Ready Facilitator, 
Gatsby.</t>
  </si>
  <si>
    <t>AWS Academy Graduate - AWS Academy Cloud Foundations. 
Azure AI Fundamentals. 
Cloud Engineering Track and Data Science &amp; Machine Learning Track in 30 Days of Google Cloud Program 2021. 
AWS From Coursera. 
GCP From Coursera.</t>
  </si>
  <si>
    <t>Working in NGO as a volunteer in saksham.</t>
  </si>
  <si>
    <t>https://drive.google.com/drive/folders/1nHYsN9mCtQCQ3RnHEXoADKLlF22517Ul?usp=sharing</t>
  </si>
  <si>
    <t>https://drive.google.com/open?id=1elxeGKg5SqLA71fas7F4860NAk4HRuuE</t>
  </si>
  <si>
    <t>https://drive.google.com/open?id=1y0IYNPYyGfWEJVFjaHpM-IUvEIvSx-XB</t>
  </si>
  <si>
    <t>https://drive.google.com/open?id=1bNuGNs8yIdIqTCSrRpSyM1W006cNd6fL</t>
  </si>
  <si>
    <t>https://drive.google.com/open?id=1Lpi8LJgEl90atXCd3OjFdu_lgPaQhKca</t>
  </si>
  <si>
    <t>https://drive.google.com/open?id=1_dAghIlHbEhJLi5dUJakqOeym4j97cQX</t>
  </si>
  <si>
    <t>https://drive.google.com/open?id=1ZZVLLi719ee0XEPKKzWp56ZiMjZHypbH</t>
  </si>
  <si>
    <t>0120190331</t>
  </si>
  <si>
    <t>ANURAG</t>
  </si>
  <si>
    <t>TAPARIA</t>
  </si>
  <si>
    <t>anuragtaparia14@gmail.com</t>
  </si>
  <si>
    <t>https://www.linkedin.com/in/anurag-taparia-a1a981198/</t>
  </si>
  <si>
    <t>JITENDRA TAPARIA</t>
  </si>
  <si>
    <t>ANURADHA TAPARIA</t>
  </si>
  <si>
    <t>85 - B Laxmi Nagar, Paota C Road, Jodhpur, Rajasthan</t>
  </si>
  <si>
    <t>302, padmavati building, hindavi colony, near sai dham girls hostel, Alandi Pune</t>
  </si>
  <si>
    <t>AS105T - CALCULUS AND DIFFERENTIAL EQUATIONS</t>
  </si>
  <si>
    <t>Palo Alto: Cybersecurity Foundation</t>
  </si>
  <si>
    <t xml:space="preserve">
NA</t>
  </si>
  <si>
    <t>Python Courses on Coursera</t>
  </si>
  <si>
    <t>Responsive Web Design</t>
  </si>
  <si>
    <t>VIEH Group</t>
  </si>
  <si>
    <t>Study of Attentiveness and Activeness of User on e-learning platform (MS
Teams)
Subdomain Enumerator and Port Scanner
Keylogger
Reverse Shell</t>
  </si>
  <si>
    <t>kali linux</t>
  </si>
  <si>
    <t xml:space="preserve">SIH 2022
</t>
  </si>
  <si>
    <t xml:space="preserve">eSubmit 2021
eSubmit 2022
</t>
  </si>
  <si>
    <t>https://preskilet.com/watch?v=62a369f9a6956a000460008d</t>
  </si>
  <si>
    <t>https://drive.google.com/open?id=1cm0_gre9VvC8c8mLtMee6eZi0zGyMkWP</t>
  </si>
  <si>
    <t>https://drive.google.com/open?id=1j9cxD-s4IH6DzZK0vQigRCQlgC7tb9Ey</t>
  </si>
  <si>
    <t>https://drive.google.com/open?id=1dDas11FoaYClOCYTwYzk2y2ebRceHY7I</t>
  </si>
  <si>
    <t>https://drive.google.com/open?id=1AGj9Ko4ocbDxsyPR0s86OW8_Sj8IvI_o</t>
  </si>
  <si>
    <t>Updated educational certificate because there were some changes in the marksheet made by CBSE</t>
  </si>
  <si>
    <t>0120190334</t>
  </si>
  <si>
    <t>ADWAIT</t>
  </si>
  <si>
    <t>KHARKAR</t>
  </si>
  <si>
    <t>adwaitk44@gmail.com</t>
  </si>
  <si>
    <t>https://www.linkedin.com/in/adwait-kharkar-9060b723a</t>
  </si>
  <si>
    <t xml:space="preserve">UMESH </t>
  </si>
  <si>
    <t>Adarsh Nagar selu dist parbhani,431503</t>
  </si>
  <si>
    <t>Cybersecurity Foundation Palo Alto Network</t>
  </si>
  <si>
    <t>Zensar ESD programme</t>
  </si>
  <si>
    <t>I have completed SY summer internship in codekul pvt ltd as a full stack developer where i have developed Hospital Aggregator web application and technology stack used in the project was react js, spring boot,Mongodb</t>
  </si>
  <si>
    <t>VIEH Groups , Project on BUG BOUNTY</t>
  </si>
  <si>
    <t>Finding Pollution Free path using AQI as a parameter</t>
  </si>
  <si>
    <t>AutoCAD, Fusion 360, CATIA, Proteus, MATLAB, Photoshop</t>
  </si>
  <si>
    <t>1. Zensar ESD programme</t>
  </si>
  <si>
    <t>https://preskilet.com/watch?v=62b46a6e30b2800004523302</t>
  </si>
  <si>
    <t>https://drive.google.com/open?id=1kHyjymP4LkrRE3bt7mLT-DZxvVu3_4k9</t>
  </si>
  <si>
    <t>https://drive.google.com/open?id=1ZIZDR3uVn_nSD_USydwg96f9kKJgkToU</t>
  </si>
  <si>
    <t>https://drive.google.com/open?id=1e4poGIAb8sSJbEaR2unIyNX1LlLtBRVW</t>
  </si>
  <si>
    <t>https://drive.google.com/open?id=13lqrdqOJgOk2Ot7dXbn5yAvbZ53UpuCF</t>
  </si>
  <si>
    <t>https://drive.google.com/open?id=1FBJAIF7is6IGyNRrsXrs9fPgrhA_-Obt</t>
  </si>
  <si>
    <t>I have added technical certification</t>
  </si>
  <si>
    <t>0120190342</t>
  </si>
  <si>
    <t>SHARWARI</t>
  </si>
  <si>
    <t>BHOJRAJ</t>
  </si>
  <si>
    <t>AMBADE</t>
  </si>
  <si>
    <t>sharwariambade6@gmail.com</t>
  </si>
  <si>
    <t>www.linkedin.com/in/sharwari-ambade</t>
  </si>
  <si>
    <t xml:space="preserve">BHOJRAJ </t>
  </si>
  <si>
    <t>MINAKSHI</t>
  </si>
  <si>
    <t>Behind Sai Mandir, Takiya Ward, Bhandara 441904</t>
  </si>
  <si>
    <t>Palo Alto Network: Cybersecurity Foundation</t>
  </si>
  <si>
    <t>Coursera: Python, C++
Oracle: Oracle Cloud Infrastructure Foundations
Internshala: Android App Development</t>
  </si>
  <si>
    <t>Graphics Design Intern at MITAOE EDF Cell</t>
  </si>
  <si>
    <t>Data Science Intern at University Of East Anglia, UK</t>
  </si>
  <si>
    <t>Automated Text Recognition</t>
  </si>
  <si>
    <t>Python, Java, C/C++, HTML, CSS, JavaScript, PHP, Kotlin</t>
  </si>
  <si>
    <t>Android Development (Java/Kotlin), React.js (JavaScript/Typescript), Django (Python)</t>
  </si>
  <si>
    <t>AutoCAD, Fusion 360, MATLAB, Tableau</t>
  </si>
  <si>
    <t>Smart India Hackathon 2022
Datathon 2022
Project Expo 2022</t>
  </si>
  <si>
    <t>Managed Games at Club Mela for College magazine club Ajaanvriksha
Chess Competition
Volunteer at NGO named  'Saksham'</t>
  </si>
  <si>
    <t>https://preskilet.com/sbambade@mitaoe.ac.in</t>
  </si>
  <si>
    <t>https://drive.google.com/open?id=14o5xugzH9DwPc84eVPvaMjDfBM8Htof7</t>
  </si>
  <si>
    <t>https://drive.google.com/open?id=1-UqA1Q_6ZxUo6Di7M0RrdIz3UMd5-fAA</t>
  </si>
  <si>
    <t>https://drive.google.com/open?id=1_LFgIPMgYuWmGvxkRnkt_QGexOx9Qzxu</t>
  </si>
  <si>
    <t>https://drive.google.com/open?id=1-ay8IMHC9tBeVK6iM_AIIh4Ef1tkAk7m</t>
  </si>
  <si>
    <t>https://drive.google.com/open?id=15ICRHxzWTQjGK_PLUR4Ip6_iJ82fZhIn</t>
  </si>
  <si>
    <t>https://drive.google.com/open?id=1pzAw7IAu800-59_kqaK5zmKLyD-Cgaju</t>
  </si>
  <si>
    <t>0120190346</t>
  </si>
  <si>
    <t>PANTAWANE</t>
  </si>
  <si>
    <t>shreyashapantawane@gmail.com</t>
  </si>
  <si>
    <t>https://www.linkedin.com/in/shreyash-pantawane-9647b51b3</t>
  </si>
  <si>
    <t>ASHOK PANTAWANE</t>
  </si>
  <si>
    <t>REKHA PANTAWANE</t>
  </si>
  <si>
    <t xml:space="preserve">Plot No. 292, Babulban Garoba Maidan ,Near Sugat buddha Vihar, Nagpur-440008 </t>
  </si>
  <si>
    <t>Plot No. 292, Babulban Garoba Maidan ,Near Sugat buddha Vihar, Nagpur-440008</t>
  </si>
  <si>
    <t>AS105T - Calculus and Differential Equations
CH101T - Science of Nature
CV102T - Applied Mechanics
CS240L - Minor Project</t>
  </si>
  <si>
    <t>AWS Academy Graduation</t>
  </si>
  <si>
    <t xml:space="preserve">AWS Cloud Technical Essentials , ZensarESD Program </t>
  </si>
  <si>
    <t>Suven Consltants and Technology Online coding Internship</t>
  </si>
  <si>
    <t>IOT in Education (Realtime Collaborative Code Editing)</t>
  </si>
  <si>
    <t>Python, C/C++, C#, HTML, CSS, JavaScript, SQL, MYSQL, Pl/SQL</t>
  </si>
  <si>
    <t>Zensar ESD training Program</t>
  </si>
  <si>
    <t>https://drive.google.com/file/d/11gzYtZWRBreIFkAciYAH-J9QwBzmA67r/view?usp=sharing</t>
  </si>
  <si>
    <t>https://drive.google.com/open?id=17kNwjVwAlOtHpkS99BbTYLIziziK3X1q</t>
  </si>
  <si>
    <t>https://drive.google.com/open?id=1gFHwVfPyHG8dH74xANs7xeyZ0zG0WPMQ</t>
  </si>
  <si>
    <t>0120190350</t>
  </si>
  <si>
    <t>DNYANADA</t>
  </si>
  <si>
    <t>dnyanada02@gmail.com</t>
  </si>
  <si>
    <t>https://www.linkedin.com/in/dnyanadamahajan/</t>
  </si>
  <si>
    <t>SATISH MADHUKAR MAHAJAN</t>
  </si>
  <si>
    <t>BHARATI SATISH MAHAJAN</t>
  </si>
  <si>
    <t>Plot no. 3, Sapanangar, Near New Nagar Palika, Bhusawal, Dist. Jalgaon</t>
  </si>
  <si>
    <t xml:space="preserve">Heritage Complex, C wing, First floor, Near Kachre Hospital, Dehu Phata, Alandi, Pune </t>
  </si>
  <si>
    <t>AZ-900: Microsoft Azure Fundamentals</t>
  </si>
  <si>
    <t>I have successfully completed 3 courses on python from coursera.</t>
  </si>
  <si>
    <t>It was a project under the organization Visionary Fighters-Behtar School. In this project a website was developed for Alandi Municipal School. This website will come in handy for the students as well as teachers to access the study material at a centralized platform.</t>
  </si>
  <si>
    <t>Currently working at U-Smart.ai as a front end developer.</t>
  </si>
  <si>
    <t>Smart Grading and Feedback System</t>
  </si>
  <si>
    <t>Python, C/C++, HTML, CSS, JavaScript, Haskell</t>
  </si>
  <si>
    <t>German, Japanese</t>
  </si>
  <si>
    <t>30 Days of Google Cloud organized by GDSC
ML workshop organized by Surjan Club</t>
  </si>
  <si>
    <t>https://preskilet.com/watch?v=62a38b0fa6956a0004600727</t>
  </si>
  <si>
    <t>https://drive.google.com/open?id=1k8wSXA_fy204lKeeJQnvTGE-_y9sOQhW</t>
  </si>
  <si>
    <t>https://drive.google.com/open?id=1LEKFFVsPlEv33CaWo4Dd7dL09fp8WHz5</t>
  </si>
  <si>
    <t>https://drive.google.com/open?id=1_FE_JxOpAUXaUTcN86kTuZL9_ic7kQEZ</t>
  </si>
  <si>
    <t>https://drive.google.com/open?id=1W2HRsNH3XBtoWoRwo-NMFKk_fsp8C_4r</t>
  </si>
  <si>
    <t>https://drive.google.com/open?id=1ENYSxl3eGybyPW9I8rB_8WNKbH6fVpRN</t>
  </si>
  <si>
    <t>0120190356</t>
  </si>
  <si>
    <t>KRISHNA</t>
  </si>
  <si>
    <t>SHYAM</t>
  </si>
  <si>
    <t>DHOTE</t>
  </si>
  <si>
    <t>dhotekrishna153@gmail.com</t>
  </si>
  <si>
    <t>https://www.linkedin.com/in/krishnadhote153</t>
  </si>
  <si>
    <t>SHYAM DHOTE</t>
  </si>
  <si>
    <t>VANDANA DHOTE</t>
  </si>
  <si>
    <t>156  Unnati Nagar, Kaulkhed, Akola, Maharashtra</t>
  </si>
  <si>
    <t>Kaushlya Hostel, In front of Matoshri Hostel, MIT Girl's Hostel Line, Alandi, Pune, Maharashtra</t>
  </si>
  <si>
    <t xml:space="preserve">CS341T - OPERATING SYSTEM
CS343T - COMPUTER NETWORKS
CS357L - ADVANCED JAVA </t>
  </si>
  <si>
    <t>AS107L - STATISTICS AND INTEGRAL CALCULUS
CS223L - COMPUTER GRAPHICS
IT221L -  ENGINEERING INFORMATICS
CS341L - OPERATING SYSTEM
CS343L -  COMPUTER NETWORKS</t>
  </si>
  <si>
    <t>OCI 1Z0-1085-2: OCI Foundations 2021 Associate</t>
  </si>
  <si>
    <t>Coursera - 
1) Programming for Everybody (Getting Started with
Python)
2) Python Data Structures
3) Foundations of User Experience (UX) Design</t>
  </si>
  <si>
    <t>Microsoft DP-900: Microsoft Azure Data Fundamentals
Microsoft AI-900: Microsoft Azure AI</t>
  </si>
  <si>
    <t>Developed UI of an Android app using Android studio and attached Firebase to it for email verification. 
Demo of app-https://drive.google.com/drive/folders/1L4RB8etlxq6JZl0qlk_rGyiA3rK6ah_i</t>
  </si>
  <si>
    <t>Internship in Smart Bridge Virtual Internship Program</t>
  </si>
  <si>
    <t>Smart Vehicles</t>
  </si>
  <si>
    <t>Android Development (Java/Kotlin), Angular</t>
  </si>
  <si>
    <t>AutoCAD, Fusion 360, Android Studio, Unity 3D</t>
  </si>
  <si>
    <t>https://preskilet.com/ksdhote@mitaoe.ac.in</t>
  </si>
  <si>
    <t>https://drive.google.com/open?id=1U0jZS-WyQqXEvSofC89AlZiXDv6bshTG</t>
  </si>
  <si>
    <t>https://drive.google.com/open?id=1odvmUM-Op_11dScdJjrHr-ogVqUabSoN</t>
  </si>
  <si>
    <t>https://drive.google.com/open?id=1QIjQmT26aan9WJCQ13BkUdVU90COReeS</t>
  </si>
  <si>
    <t>https://drive.google.com/open?id=1L6hGkU0fce-_DtMl0A26Jh9mXLmyv7yY</t>
  </si>
  <si>
    <t>https://drive.google.com/open?id=1otBKxxtE_i40QHOYGa_uIydifGMYiZh7</t>
  </si>
  <si>
    <t>Updated technical certification added a new OCI Foundation Associate certificate</t>
  </si>
  <si>
    <t>0120190370</t>
  </si>
  <si>
    <t>NANDINI</t>
  </si>
  <si>
    <t>SHIRISH</t>
  </si>
  <si>
    <t>BARKUL</t>
  </si>
  <si>
    <t>barkulnandinishirish@gmail.com</t>
  </si>
  <si>
    <t>https://www.linkedin.com/in/nandini-barkul-56bb901b2</t>
  </si>
  <si>
    <t>RESHMA</t>
  </si>
  <si>
    <t>Yermala , Osmanabad Solapur</t>
  </si>
  <si>
    <t>NPGC TOWNSHIP, AURANGABAD, BIHAR</t>
  </si>
  <si>
    <t>ZENSAR</t>
  </si>
  <si>
    <t>Microsoft- Data fundamentals</t>
  </si>
  <si>
    <t>Youth Empowerment Foundation: social and marketing work</t>
  </si>
  <si>
    <t>Behtar School, Visionary fighters:  web development
Research Internship in Gamification: Game development</t>
  </si>
  <si>
    <t xml:space="preserve">Techknomatics services private limited : BI intern </t>
  </si>
  <si>
    <t>Python, C/C++, HTML, CSS, JavaScript, TypeScript</t>
  </si>
  <si>
    <t>Angular, Django (Python), Flask (Python)</t>
  </si>
  <si>
    <t xml:space="preserve">Participated in DATATHON '22 | National level
event
Participated in AARAMBH'22 | National level event
Participated in D2C Online Hackathon Festival
(OHF) Season 3.
Completed GoogleCloudReady Facilitator program.
</t>
  </si>
  <si>
    <t xml:space="preserve">IIT Bombay- WEB DEVELOPMENT TRAINING </t>
  </si>
  <si>
    <t xml:space="preserve">Chief editor of “AjaanVriksha” (Annual College Magazine)
Leading Social media of “Saksham”(Child welfare)
Member of ASSCET (Department student council body)
Represented MITAOE in Basketball tournament
</t>
  </si>
  <si>
    <t>https://preskilet.com/watch?v=62a33c7da6956a00045ffc48</t>
  </si>
  <si>
    <t>https://drive.google.com/open?id=1bJCWavG52boheLD6vnfHysYkftBkVko7</t>
  </si>
  <si>
    <t>https://drive.google.com/open?id=1lvpgSsAPEbzHOINrWMiczJcWnpWv0UZE</t>
  </si>
  <si>
    <t>https://drive.google.com/open?id=1iAQ0raeV5S3ggmHlpP3i2yow0INhU7_E</t>
  </si>
  <si>
    <t>https://drive.google.com/open?id=1nR-g3gxUfOAOl5y0kHciS3fAQ0ML_wMu</t>
  </si>
  <si>
    <t>https://drive.google.com/open?id=1WFcDBd0bzbQXjIDu89iynwZBkAeoj8nY</t>
  </si>
  <si>
    <t>https://drive.google.com/open?id=1kOnSN3lzAeFkESWkxMI9vShM3MHkGUwK</t>
  </si>
  <si>
    <t>https://drive.google.com/open?id=1lYeMDVk66GsktJvNrEHU_nSYMXm4LU3x</t>
  </si>
  <si>
    <t>https://drive.google.com/open?id=1Q8GYEUCUmfSYKKEy7GkCv0cMQDeW4-kK</t>
  </si>
  <si>
    <t>https://drive.google.com/open?id=1UHJbDKD51N520aYt5vsXlh-yq3DsQ-R_</t>
  </si>
  <si>
    <t>https://drive.google.com/open?id=1x1OrEJjZL3syrchpdZh0Oez9gbN4p-Sr</t>
  </si>
  <si>
    <t>Presiklet drive link</t>
  </si>
  <si>
    <t>0120190380</t>
  </si>
  <si>
    <t>HANMANT</t>
  </si>
  <si>
    <t>jadhavsh1007@gmail.com</t>
  </si>
  <si>
    <t>https://www.linkedin.com/in/smita-jadhav-818b87203/</t>
  </si>
  <si>
    <t>RANI</t>
  </si>
  <si>
    <t>LAXMMI NAGAR, GAVHAN</t>
  </si>
  <si>
    <t>MAULI GIRLS HOSTEL, ALANDI</t>
  </si>
  <si>
    <t>AM (Theory) , OS (Pratical)</t>
  </si>
  <si>
    <t xml:space="preserve"> Oracle Cloud Infrastructure 2022 Foundations Associate (1Z0-1085-22)</t>
  </si>
  <si>
    <t>Microsoft Azure Virtual Training Day: Fundamentals,  AWS Certification</t>
  </si>
  <si>
    <t>Course - Graphic Design. on Internshala</t>
  </si>
  <si>
    <t xml:space="preserve">Online Coding Internship - Suven Consultants  &amp; Technology Pvt Ltd
</t>
  </si>
  <si>
    <t>Application of IoT in Construction Safety Management using Android Application.</t>
  </si>
  <si>
    <t>C/C++, HTML, CSS, JavaScript</t>
  </si>
  <si>
    <t>Figma</t>
  </si>
  <si>
    <t>Secretary in Aalekh Art Club
Participated in Inter collage Sports 
1st Prize in Short Put
Played Basket Ball for Intra-collage Sports At MITWPU 
1st prize for painting on earth day oraginzied by MITAOE
2st prize in Chitra kavya organized by aalekh 
1st prizee in Sulekha kavya  oraginzed by aalekh
2nd prize for decoration from best out of waste organize by srijanamaims</t>
  </si>
  <si>
    <t>https://preskilet.com/watch?v=62a46602589aee0004d98482</t>
  </si>
  <si>
    <t>https://drive.google.com/open?id=1F3ixGSP5XZlwGvwo6-9JqGhJr37BYezN</t>
  </si>
  <si>
    <t>https://drive.google.com/open?id=1IXMtnVb5jHmEtQLOeqRkCkgFHinwKlpa</t>
  </si>
  <si>
    <t>https://drive.google.com/open?id=1IHRlk9l2qi8z4FJ-I5afOB5LKGa7aIcN</t>
  </si>
  <si>
    <t>https://drive.google.com/open?id=1-NxXUPwWum_8RTJNqwcPmkuX87osyli9</t>
  </si>
  <si>
    <t>I am facing issue to recieve techical certification as i have completed but not got it yet.. and also i have not reciieved my AMCAT 3 result for the exam that i gave after the query was solved.</t>
  </si>
  <si>
    <t>0120190387</t>
  </si>
  <si>
    <t xml:space="preserve">SHRIHARSH </t>
  </si>
  <si>
    <t>AGRAWAL</t>
  </si>
  <si>
    <t>shriharshagrawal13@gmail.com</t>
  </si>
  <si>
    <t xml:space="preserve">saagrawal@mitaoe.ac.in </t>
  </si>
  <si>
    <t>https://www.linkedin.com/in/shriharsh-agrawal-22b5011aa</t>
  </si>
  <si>
    <t xml:space="preserve">ANOOP AGRAWAL </t>
  </si>
  <si>
    <t xml:space="preserve">ARCHANA AGRAWAL </t>
  </si>
  <si>
    <t>69 Nazai Bazar Lalitpur (U.P.) 284403</t>
  </si>
  <si>
    <t>Palo Alto (Cyber Security Foundation)</t>
  </si>
  <si>
    <t>Vodafone Idea Foundation (Cyber Security Fundamentals)</t>
  </si>
  <si>
    <t>AES Encryption Based file and text encryption Web Application, Front-end for e-commerce website and College Quora (MEAN Stack based Web Application)</t>
  </si>
  <si>
    <t xml:space="preserve">WorqHat (Web Development Intern),Project:  Digital Forensics toolkit (based on python) </t>
  </si>
  <si>
    <t>Toonify (Mood based song recommendation system)</t>
  </si>
  <si>
    <t>Python, C/C++, HTML, CSS, JavaScript, PHP, TypeScript</t>
  </si>
  <si>
    <t>React.js (JavaScript/Typescript), Angular, Red Hat Linux, MEAN Stack, Firebase</t>
  </si>
  <si>
    <t xml:space="preserve">Worked as an intern at WorqHat, Built a Cyber Security and Data Forensics toolkit and Web Application Testing at test.io </t>
  </si>
  <si>
    <t xml:space="preserve">Usable Security Certification, Vodafone Idea Foundation Certification for Cyber Security Fundamentals  </t>
  </si>
  <si>
    <t>https://preskilet.com/watch?v=62a37f8ca6956a00046004b8</t>
  </si>
  <si>
    <t>https://drive.google.com/open?id=1i8LzGfxuWcjB0cyvT9KKQ-A7QEU0rjsJ</t>
  </si>
  <si>
    <t>https://drive.google.com/open?id=1Kr2ZDGxwzPqqea6zV-SDxfDb9qJmDoxO</t>
  </si>
  <si>
    <t>https://drive.google.com/open?id=1cG3eR5ezC1Q3_ZR6fWq3jTDsfZ_zQ1-m</t>
  </si>
  <si>
    <t>https://drive.google.com/open?id=17j9d52piVf2IioxbbWIh6Kf5YMxSOIyk</t>
  </si>
  <si>
    <t>https://drive.google.com/open?id=1NhQyo0PVgkgiEDDQVQwCR7uEM1_ceEI5</t>
  </si>
  <si>
    <t>Technical Certificate was missing</t>
  </si>
  <si>
    <t>NO (screenshot uploaded)</t>
  </si>
  <si>
    <t>0120190388</t>
  </si>
  <si>
    <t xml:space="preserve">PRERANA </t>
  </si>
  <si>
    <t xml:space="preserve">RAMCHANDRA </t>
  </si>
  <si>
    <t>PAINTER</t>
  </si>
  <si>
    <t>preranapainter@gmail.com</t>
  </si>
  <si>
    <t>www.linkedin.com/in/prerana-painter-6110a323a</t>
  </si>
  <si>
    <t>RAMCHANDRA TRIMBAKRAO PAINTER</t>
  </si>
  <si>
    <t>VIJAYALAXMI RAMCHANDRA PAINTER</t>
  </si>
  <si>
    <t>145, Railway Lines ,Flat 102 Jaysheel Plaza old employment chowk, solapur 413001</t>
  </si>
  <si>
    <t xml:space="preserve">Certification from “AWS ACADEMY” for completion of Course “AWS ACADEMY GRADUATE – AWS ACADEMY CLOUD FOUNDATION ” </t>
  </si>
  <si>
    <t xml:space="preserve">Certification from “RED HAT ACADEMY” for completion of Course – “RED HAT SYSTEM ADMINISTRATION 1 (RH124)” 
Certification from “CALARTS”(Coursera – Course for Graphic Designing ) for completion of the “Fundamentals of Graphic Design” Course </t>
  </si>
  <si>
    <t>Pirple - Frontend Fundamentals</t>
  </si>
  <si>
    <t xml:space="preserve">HOLISTIC SOLUTIONS 18 JUNE'20 – 18 JULY'20 Worked with HOLISTIC SOLUTIONS as an “Executive Editor” from 18/06/20 to 18/07/20 for a duration of one month. </t>
  </si>
  <si>
    <t xml:space="preserve">Certification from “CALARTS”(Coursera – Course for Graphic Designing ) for completion of the “Fundamentals of Graphic Design” Course </t>
  </si>
  <si>
    <t>UI / UX Coding Internships at Suven Consultants &amp; Technology Pvt. Ltd.</t>
  </si>
  <si>
    <t>Application of IoT for effective safety management in building by the development of an android application.</t>
  </si>
  <si>
    <t>German, Telugu</t>
  </si>
  <si>
    <t xml:space="preserve">Certification of Appreciation From “ART ELATED CLUB” for Positive Accomplishment and Attitude towards the club. 
Participated in the inter-college basketball 
championship in my First Year and in Throwball in my Third Year. </t>
  </si>
  <si>
    <t>https://preskilet.com/watch?v=62a38ac1a6956a0004600709</t>
  </si>
  <si>
    <t>https://drive.google.com/open?id=1x1-VnfjoE1zwC6zkgVAwhrjJdgzPOieH</t>
  </si>
  <si>
    <t>https://drive.google.com/open?id=1x9ukVzI1wdssjfflci6xn8GbnJNVj8JZ</t>
  </si>
  <si>
    <t>https://drive.google.com/open?id=1G39E3O6iflEOnwn38bCLkjupSeT7sp9Q</t>
  </si>
  <si>
    <t>https://drive.google.com/open?id=1P7lnLyHsNVDu_fJxIOCCoZ5V7KaNLe1u</t>
  </si>
  <si>
    <t>https://drive.google.com/open?id=1RUNt9hSYo7cRaX8SIH38M15-hn4b0d8T</t>
  </si>
  <si>
    <t>https://drive.google.com/open?id=1-NjZoPcWidyg7d89tDW06kFMb3NaFNJM</t>
  </si>
  <si>
    <t>https://drive.google.com/open?id=12Yo9T4A8_4ybe9pPk8KXUlpmWiYOOF9v</t>
  </si>
  <si>
    <t>https://drive.google.com/open?id=1p7PV8BZwQGzwSG9v00dNTs_NEYhl0LiY</t>
  </si>
  <si>
    <t>https://drive.google.com/open?id=1pd_P-UKzqSAZq9T1sFLUmQMTQ4cV2vm9</t>
  </si>
  <si>
    <t>https://drive.google.com/open?id=1lJQO6rSTkmeXqSR3bMjP6DtL5ta-TZo4</t>
  </si>
  <si>
    <t>https://drive.google.com/open?id=1vPCKr-17hW7Lr8oyoNLoi2MokO9OvFrg</t>
  </si>
  <si>
    <t>addtional documents</t>
  </si>
  <si>
    <t>0120190390</t>
  </si>
  <si>
    <t>ANUJ</t>
  </si>
  <si>
    <t>BARAVE</t>
  </si>
  <si>
    <t>anujbarave@gmail.com</t>
  </si>
  <si>
    <t>https://www.linkedin.com/in/anuj-barave-a9539a1b4/</t>
  </si>
  <si>
    <t>REKHA</t>
  </si>
  <si>
    <t>Flat no : 25 , Building no : P-5 , Gandharava Nagari  , Moshi  , Pune 412105</t>
  </si>
  <si>
    <t>Microsoft Az-900: Microsoft Azure Fundamental</t>
  </si>
  <si>
    <t>Oracle Cloud Associate Foundation</t>
  </si>
  <si>
    <t>AWS Certified Cloud Practitioner</t>
  </si>
  <si>
    <t>Coursera : Web Development Fundamental Course</t>
  </si>
  <si>
    <t>Full Stack Web Developer at MIT Academy of Engineering</t>
  </si>
  <si>
    <t xml:space="preserve">Celebal Technologies </t>
  </si>
  <si>
    <t>Virtual Machine Federation</t>
  </si>
  <si>
    <t>Spring &amp; Hibernate (Java), Nodejs</t>
  </si>
  <si>
    <t>Cuvette Web Development Hackathon Winner
MITAOE Code chief Challenge rested in top 10</t>
  </si>
  <si>
    <t>Cuvette Web Development Hackathon Winner</t>
  </si>
  <si>
    <t>AWS Academy Graduate</t>
  </si>
  <si>
    <t>https://preskilet.com/watch?v=62b53e6daf4f2700045cd9cf</t>
  </si>
  <si>
    <t>https://drive.google.com/open?id=1TzBXsFGAJ-YdGIDjTy_PsunvQQm7M8R2</t>
  </si>
  <si>
    <t>https://drive.google.com/open?id=1KD-kplVfWkTcnddZtysR000QoTcVJTRq</t>
  </si>
  <si>
    <t>https://drive.google.com/open?id=1hWWOojTIpmCCXR870bo_YJ_VwU813TmX</t>
  </si>
  <si>
    <t>https://drive.google.com/open?id=11GblpZvLjG-0ZKFu3apoSDRsbp0OrY7k</t>
  </si>
  <si>
    <t>https://drive.google.com/open?id=1j6ZvmeA_X8sdd7mKNBzDfhRPIsOf2Plp</t>
  </si>
  <si>
    <t>https://drive.google.com/open?id=1iFkL70Xip4XbSpwfXM2ryKK2SF6emWxo</t>
  </si>
  <si>
    <t>0120190393</t>
  </si>
  <si>
    <t>KEDAR</t>
  </si>
  <si>
    <t xml:space="preserve">RAJENDRA </t>
  </si>
  <si>
    <t>SHUKLA</t>
  </si>
  <si>
    <t>kedar.shukla007@gmail.com</t>
  </si>
  <si>
    <t>https://www.linkedin.com/in/kedar-shukla-4299a7238</t>
  </si>
  <si>
    <t>MEENAL</t>
  </si>
  <si>
    <t>At post Sakharkherda, In front of grampanchayat, Maharashtra Pincode-443202.</t>
  </si>
  <si>
    <t xml:space="preserve">At post Sakharkherda </t>
  </si>
  <si>
    <t>AZ-900 - Microsoft Azure Fundamentals</t>
  </si>
  <si>
    <t xml:space="preserve">Celebal Technology </t>
  </si>
  <si>
    <t>Decentralize E-voting System Using Blockchain</t>
  </si>
  <si>
    <t>React.js (JavaScript/Typescript), Laravel (PHP)</t>
  </si>
  <si>
    <t>certification courses</t>
  </si>
  <si>
    <t>https://preskilet.com/watch?v=62b2dffdcd590700045fb3f7</t>
  </si>
  <si>
    <t>https://drive.google.com/open?id=195DX1QJXXdFYJbY1nmv5iqLE5sFOi7sb</t>
  </si>
  <si>
    <t>https://drive.google.com/open?id=1xFK415fvJraObgYKP9TPlb6I3VKU2jg5</t>
  </si>
  <si>
    <t>0120190396</t>
  </si>
  <si>
    <t>SOMU</t>
  </si>
  <si>
    <t>BRIJESH</t>
  </si>
  <si>
    <t>somusharma0039@gmail.com</t>
  </si>
  <si>
    <t>https://www.linkedin.com/in/somu-sharma-b057721b5</t>
  </si>
  <si>
    <t>BRIJESH KUMAR SHARMA</t>
  </si>
  <si>
    <t>PANKAJ BRIJESH SHARMA</t>
  </si>
  <si>
    <t>Flat no.: 16, Chandrabhaga society, Prashant nagar, Patherdi phata, Nashik - 422010</t>
  </si>
  <si>
    <t>CH101T - SCIENCE OF NATURE</t>
  </si>
  <si>
    <t>AWS PRACTIONER</t>
  </si>
  <si>
    <t>Microsoft Certified: Azure Data Fundamentals</t>
  </si>
  <si>
    <t xml:space="preserve">Codekul pvt ltd  
Role: Software Developer (frontend developer)
Technology: React JS, HTML, CSS, javascript   </t>
  </si>
  <si>
    <t>Toonify</t>
  </si>
  <si>
    <t>React.js (JavaScript/Typescript), Angular, Flask (Python)</t>
  </si>
  <si>
    <t>https://preskilet.com/watch?v=62b556f6af4f2700045cdcdc</t>
  </si>
  <si>
    <t>https://drive.google.com/open?id=1dKCmkYS2BL_pxYMMfDIJC1tjRGCXutBb</t>
  </si>
  <si>
    <t>https://drive.google.com/open?id=1zfEvDF859_FA9RQU7VNdwIfdCZPJ_woN</t>
  </si>
  <si>
    <t>https://drive.google.com/open?id=17nemReMUuw3YWIcBZhSN0jDkfElwDFDA</t>
  </si>
  <si>
    <t>https://drive.google.com/open?id=1SN8K7RXW2Lcw2g7NltHILjf3BxFR4Oif</t>
  </si>
  <si>
    <t>https://drive.google.com/open?id=19tz_14quj34Z4E_x2yCYrKqMeyso2YPU</t>
  </si>
  <si>
    <t>https://drive.google.com/open?id=1bvHBjQzZqavETOtZC14JFYw7U0oHM9uJ</t>
  </si>
  <si>
    <t xml:space="preserve">Added the internship completion certificate </t>
  </si>
  <si>
    <t>0120190397</t>
  </si>
  <si>
    <t>VINAYAK</t>
  </si>
  <si>
    <t>DESHPANDE</t>
  </si>
  <si>
    <t>vdeshpande551@gmail.com</t>
  </si>
  <si>
    <t>https://www.linkedin.com/in/vinayak-deshpande-5088391a9/</t>
  </si>
  <si>
    <t>Near Gagan Vihar , Kalpana Nagar, Barshi Road ,  Latur</t>
  </si>
  <si>
    <t>Hindavi Colony Lane 2 , Near MIT arts and commerce college , Alandi</t>
  </si>
  <si>
    <t>Microsoft DP-900: Microsoft Azure Data Fundamentals
AICTE : Process Mining Virtual Internship</t>
  </si>
  <si>
    <t>Zensar ESD Program</t>
  </si>
  <si>
    <t xml:space="preserve">
Full-stack Android Developer at Codekul :- The Gurukul for Coders !</t>
  </si>
  <si>
    <t>Web Developer at MedLife Pharma Healthcare Private Limited</t>
  </si>
  <si>
    <t>To Develop A Medical Chatbot Using Neural Network and Natural Language Processing</t>
  </si>
  <si>
    <t>Python, Java, C/C++, HTML, CSS, JavaScript, TypeScript, Kotlin</t>
  </si>
  <si>
    <t>Android Development (Java/Kotlin), React.js (JavaScript/Typescript), Angular, Spring &amp; Hibernate (Java), Django (Python)</t>
  </si>
  <si>
    <t xml:space="preserve"> Rajarshi Shahu Maharaj Scholarship</t>
  </si>
  <si>
    <t xml:space="preserve">1) Zensar ECD Program
2) Persistent Martian Program
</t>
  </si>
  <si>
    <t>1) Participated in State Level Chess Competition</t>
  </si>
  <si>
    <t>https://preskilet.com/watch?v=6295a565716ac100049813a1</t>
  </si>
  <si>
    <t>https://drive.google.com/open?id=1RZQtl-omK1z6U-uQGK_nibDQJMohkNAD</t>
  </si>
  <si>
    <t>https://drive.google.com/open?id=1PH6asHSewYbGhcRev8jo0JG9tGGFklys</t>
  </si>
  <si>
    <t>https://drive.google.com/open?id=1lxVvzqhDZc9N5UblD9bX6nwyp2ji10aH</t>
  </si>
  <si>
    <t>https://drive.google.com/open?id=1HPPBD5OV9dMKMNq9o_EUdTH4XUUl6q3C</t>
  </si>
  <si>
    <t>https://drive.google.com/open?id=1EBOstCJSt0r5-PP3QzaGNqt0kKwFIpqY</t>
  </si>
  <si>
    <t>https://drive.google.com/open?id=1PjRmf8bqf7evamvJ4rznG96xbC4RQo5Y</t>
  </si>
  <si>
    <t>0120190405</t>
  </si>
  <si>
    <t>ABHIJEET</t>
  </si>
  <si>
    <t>MARUTI</t>
  </si>
  <si>
    <t>DHANWATE</t>
  </si>
  <si>
    <t>amdhanwate@gmail.com</t>
  </si>
  <si>
    <t>https://linkedin.com/in/abhijeet-dhanwate</t>
  </si>
  <si>
    <t>SANGEETA</t>
  </si>
  <si>
    <t>Gandhi Maidan, Sakarwadi, Kopargaon 413708</t>
  </si>
  <si>
    <t>Dehu Phata, Alandi, Pune 412105</t>
  </si>
  <si>
    <t>Microsoft Certified Azure AI Fundamentals</t>
  </si>
  <si>
    <t>FreeCodeCamp JavaScript Algorithms &amp; Data Structures
Python for Everybody Specialization
LinkedIn Learning ReactJS Essentials Training</t>
  </si>
  <si>
    <t xml:space="preserve">
</t>
  </si>
  <si>
    <t>Coursera Python for Everybody Specialization</t>
  </si>
  <si>
    <t>Python Developer Associate at TEN Labs</t>
  </si>
  <si>
    <t>Web Development Intern at Q Blocks</t>
  </si>
  <si>
    <t>Figma, MATLAB, Tableau</t>
  </si>
  <si>
    <t xml:space="preserve">Web Developer at Mozilla Open-Source Club MITAOE
</t>
  </si>
  <si>
    <t>Bronze Medalist International Youth Math Challenge</t>
  </si>
  <si>
    <t>Persistent Martial Program by Persistent Systems</t>
  </si>
  <si>
    <t>Organized National Level Paper Presentation Event</t>
  </si>
  <si>
    <t>https://preskilet.com/watch?v=62b3e95b30b2800004522db3</t>
  </si>
  <si>
    <t>https://drive.google.com/open?id=1TMTkK0rV0VVGnsk_MBn_BdczmKcOySvl</t>
  </si>
  <si>
    <t>https://drive.google.com/open?id=1ybqGIOTYjMLZej8NEJqDcGigSZAKtDcm</t>
  </si>
  <si>
    <t>https://drive.google.com/open?id=1v1fWYJzMn6dQuAJciSTJ5f8XK7sDls4-</t>
  </si>
  <si>
    <t>https://drive.google.com/open?id=1Gk-pUJT1uKpbUmwwGZ3xv4fsfUcGPU-U</t>
  </si>
  <si>
    <t>https://drive.google.com/open?id=1B72cdcaflm1dGkuGwrE8oZXZaVzx4bDV</t>
  </si>
  <si>
    <t>https://drive.google.com/open?id=1d2yuUAkDCgqJnc1NiIK-aThpv0ck-UCm</t>
  </si>
  <si>
    <t>0120190413</t>
  </si>
  <si>
    <t>SAMEER</t>
  </si>
  <si>
    <t>AMIN</t>
  </si>
  <si>
    <t>SHA</t>
  </si>
  <si>
    <t>sameersha279@gmail.com</t>
  </si>
  <si>
    <t>https://www.linkedin.com/in/sameer-sha-67732222a/</t>
  </si>
  <si>
    <t>AMIN  SHA</t>
  </si>
  <si>
    <t>HEENA SHA</t>
  </si>
  <si>
    <t>OPP. Ganesh temple , AP Chandori ,Tal - Niphad, Dist -Nashik, Maharashtra, PIN - 422201</t>
  </si>
  <si>
    <t>Dnyansuman Hostel ,Near Dehu Phata ,Alandi , Pune</t>
  </si>
  <si>
    <t xml:space="preserve">PaloAlto  Networks Academy : Cyber Security Foundation </t>
  </si>
  <si>
    <t>Encrypted Email Sending Application –
Everyone Wants want Confidentiality during communication. Email have become an integral part of profession life.so using python programming language and AES algorithm we have developed our Encrypted Email service for privacy protection.</t>
  </si>
  <si>
    <t>Digital Voting System using Blockchain Technology  –
To surpass the centralized control over election.to keep transparency in the whole electoral process .We are developing a online voting system. we are using Ethereum blockchain network and truffle for testing blockchain</t>
  </si>
  <si>
    <t xml:space="preserve">Digital Voting System using Blockchain Technology  </t>
  </si>
  <si>
    <t>Python, Java, C/C++, HTML, CSS, JavaScript, Solidity</t>
  </si>
  <si>
    <t>React.js (JavaScript/Typescript), Spring &amp; Hibernate (Java), Django (Python)</t>
  </si>
  <si>
    <t>sports
coding competitions</t>
  </si>
  <si>
    <t>https://preskilet.com/watch?v=62b46ba330b280000452330b</t>
  </si>
  <si>
    <t>https://drive.google.com/open?id=1-G2xyu1AlvAV8Xd-teZk4a2bYvALQSjX</t>
  </si>
  <si>
    <t>https://drive.google.com/open?id=1CtburNCNrj5DYLJUg-b1Jutcic9arYnx</t>
  </si>
  <si>
    <t>https://drive.google.com/open?id=17Twr1uS-wsdJ_W_JY2ww1dZ0LPE6SIfX</t>
  </si>
  <si>
    <t>https://drive.google.com/open?id=1IebMsrJ4NoecltfaNCLV4a_XJGakpApz</t>
  </si>
  <si>
    <t>0120190415</t>
  </si>
  <si>
    <t>MUKESH</t>
  </si>
  <si>
    <t>GULAB</t>
  </si>
  <si>
    <t>GURPUDE</t>
  </si>
  <si>
    <t>mukeshgurpude02@gmail.com</t>
  </si>
  <si>
    <t>https://linkedin.com/in/mukeshgurpude</t>
  </si>
  <si>
    <t>GULAB GURPUDE</t>
  </si>
  <si>
    <t>SUCHITA GURPUDE</t>
  </si>
  <si>
    <t>At post Mokhala, Tah Sawali, Dist Chandrapur - 441225</t>
  </si>
  <si>
    <t>House No. 2698, Opposite Kale Petrol pump, Kale Colony, Alandi Pune - 412101</t>
  </si>
  <si>
    <t>Training on IOT by Enovate Skill</t>
  </si>
  <si>
    <t>Web Development Internship at Pixelstat eSolutions Pvt. Ltd.</t>
  </si>
  <si>
    <t>Software developer internship at Longshot.ai</t>
  </si>
  <si>
    <t>Color Theory
Sponsored by MIT School of Design</t>
  </si>
  <si>
    <t>Color Theory</t>
  </si>
  <si>
    <t>Python, C/C++, HTML, CSS, JavaScript, PHP, TypeScript, Golang, SQL, Bash</t>
  </si>
  <si>
    <t>React.js (JavaScript/Typescript), Django (Python), Flask (Python), NextJs, Scrapy, RASA, Preact</t>
  </si>
  <si>
    <t>Completed 30 Days of Google Cloud
Completed Google cloud readiness program 2021
Took part in Udacity ML Nanodegree program</t>
  </si>
  <si>
    <t>1st runner up in Math-Script organized by Maths club in Equilibrium 2021
All India Rank 27 in NCAT 2022 (Category 3)
All india Rank 29 in NCAT 2020 (Category 1)</t>
  </si>
  <si>
    <t>https://preskilet.com/watch?v=62a40f5b589aee0004d98299</t>
  </si>
  <si>
    <t>https://drive.google.com/open?id=1akfs_nLz7bZCgptW5djus6k5byhCDWHo</t>
  </si>
  <si>
    <t>https://drive.google.com/open?id=113N_HdsTXpHtyCaQBZXRgXKO4wA_cJmD</t>
  </si>
  <si>
    <t>https://drive.google.com/open?id=1c4EE-6DW3OoxAdP--6-i2A0RR_PE9mAe</t>
  </si>
  <si>
    <t>https://drive.google.com/open?id=1jHzcSk9kK-LFcDGeIzFdntTaOfGHDHwg</t>
  </si>
  <si>
    <t>https://drive.google.com/open?id=1rIeMlYuAm-idNpVoSSUELc1OZu8fb1ts</t>
  </si>
  <si>
    <t>https://drive.google.com/open?id=1XyIJ2eMYlBSx7EB7u6ywnLj-g1p7jngB</t>
  </si>
  <si>
    <t>https://drive.google.com/open?id=1LAdeaHuXGwwlKZD0EUGQHiwkM4CpYQbu</t>
  </si>
  <si>
    <t>https://drive.google.com/open?id=1jFSOh6TDAA7HKR3En5P9nPSaon6Rsozb</t>
  </si>
  <si>
    <t>https://drive.google.com/open?id=10zm2KhQ9cLZtPFXd-QGD3KL0QkxlCaxD</t>
  </si>
  <si>
    <t>https://drive.google.com/open?id=15EIjlBMwcNwk3gWlJCFLYlZws2oSWJKn</t>
  </si>
  <si>
    <t>https://drive.google.com/open?id=1fEF01vJ2h1y4GX_P0Vck4Hr5REEP52hE</t>
  </si>
  <si>
    <t>Updated technical certification certificate to OCI Associate</t>
  </si>
  <si>
    <t>0120190421</t>
  </si>
  <si>
    <t>SHRIKRISHNA</t>
  </si>
  <si>
    <t>sanketmahajan2001@gmail.com</t>
  </si>
  <si>
    <t>https://www.linkedin.com/in/sanket-mahajan-87652119b</t>
  </si>
  <si>
    <t>SAMPADA</t>
  </si>
  <si>
    <t>Pull Lane, Near Tarun Mitra Mandal Vachanalaya, 32 Shirala</t>
  </si>
  <si>
    <t>Cybersecurity Foundation: Palo Alto Networks</t>
  </si>
  <si>
    <t>Python  for Everybody, Python for Data Structures by Coursera : It is an online training program.</t>
  </si>
  <si>
    <t>CodeKul Private Limited: In this 2 month Internship program I had worked as Full-Stack Developer.</t>
  </si>
  <si>
    <t>Celebal Technology: I am working as Full-Stack Developer</t>
  </si>
  <si>
    <t>Development of Secure Cloud Storage</t>
  </si>
  <si>
    <t>React.js (JavaScript/Typescript), Node.js</t>
  </si>
  <si>
    <t xml:space="preserve"> Member of HitchHacker club, Participation in Workshop organized by Codechef club</t>
  </si>
  <si>
    <t>Worked for Pune Ploggers, Former Member of RedX club</t>
  </si>
  <si>
    <t>https://preskilet.com/watch?v=629d9d51486670000441290a</t>
  </si>
  <si>
    <t>https://drive.google.com/open?id=1n-rQmcx9YQzsVPDFERO72Z5RbtYM1sO-</t>
  </si>
  <si>
    <t>https://drive.google.com/open?id=1EPVzzTUY4ymaySzjoHWaElfyNhgF9JK1</t>
  </si>
  <si>
    <t>https://drive.google.com/open?id=1rmy99AFBxPNHoW5yLEyX5l4FQpH3MeD6</t>
  </si>
  <si>
    <t>https://drive.google.com/open?id=1qBsk0tRfgmpn-ZEa_8UFRzBAPczcUYxk</t>
  </si>
  <si>
    <t>https://drive.google.com/open?id=1VVsqRWNZ15MIa5G7d8r-R-c5uuTIZEdg</t>
  </si>
  <si>
    <t>https://drive.google.com/open?id=1NpJzzGZYHAEgVaJQLCAaiXlinZw7KALp</t>
  </si>
  <si>
    <t>0120190428</t>
  </si>
  <si>
    <t>RAMESH</t>
  </si>
  <si>
    <t>FULZELE</t>
  </si>
  <si>
    <t>yashfulzele8@gmail.com</t>
  </si>
  <si>
    <t>https://www.linkedin.com/in/yash-fulzele-6ba010204/</t>
  </si>
  <si>
    <t>RAMESH FULZELE</t>
  </si>
  <si>
    <t>RAJNI FULZELE</t>
  </si>
  <si>
    <t>Plot No. 54, Amar Sanjay Society, Manish Nagar, Nagpur</t>
  </si>
  <si>
    <t>Cybersecurity Foundation: PaloAlto</t>
  </si>
  <si>
    <t>Programming for Everybody (Getting Started with
Python): Coursera</t>
  </si>
  <si>
    <t>Responsive Website Basics: Code with HTML, CSS, and JavaScript: University of London</t>
  </si>
  <si>
    <t>Cybersecurity Training: Essential Infosec, Delhi</t>
  </si>
  <si>
    <t>DevOps Intern: Celebal Tchnologies</t>
  </si>
  <si>
    <t>Toonify - Mood Based Song recommendation system</t>
  </si>
  <si>
    <t>1. DATATHON 2022
2. 30 Days of Google Cloud
3. International Youth Math Challenge</t>
  </si>
  <si>
    <t>I have participated in sports like Basketball and Chess at College Level</t>
  </si>
  <si>
    <t>https://preskilet.com/watch?v=62b49f0230b280000452362e</t>
  </si>
  <si>
    <t>https://drive.google.com/open?id=16JXX2KRLbAvWcHHVRVb84R_420yoeDe6</t>
  </si>
  <si>
    <t>https://drive.google.com/open?id=1wl5nKZKqgZy7j92PjpqvAR9_2iw9ZPcr</t>
  </si>
  <si>
    <t>https://drive.google.com/open?id=1NgQlzdaKCFK7_Yva-CPFmKMvqK14aVKO</t>
  </si>
  <si>
    <t>https://drive.google.com/open?id=1tGvEPPUie0tax85gA8FMoSglSUcgpiK8</t>
  </si>
  <si>
    <t>https://drive.google.com/open?id=1s93LrVy4RvxS8Cgje3VrI6z_avDlAZul</t>
  </si>
  <si>
    <t>0120190432</t>
  </si>
  <si>
    <t>RITIK</t>
  </si>
  <si>
    <t>DILIP</t>
  </si>
  <si>
    <t>BHASARKAR</t>
  </si>
  <si>
    <t>ritikbhasarkar2401@gmail.com</t>
  </si>
  <si>
    <t>rdbhasarakar@mitaoe.ac.in</t>
  </si>
  <si>
    <t>www.linkedin.com/in/ritik-bhasarkar</t>
  </si>
  <si>
    <t>DILIP SUDAM BHASARKAR</t>
  </si>
  <si>
    <t>MANISHA DILIP BHASARKAR</t>
  </si>
  <si>
    <t>Vikas Nagar, Gauri Talav, ward no.16, Babupeth, Chandrapur</t>
  </si>
  <si>
    <t>Modern React With Redux</t>
  </si>
  <si>
    <t>Microsoft AZ-900: Microsoft Azure Data fundamentals</t>
  </si>
  <si>
    <t>Introduction to Machine leaning by Stanford
Blockchain specialization by University at Buffalo</t>
  </si>
  <si>
    <t xml:space="preserve">Web Development Intern at WorqHat. </t>
  </si>
  <si>
    <t>Music Recommendation using facial recognition</t>
  </si>
  <si>
    <t>Datathon'22</t>
  </si>
  <si>
    <t>https://preskilet.com/watch?v=62b53932af4f2700045cd963</t>
  </si>
  <si>
    <t>https://drive.google.com/open?id=1IxOdfwx6g03aO-uA3n7N1ZXn8GhoXYIQ</t>
  </si>
  <si>
    <t>https://drive.google.com/open?id=1pOMB-jURA7WaQP7_PnlDLkOVHiiLTtH8</t>
  </si>
  <si>
    <t>https://drive.google.com/open?id=1Rt1y9iJDz4en1ju8eDionK7KXjo2HMjf</t>
  </si>
  <si>
    <t>https://drive.google.com/open?id=1Zou9qabJWaNsmpCZLfHqdlRP3WsivLMY</t>
  </si>
  <si>
    <t>https://drive.google.com/open?id=1YHw_CqlcDi6sH17RJB0ROpVZIJlarOYT</t>
  </si>
  <si>
    <t>0120190437</t>
  </si>
  <si>
    <t>SUYOG</t>
  </si>
  <si>
    <t>FULCHAND</t>
  </si>
  <si>
    <t>MAHANGADE</t>
  </si>
  <si>
    <t>suyogm32@gmail.com</t>
  </si>
  <si>
    <t>https://www.linkedin.com/in/suyog-mahangade-8a3b0121a</t>
  </si>
  <si>
    <t>FULCHAND SAREJARAO MAHANGADE</t>
  </si>
  <si>
    <t>USHA FULCHAND MAHANGADE</t>
  </si>
  <si>
    <t>Mu.po parkhandi,wai satara , Maharashtra,412803</t>
  </si>
  <si>
    <t>Prabhatkunj , plot no. 13, wai-pasarni road,wai,Satara,412803</t>
  </si>
  <si>
    <t>ME104T-Engineering graphics</t>
  </si>
  <si>
    <t>Microsoft Azure Data Fundamentals DP-900</t>
  </si>
  <si>
    <t>Course- Programming for Everybody</t>
  </si>
  <si>
    <t>Course- Basics of web development Html,Css and JavaScript</t>
  </si>
  <si>
    <t>Medical Chatbot using NLP</t>
  </si>
  <si>
    <t>Python, Java, HTML, CSS, JavaScript</t>
  </si>
  <si>
    <t>Spring &amp; Hibernate (Java), Django (Python)</t>
  </si>
  <si>
    <t>AutoCAD, MATLAB, JIRA</t>
  </si>
  <si>
    <t>Code bytes event, Datathon event</t>
  </si>
  <si>
    <t>Kabbadi competition</t>
  </si>
  <si>
    <t>https://preskilet.com/watch?v=62a3739aa6956a0004600225</t>
  </si>
  <si>
    <t>https://drive.google.com/open?id=1twmm6vWJrQXhGVSdny8sbgxffcY7HtZu</t>
  </si>
  <si>
    <t>https://drive.google.com/open?id=1ybt_7U_EgpgNXrqi0vmUycx57piMcFYI</t>
  </si>
  <si>
    <t>https://drive.google.com/open?id=1LzPWOHqvcMdQmDwnP57TQeZmnt2u3gtY</t>
  </si>
  <si>
    <t>https://drive.google.com/open?id=1OgPxHg4MU8Pe4m6OQJX1mLMEU2w-CB8r</t>
  </si>
  <si>
    <t>https://drive.google.com/open?id=1Y5qEAXCEB2xVKdHJJZNniICIvhMPr8uX</t>
  </si>
  <si>
    <t>https://drive.google.com/open?id=1GDbcKIHEHjoepDoXEb4auo_3Q7THyNUo</t>
  </si>
  <si>
    <t>0120190442</t>
  </si>
  <si>
    <t>PURVA</t>
  </si>
  <si>
    <t>POTDUKHE</t>
  </si>
  <si>
    <t>potdukhepurva@gmail.com</t>
  </si>
  <si>
    <t>https://www.linkedin.com/in/purva-potdukhe-07b679213</t>
  </si>
  <si>
    <t xml:space="preserve">SUNIL POTDUKHE </t>
  </si>
  <si>
    <t xml:space="preserve">PREMA POTDUKHE </t>
  </si>
  <si>
    <t>Laxmi nagar, vijasan road, bhadrawati, chandrapur</t>
  </si>
  <si>
    <t>Web Development: Internshala</t>
  </si>
  <si>
    <t>Full Stack Development: Edureka</t>
  </si>
  <si>
    <t>Ethical Hacking Training : Internshala</t>
  </si>
  <si>
    <t>Web Development Training : Internshala</t>
  </si>
  <si>
    <t>Intern at PrimaThink pvt Limited as Web Developer Intern</t>
  </si>
  <si>
    <t>no</t>
  </si>
  <si>
    <t>Synchronised Speech and Video Synthesis</t>
  </si>
  <si>
    <t>Project Expo (Technical Event)</t>
  </si>
  <si>
    <t>Edureka Full Stack Development Internship Program</t>
  </si>
  <si>
    <t>Project Expo (College Event)</t>
  </si>
  <si>
    <t>https://preskilet.com/watch?v=629bb754d784290004e96680</t>
  </si>
  <si>
    <t>https://drive.google.com/open?id=1mNbViWIVGSoPiN_UkgfaupY_u376T0Gg</t>
  </si>
  <si>
    <t>https://drive.google.com/open?id=1V9WQB48FG26XOgqKPPqIl-o6oOp-zWbH</t>
  </si>
  <si>
    <t>https://drive.google.com/open?id=1YAznBikHIwxslRQEkQlEnLxHo1T7c_B7</t>
  </si>
  <si>
    <t>https://drive.google.com/open?id=1dG1jVMuwIQHCWpzds9CEuuyoQXmMmlBP</t>
  </si>
  <si>
    <t>https://drive.google.com/open?id=1cGYzOa5AqCpN1ZD5CsJ95bZHXODBcdLV</t>
  </si>
  <si>
    <t>https://drive.google.com/open?id=1oosnz_c2QMJJwFM2EQE23LdmaAhKWqFE</t>
  </si>
  <si>
    <t>https://drive.google.com/open?id=1c37GwQCK_y8xlXYdaLDC8YGfQI72j6Xj</t>
  </si>
  <si>
    <t>https://drive.google.com/open?id=1tRO4QbVHNbDcV8frp3JP7HwT2FfM8oOq</t>
  </si>
  <si>
    <t>SY amcat report and Technical Certifications</t>
  </si>
  <si>
    <t>0120190462</t>
  </si>
  <si>
    <t>DEWANSH</t>
  </si>
  <si>
    <t>singhdewansh99@gmail.com</t>
  </si>
  <si>
    <t>https://www.linkedin.com/in/dewansh-singh-9902b6214/</t>
  </si>
  <si>
    <t>AWANINDRA KUMAR SINGH</t>
  </si>
  <si>
    <t>ANITA SINGH</t>
  </si>
  <si>
    <t>FLAT No.403, SHAKTI SHINE APARTMENT, KHAJURI, VARANASI, UTTAR PRADESH, 221002</t>
  </si>
  <si>
    <t>FLAT No. 302, PADMAVATI BUILDING, HINDAVI COLONY RD-2, DEHU PHATA, ALANDI, PUNE, MAHARAHSTRA, 412105</t>
  </si>
  <si>
    <t>Completed Full Python Course Series on Coursera Platform</t>
  </si>
  <si>
    <t xml:space="preserve">Machine Learning Training Course on Internshala </t>
  </si>
  <si>
    <t>Data Science Intern at Celebal Technologies Private Limited</t>
  </si>
  <si>
    <t>1. Music Recommendation System using Classification Algorithms
2. Study of Activeness and Attentiveness of user in Live Session on E-Learning Platform (MS Teams)
3. Predicted No. of Survivals in Titanic Incident using ML Fundamentals
4. Farmazon - An app to sell the products of farmers without involvement of intermediates.</t>
  </si>
  <si>
    <t>Python, Java, C/C++, HTML, CSS, JavaScript, SQL, Natural Language Processing (NLP), Computer Vision</t>
  </si>
  <si>
    <t>Spring &amp; Hibernate (Java), Django (Python), Flask (Python)</t>
  </si>
  <si>
    <t>AutoCAD, Fusion 360, Figma, Proteus, MATLAB</t>
  </si>
  <si>
    <t>1. Selected for 2nd Round in Smart India Hackathon (SIH) 2022
2.TCS-iON Internship Eligibility Test by Talent Battle (Qualified for 2nd Round)
3. Participated in Uber HackTag 2.0 Competition</t>
  </si>
  <si>
    <t>Machine Learning Training Course on Internshala</t>
  </si>
  <si>
    <t>Participated in Annual Sports Event - Cricket and Badminton</t>
  </si>
  <si>
    <t>https://preskilet.com/watch?v=62a3657da6956a00045ffff5</t>
  </si>
  <si>
    <t>https://drive.google.com/open?id=1z6rXSwRKy3Hy6WqV2ULEl7Ft0LloLSyf</t>
  </si>
  <si>
    <t>https://drive.google.com/open?id=1_54t6txzQXLQAXm7a4QodL-Ns-FTB0lD</t>
  </si>
  <si>
    <t>https://drive.google.com/open?id=1eZYY3obq5d8TCv8Gqc8vK3eyfmaR1576</t>
  </si>
  <si>
    <t>Nothing Update</t>
  </si>
  <si>
    <t>0120190467</t>
  </si>
  <si>
    <t>yashagrawal070@gmail.com</t>
  </si>
  <si>
    <t>https://www.linkedin.com/in/agrawal-yash1/</t>
  </si>
  <si>
    <t>Tirupati nagar, Akola bypass road, Hingoli-431513</t>
  </si>
  <si>
    <t>Nanashri Apartment, Near MIT Academy of Engineering, Hindvi colony, Alandi, Pune</t>
  </si>
  <si>
    <t xml:space="preserve">Microsoft DP-900: Microsoft Azure data fundamental
AWS Academy Graduate - AWS Academy Cloud Foundations
Oracle Cloud Infrastructure Foundations 2021 </t>
  </si>
  <si>
    <t>Crack leaked password database
I have done these internship in Crack leaked password database topic in the company 'Goldman Sachs' through forage platform. I have completed this internship in the time period of September 2020 to December 2020. In these I have worked on a database in which some information's are leaked which we need to analyze and have to crack the password.</t>
  </si>
  <si>
    <t>1) Android Development Intern
I have done these internship in android app development topic in the company ' Codekul; - The Gurukul for Coders !' for 2 months. In these internship I and my teammates had built an app for a electronic company to take complaints and reviews from their customer. Solve the complaints and take feedback from the customer. Worked with Java, Spring boot, Restapi technologies to built an end to end solution.
Projects
2) Foodcall
Foodcall is online food ordering app which aims on ordering food. Foodcall uses firebase for signup, login authentication. It uses Java as programming language.</t>
  </si>
  <si>
    <t>1) Node js developer
I am doing these internship as a Node js developer in the company 'Celebel Technologies'.
Projects
2)WhiteBoard Collab
WhiteBoard Collab is an website where multiple users can share a single whiteboard and work in team. It uses React as programming language, node.js for the backend and socket.io.
3)ShopKart An Ecommerce Website
- Single Page Application inspired by Flipkart’s UI using Angular 12
- Features user authentication, cart, products display
- Angular, MongoDB, ExpressJS, Bootstrap
4) Voice prescription
It is an website which takes an doctor's voice and generate into text into an prescription. It is used for making a prescription while doctor speaking.
Uses gtts, Pytorch, Pyaudio, Speech recognition, Open cv, Pilow, Tkinter GUI, SMTPlib
5)Brain Tumor Detection Using Deep Learning
It detects Brain Tumor whether it is Pituitary, Glioma or meningioma. It further classifies into stages like 1st, 2nd or 3rd.
Uses python as programming language, CNN , Resnet-50 algorithms used to develop it.</t>
  </si>
  <si>
    <t>Brain Tumor Detection Using Deep Learning</t>
  </si>
  <si>
    <t>Python, C/C++, HTML, CSS, JavaScript, PHP, TypeScript, Dart, Kotlin</t>
  </si>
  <si>
    <t>Android Development (Java/Kotlin), React.js (JavaScript/Typescript), Angular, Laravel (PHP), Spring &amp; Hibernate (Java), Django (Python), Flask (Python)</t>
  </si>
  <si>
    <t>Codeathon 2021 Coding Competition
Codeathon 2022 Coding Competition
Smart India Hackathon 2021</t>
  </si>
  <si>
    <t>Zenser Technologies
It's free training by Zenser Technologies on SQL, Java, Core java, Python and Web Development of 300 hours.</t>
  </si>
  <si>
    <t>Codeathon 2021 Coding Competition
Codeathon 2022 Coding Competition
Smart India Hackathon 2021
Equilibirium 2022
Equilibirium 2021
College chess competition</t>
  </si>
  <si>
    <t>https://preskilet.com/watch?v=62a59b304673900004a5cebc</t>
  </si>
  <si>
    <t>https://drive.google.com/open?id=10QJwp8IRRdjgMLZDQhw5w2pffowARBIj</t>
  </si>
  <si>
    <t>https://drive.google.com/open?id=1W1AED5nUKt4AQXsUEqZPpLcUIGTycSQz</t>
  </si>
  <si>
    <t>https://drive.google.com/open?id=1rv37TP8dqt5zt7euXRSi9mOzGNOWThdg</t>
  </si>
  <si>
    <t>https://drive.google.com/open?id=13e7DsbupKAI2Mn1vWlH49kLs2cBCO937</t>
  </si>
  <si>
    <t>https://drive.google.com/open?id=1qwnh6xWzMGgapTjkwwLU-cB-VnTf0qMq</t>
  </si>
  <si>
    <t>https://drive.google.com/open?id=1rRNWpa8dsSeFNzrbOjTD3hjq7U0LRqJB</t>
  </si>
  <si>
    <t>0120190475</t>
  </si>
  <si>
    <t>KATKHADE</t>
  </si>
  <si>
    <t>prathamesh24122001@gmail.com</t>
  </si>
  <si>
    <t>https://www.linkedin.com/in/prathamesh-katkhade-971487214</t>
  </si>
  <si>
    <t>Block no. A/12, Marathwada Society, Sion-trombay road, Behind Poonam Petrol Pump, Chembur, Mumbai - 71.</t>
  </si>
  <si>
    <t>Infosys Python Programmer Certification</t>
  </si>
  <si>
    <t>Hamari Pahchan NGO - (Digital Marketing and Fund Raising). In these internship, I lead a team of 30 students we all created awareness about Corona Virus on social media and also through various campaigns. Also along with it made many rural women aware the importance of hygiene and usage of sanitary pads and also collected the fund and the organization distributed free sanitary pads to poor women.</t>
  </si>
  <si>
    <t xml:space="preserve">The Sparks Foundation (Web Development Internship). During this internship, I built a website using HTML and CSS for frontend and Javascript functions at backend and also added Payment Gateway into it using Jquery. </t>
  </si>
  <si>
    <t>CustomAIse Analytics Private Limited- (Python Intern). Learning the concepts of Data Science and Machine Learning through the tasks given such as Web Scrapping, Data Analysis and Visualization and also writing api in python for CURD operations of the project of the company.</t>
  </si>
  <si>
    <t>Detection of Phishing Website using Machine Learning</t>
  </si>
  <si>
    <t xml:space="preserve">Participated in Pair Programming Competition at College.
Lead and Organized the DATATHON event for Machine Learning Enthusiasts under GirlScript Club </t>
  </si>
  <si>
    <t>Got 1st prize at Open Mic for Rap Song at college
Won 1st prize for Drama ('Pawankhind") as a Director 
Won 1st prize for Drama ("Corona Batch College Life") for Script Writing and also performed in the act.</t>
  </si>
  <si>
    <t>https://preskilet.com/watch?v=62b54d4faf4f2700045cdb78</t>
  </si>
  <si>
    <t>https://drive.google.com/open?id=119LQuMkoB6pQF23c6Np1MXgZUm_rhJKd</t>
  </si>
  <si>
    <t>https://drive.google.com/open?id=1K4rAcuD1VRdOURb4WojWnRBfcUBp_vFv</t>
  </si>
  <si>
    <t>https://drive.google.com/open?id=1lv2lDTgBfODvb6q0c7JJxK7EJXU8JJ-9</t>
  </si>
  <si>
    <t>https://drive.google.com/open?id=1wCDd6YriQ7p3KCT6kPNrFvYnVzpP9Uvw</t>
  </si>
  <si>
    <t>https://drive.google.com/open?id=1rG7-0qmt1lFioeB74-lsQ73F5euC6xQ_</t>
  </si>
  <si>
    <t>https://drive.google.com/open?id=121Mqfed0sTH_pw7SaTCoOQlDxskBgWlb</t>
  </si>
  <si>
    <t>https://drive.google.com/open?id=10ROQcDMbgwvSIRNvFJrihMgFBd7TXZNw</t>
  </si>
  <si>
    <t xml:space="preserve">Technical Certification completed on 27 June. </t>
  </si>
  <si>
    <t>0120190479</t>
  </si>
  <si>
    <t>DATTU</t>
  </si>
  <si>
    <t>KARLE</t>
  </si>
  <si>
    <t>pratikkarle3110@gmail.com</t>
  </si>
  <si>
    <t>https://www.linkedin.com/in/pratik-karle/</t>
  </si>
  <si>
    <t>Plot No.80/8, Sector No.16, Raje Shivaji Nagar, Chinchwad, Pune - 411019</t>
  </si>
  <si>
    <t>Palo Alto Networks: Cybersecurity Foundation</t>
  </si>
  <si>
    <t>Microsoft AI-900: Microsoft Azure AI
AWS Fundamentals: Going Cloud-Native
Python Data Structures
Programming for Everybody (Getting Started with Python)
Freecodecamp: Responsive Web Design</t>
  </si>
  <si>
    <t>React, NodeJS, Express &amp; MongoDB - The MERN FullStack Guide
Python for Data Science and Machine Learning Bootcamp
Agile Fundamentals: Including Scrum and Kanban - 2022
2022 Complete Python Bootcamp From Zero to Hero in Python
The Web Developer Bootcamp 2022</t>
  </si>
  <si>
    <t>Freecodecamp: Responsive Web Design</t>
  </si>
  <si>
    <t>Uinsports Inc.</t>
  </si>
  <si>
    <t>Web Application for developing global sports ecosystem</t>
  </si>
  <si>
    <t>Python, C/C++, C#, HTML, CSS, JavaScript, SQL</t>
  </si>
  <si>
    <t>React.js (JavaScript/Typescript), NodeJS, ExpressJS</t>
  </si>
  <si>
    <t>Committee Member of CSI(Computer Society of India)
Management and Co-ordination of Project Expo 2022</t>
  </si>
  <si>
    <t>https://drive.google.com/drive/folders/1Nj6r0jEm4Zk64RFTzSLNXMf3dkqUSZ1q?usp=sharing</t>
  </si>
  <si>
    <t>https://drive.google.com/open?id=1hcTwnYA6UJLgH-IvDj_FCcdmzphbmFjn</t>
  </si>
  <si>
    <t>https://drive.google.com/open?id=18eYdkaGoCqlnBCPOGrLB1r5vhY2ZKWw3</t>
  </si>
  <si>
    <t>https://drive.google.com/open?id=1ZW3x6HdddWo6FyVbfPvyF8c-pWAczQ21</t>
  </si>
  <si>
    <t>https://drive.google.com/open?id=1mBQ5epLKUUSm2XQoxT3gN2elYipPVJFo</t>
  </si>
  <si>
    <t>https://drive.google.com/open?id=16s0VCzn3INF1CUNqCHiFraOvmuRvTdzL</t>
  </si>
  <si>
    <t>https://drive.google.com/open?id=1sY0CQfH6hG5ioGd1SO8llgvb0QKLWpIt</t>
  </si>
  <si>
    <t>Added Microsoft AI-900 Technical Certification</t>
  </si>
  <si>
    <t>0120190483</t>
  </si>
  <si>
    <t xml:space="preserve">AADITYA </t>
  </si>
  <si>
    <t>GIRIDHAR</t>
  </si>
  <si>
    <t>FAYE</t>
  </si>
  <si>
    <t>anaadi.faye@gmail.com</t>
  </si>
  <si>
    <t>https://www.linkedin.com/in/aaditya-faye-5622b81b3</t>
  </si>
  <si>
    <t>GIRIDHAR P FAYE</t>
  </si>
  <si>
    <t xml:space="preserve">SONALI G FAYE </t>
  </si>
  <si>
    <t>202 Ramnagri housing society, Alandi Road Bhosari Pune 411039</t>
  </si>
  <si>
    <t>Microsoft Az-900: Microsoft Azure Fundamentals</t>
  </si>
  <si>
    <t>Error in Name so could not give exam. I have rescheduled on July 5th</t>
  </si>
  <si>
    <t xml:space="preserve">Saksham Intern </t>
  </si>
  <si>
    <t xml:space="preserve">Intern at Celebal Technologies- Cloud Infrastructure </t>
  </si>
  <si>
    <t xml:space="preserve">Credit card fraud detection using Machine Learning </t>
  </si>
  <si>
    <t xml:space="preserve">Datathon 2022 </t>
  </si>
  <si>
    <t xml:space="preserve">Actor in Firodiya Karandak 2020. Fulltime Volunteer in Art Of Living Organization, Volunteer at Saksham </t>
  </si>
  <si>
    <t>https://preskilet.com/watch?v=62b555a2af4f2700045cdcad</t>
  </si>
  <si>
    <t>https://drive.google.com/open?id=1Sher1VEaF0q2tLQWn-C2eQQPm6d9dw3f</t>
  </si>
  <si>
    <t>https://drive.google.com/open?id=1kayOuN7SEKmRfoI5-KMMi1YoOdG0ueLH</t>
  </si>
  <si>
    <t>https://drive.google.com/open?id=1Xt7EVRYyv3FQNNo0QB-HCTfZIVoHETx8</t>
  </si>
  <si>
    <t>https://drive.google.com/open?id=1zwKNWo2zzGQEGl64cHf7PNMEQil60jxc</t>
  </si>
  <si>
    <t>https://drive.google.com/open?id=153FA3FnBNVGb1m2SaxwhC7itXRJRnEu2</t>
  </si>
  <si>
    <t>https://drive.google.com/open?id=1xkqFaPqRnDfd_YDQh5pfTFZhIZjeZWgC</t>
  </si>
  <si>
    <t>technical certificate, received it now</t>
  </si>
  <si>
    <t>0120190488</t>
  </si>
  <si>
    <t>KALP</t>
  </si>
  <si>
    <t>CHOBISA</t>
  </si>
  <si>
    <t>kalpchobisa2000@gmail.com</t>
  </si>
  <si>
    <t>www.linkedin.com/in/kalp-chobisa-63267a1ab</t>
  </si>
  <si>
    <t>RAKESH CHOBISA</t>
  </si>
  <si>
    <t>JULEE CHOBISA</t>
  </si>
  <si>
    <t>1F-6 Shivaji Nagar, RHB Colony, near patrakar colony, Dungarpur, Rajasthan, 314001</t>
  </si>
  <si>
    <t>633.33/900</t>
  </si>
  <si>
    <t>730/900</t>
  </si>
  <si>
    <t xml:space="preserve">GDSC - 30 Days of Google Cloud Program 2021
Google with Coursera : Crash Course on Python
Coursera : Chatbot with Rasa and Python
Internshala : Web Development Training 
</t>
  </si>
  <si>
    <t>Training Course -
Coursera : Python for everybody (with included data structure)
Internshala : Ethical Hacking (did this just out of curiosity)</t>
  </si>
  <si>
    <t xml:space="preserve">Internshala Training : Web Development </t>
  </si>
  <si>
    <t>1) Microsoft Virtual Internship Program associated with Future ready talent (Microsoft, AICTE, NASSCOM, EY and Quess)  - Completed 
2) Web Development - Suven Consultants &amp; Technology Pvt Ltd. (Ongoing)</t>
  </si>
  <si>
    <t>Multi Cloud Storage - A one stop platform for storage service provide by cloud service provider for better data availability in case of any fault.</t>
  </si>
  <si>
    <t>E-SPORTS - I was in the core committee and an active member of the " Team Chakravyuh ". Where we have organized an intra college E-sport event of BGMI.
Volleyball - I also participated in sports event, where our team hold second position.
I was also a member of college photography club " SHUTTERBUGS "
I was in the management team of college music club.</t>
  </si>
  <si>
    <t>https://preskilet.com/watch?v=6294f2dfc30eeb0004ba3f21</t>
  </si>
  <si>
    <t>https://drive.google.com/open?id=1czXDg2qm6Tl7EtMyO_uPWluf0jgM-d6g</t>
  </si>
  <si>
    <t>https://drive.google.com/open?id=1siBFtzzCZLKzlOXl12OQCUnkHIIiRo10</t>
  </si>
  <si>
    <t>https://drive.google.com/open?id=1WflT6-3wIvfP9l9_EiG2RJ81KRekrcGr</t>
  </si>
  <si>
    <t>https://drive.google.com/open?id=1oZizQ9vI-M3CYT6kp0ZAXpaNba6Czb2l</t>
  </si>
  <si>
    <t>https://drive.google.com/open?id=1Uhel5DZAmztoXjWyCndRhMsKTUhNh3s3</t>
  </si>
  <si>
    <t>https://drive.google.com/open?id=1myA2hJxFcCKeIm_wX58J4PayEo6q2uAJ</t>
  </si>
  <si>
    <t>0120190495</t>
  </si>
  <si>
    <t>DEVIDAS</t>
  </si>
  <si>
    <t>DUMBRE</t>
  </si>
  <si>
    <t>sakshi.dumbre31@gmail.com</t>
  </si>
  <si>
    <t>www.linkedin.com/in/  sakshi-dumbre-9b71161b4</t>
  </si>
  <si>
    <t>JK ASSOCIATES ,SAI GAURAV SOCIETY CHAKAN</t>
  </si>
  <si>
    <t>E-94,L-99,Q-83</t>
  </si>
  <si>
    <t>english-88,L-77,Q-59</t>
  </si>
  <si>
    <t>Paelo Alto networks-Introduction to Cybersecurity ,Fundamentals of Network Security , Fundamentals of Cloud Security &amp; Fundamentals of SOC Certificates</t>
  </si>
  <si>
    <t>ethical hacking</t>
  </si>
  <si>
    <t>datascience internship</t>
  </si>
  <si>
    <t>Attentiveness and Activeness 
of User in E-Learning</t>
  </si>
  <si>
    <t xml:space="preserve">firodiya </t>
  </si>
  <si>
    <t>https://preskilet.com/watch?v=62a3470ca6956a00045ffd87</t>
  </si>
  <si>
    <t>https://drive.google.com/open?id=1TWE3B0YjmfqdTttMELvUJ1ztZKIclAIm</t>
  </si>
  <si>
    <t>https://drive.google.com/open?id=1_mNCtfh2XIAJ1oV4cBp3yfXNX1i1C0Pq</t>
  </si>
  <si>
    <t>https://drive.google.com/open?id=1vnlEcmSl1eAbOcXZTs22khjt9ONTYGdn</t>
  </si>
  <si>
    <t>https://drive.google.com/open?id=1xYB6BBTfT-ZnAWta3L6anWYguYCtCX7d</t>
  </si>
  <si>
    <t>https://drive.google.com/open?id=1uOgCanRMa22FhvcszbnpI0cjsfcvMmP0</t>
  </si>
  <si>
    <t>0120190500</t>
  </si>
  <si>
    <t>PRATHAM</t>
  </si>
  <si>
    <t>MADHANI</t>
  </si>
  <si>
    <t>prathamadhani28@gmail.com</t>
  </si>
  <si>
    <t>pbmadhani@mitaie.ac.in</t>
  </si>
  <si>
    <t>https://www.linkedin.com/in/pratham-madhani-4a05091b8/</t>
  </si>
  <si>
    <t>BHARAT PURSHOTTAM MADHANI</t>
  </si>
  <si>
    <t>PARUL BHARAT MADHANI</t>
  </si>
  <si>
    <t>A-11, Shawas Society, Kulkarani Colony, Sharanpur Road, Nashik - 422002</t>
  </si>
  <si>
    <t>METRO PILLAR 54-55 SIKANDERPUR /GURU DRONACHARYA Metro Station Sikanderpur SIKANDERPUR GHOSI, opposite S B PUBLIC SCHOOL, Gurugram, Haryana 122002</t>
  </si>
  <si>
    <t>Python for Everybody : Coursera,
Python Data Structures : Coursera,
HTML, CSS and JavaScript for Web developers : Cousera,
MATLAB Onramp.</t>
  </si>
  <si>
    <t>Martian Program Kickoff : Persistent</t>
  </si>
  <si>
    <t>Completed courses on Coursera.
HTML, CSS and JavaScript for Web developers : Coursera</t>
  </si>
  <si>
    <t>Company - Tebixa Technologies OPC Pvt. Ltd.
Role - Web Development Intern.
Description - 
Worked on eCommerce maintenance and management for client websites using CMS Tools.
Studied basic project requirements with assigned technical lead and planned development strategies.</t>
  </si>
  <si>
    <t>TY 5th SEM Internship :-
Company - Musafir.com Pvt. Ltd.
Role - Software Development Engineer Intern.
Description -
Worked as a Software Developer Intern with tech stack as C#, ASP .NET, T-SQL.
Development of APIs calls using ASP .NET C# Framework 
Development of new features and writing T-SQL queries and stored procedures according to the requirements.
TY Summer Internship :-
Company - Curelink India Pvt. Ltd.
Role - Tech Intern
Description - 
Working as a Software Developer Intern with tech stack as Python, Django, PostgreSQL.
Development of APIs using Django REST Framework.
Development of new features in the application of the company.
Project - Synchronized Speech and Video Synthesis by employing Deep Learning.
Brief - Given the sample audio and image/video sample, our project can generate artificially a complete video with proper audio modulations and facial expressions, in any given context of speaking as desired. The project won the 2nd runner up prize in Project Expo - 2022, organized by SCET in association with Computer Society of India.</t>
  </si>
  <si>
    <t>Synchronized Speech and Video Synthesis by employing Deep Learning</t>
  </si>
  <si>
    <t>Python, Java, C/C++, C#, HTML, CSS, JavaScript, PHP, SQL</t>
  </si>
  <si>
    <t>Angular, Django (Python), ASP .NET C# Framework</t>
  </si>
  <si>
    <t>Figma, MATLAB, Tableau, PowerBI</t>
  </si>
  <si>
    <t>Gujarati</t>
  </si>
  <si>
    <t>1) Runner up in Amdocs Hackfest 2022 organized Amdocs Development Center India LLP.
2) First prize in Quantum - project presentation competition organized by RIT College, Islampur. Consisted of more than 40 group entries. Showcased the SY project titled 'Smart Spectacles for Automated Criminal Detection using Deep Learning'.
3) 2nd runner up in Project Expo - 2022, organized by SCET - MITAOE in association with Computer Society of India. Consisted of 60+ group entries. Showcased the TY project titled 'Synchronized Speech and Video Synthesis by employing Deep Learning'.
4) Participated in Innovaccer's HackerCamp'22 powered by Microsoft.
5) Participated in organized by National Institute of Technology (NIT),Rourkela</t>
  </si>
  <si>
    <t>1) Runner up in Amdocs Hackfest 2022 organized Amdocs Development Center India LLP.
2) Participated in Innovaccer's HackerCamp'22.</t>
  </si>
  <si>
    <t>Core technical executive member of Codechef Club, MITAOE chapter.</t>
  </si>
  <si>
    <t xml:space="preserve">https://preskilet.com/watch?v=62b5f718af4f2700045ce0bd </t>
  </si>
  <si>
    <t>https://drive.google.com/open?id=1XcJcPLm3LIKM_-h1mf-6IGTccB-SJxd1</t>
  </si>
  <si>
    <t>https://drive.google.com/open?id=1J2rdnUBjcFEZwJm6NyXAnRnW_vycI6Zg</t>
  </si>
  <si>
    <t>https://drive.google.com/open?id=1Yfv5Hp7usRHMYHYAZsgbctHjkGYqFis5</t>
  </si>
  <si>
    <t>https://drive.google.com/open?id=1k6fzUHwDqyfYxeneI3GiQzYST8-TRZ00</t>
  </si>
  <si>
    <t>https://drive.google.com/open?id=1GbhTu1hNmAuL0drRZb0qXSyVMV_eOnJo</t>
  </si>
  <si>
    <t>https://drive.google.com/open?id=10TyEHaIM5tOiXN7oNpgMDb51qKVLlpBk</t>
  </si>
  <si>
    <t>https://drive.google.com/open?id=1aIVZy_HfMdUV5EpNv0fbURVEseh2g7sk</t>
  </si>
  <si>
    <t>Internship certificates because initially I had attached offer letter of my second internship at Musafir.com India Pvt. Ltd. Now I have attached Internship completion letter which I had received at 16th June 2022.</t>
  </si>
  <si>
    <t>0120190508</t>
  </si>
  <si>
    <t>ATUL</t>
  </si>
  <si>
    <t>KSHIRSAGAR</t>
  </si>
  <si>
    <t>atul.kshirsagar071@gmail.com</t>
  </si>
  <si>
    <t>https://www.linkedin.com/in/atul-kshirsagar-b73548151/</t>
  </si>
  <si>
    <t>SARLA</t>
  </si>
  <si>
    <t>At Shivadi Post Ugaon Tal Niphad Dist Nashik 422304</t>
  </si>
  <si>
    <t>Dehu Phata Alandi Pune 412105</t>
  </si>
  <si>
    <t>1. AWS Academy Graduate - AWS Academy Cloud Foundations
2. Google It Support : Technical Support Fundamentals</t>
  </si>
  <si>
    <t xml:space="preserve">AWS Cloud Practitioner </t>
  </si>
  <si>
    <t>Company - Woovly Pvt Lmt India
Position - Marketing Intern
Duration - Mar 2020 - Aug 2020</t>
  </si>
  <si>
    <t>Company - Codekul Pvt Lmt
Position - Full stack web developer
Duration - June 2021 - Aug 2021</t>
  </si>
  <si>
    <t>Company - Celebal Technologies
Domain - Cloud Infra
Period - 1 June 2022 to 31 July 2022</t>
  </si>
  <si>
    <t xml:space="preserve">1. Attended GDSC workshop of explore ML beginner track
2. Attended cloud virtualization engineer seminar
3.Member of Developer Students Club MITAOE </t>
  </si>
  <si>
    <t>Playing Kho-Kho Sport every year in college sport event</t>
  </si>
  <si>
    <t>https://preskilet.com/watch?v=62a37a37a6956a0004600397</t>
  </si>
  <si>
    <t>https://drive.google.com/open?id=1JWr-p4iV4sW-2kr8ADkZ9zvTWZ29dYAJ</t>
  </si>
  <si>
    <t>https://drive.google.com/open?id=10KWV5gwAAbISVeVM-Dz-gljVrDRWZvL1</t>
  </si>
  <si>
    <t>https://drive.google.com/open?id=1UsUj_YvAKbu2G1zU1ynC8APi9SMr6U9C</t>
  </si>
  <si>
    <t>https://drive.google.com/open?id=1b_nEtJXmTuLq4x29OSXDAvNe7HkRw5OM</t>
  </si>
  <si>
    <t>https://drive.google.com/open?id=1-BYf-OOvUY9GkvjPh6D4hEFQz5CU__Mc</t>
  </si>
  <si>
    <t>https://drive.google.com/open?id=1gdvDVPsvnBcVuBBsTmaV_xkml70ww5Pz</t>
  </si>
  <si>
    <t>Amcat report uploaded.</t>
  </si>
  <si>
    <t>0120190513</t>
  </si>
  <si>
    <t>VIKAS</t>
  </si>
  <si>
    <t>RAMRAO</t>
  </si>
  <si>
    <t>DESHMUKH</t>
  </si>
  <si>
    <t>vikas.03062001@gmail.com</t>
  </si>
  <si>
    <t>https://www.linkedin.com/in/vikas-deshmukh-46a462229/</t>
  </si>
  <si>
    <t>RAMRAO BABURAO DESHMUKH</t>
  </si>
  <si>
    <t>ANITA RAMRAO DESHMUKH</t>
  </si>
  <si>
    <t>At. Post Unchegaon(bk.) Tq. Hadgaon Dist. Nanded</t>
  </si>
  <si>
    <t>Completed two courses on COURSERA
1. Programming for Everybody (Getting Started with Python)
2. Python Data Structures</t>
  </si>
  <si>
    <t>Completed two courses on COURSERA
1. C for Everyone : Programming Fundamentals
2. C for Everyone : Structured Programming</t>
  </si>
  <si>
    <t>Web Devlopement internship at Techsword Solutions
working on web devlopement project wit title Evaluation of Student Marks &amp; Graphical Representation Web Application</t>
  </si>
  <si>
    <t>E-Store And Consultancy Platform(Website) For Small Businesses</t>
  </si>
  <si>
    <t>Participated in the CodeByte Coding Compitition under the national  level Technical Event "Equilibrium 2022" Organized from 23 -24 March 2022</t>
  </si>
  <si>
    <t>AI &amp; Data Analytics training internship at YBI Foundation</t>
  </si>
  <si>
    <t>https://preskilet.com/watch?v=62a33482a6956a00045ffb95</t>
  </si>
  <si>
    <t>https://drive.google.com/open?id=19vUHdko2_jPBbaFlgL72ObmsfXxV0zeh</t>
  </si>
  <si>
    <t>https://drive.google.com/open?id=1qqBfm61A2IFOGQUiFE-IAtB93W0Eo9Nx</t>
  </si>
  <si>
    <t>https://drive.google.com/open?id=1lnDCZuLAzok4PibXH3jC6MCSn0A_71rC</t>
  </si>
  <si>
    <t>https://drive.google.com/open?id=1EJOTNjBv8nYRNRjUZVs8msZQK6mJJVaa</t>
  </si>
  <si>
    <t>https://drive.google.com/open?id=1SUIdFsZqlpIxeFarA-Ty0_dGoflOvdE2</t>
  </si>
  <si>
    <t>https://drive.google.com/open?id=1Ch2VZz03jhotdV8cxwiNlXzDMIUHMGDT</t>
  </si>
  <si>
    <t>https://drive.google.com/open?id=1y-4WIT1pqYr9jbEtNzAYgjP8315M-Q8A</t>
  </si>
  <si>
    <t>Submitted TY Amcat Report</t>
  </si>
  <si>
    <t>0120190520</t>
  </si>
  <si>
    <t>VIRAJ</t>
  </si>
  <si>
    <t>LALASAHEB</t>
  </si>
  <si>
    <t>virajly007@gmail.com</t>
  </si>
  <si>
    <t>https://www.linkedin.com/in/viraj-yadav-6a534423b</t>
  </si>
  <si>
    <t>SIMA</t>
  </si>
  <si>
    <t>AT POST- KADEPUR, TAL- KADEGAON, DIST- SANGLI. 415305</t>
  </si>
  <si>
    <t>DEHU PHATA, ALANDI, PUNE. 412105</t>
  </si>
  <si>
    <t>HP202L - PROFESSIONAL COMMUNICATION</t>
  </si>
  <si>
    <t xml:space="preserve"> 1.Introduction to Cybersecurity - Cisco
Networking Academy 
2.Ethical Hacking - Internshala Training
3.Programming for Everybody (Getting
Started with Python) by the
University of Michigan - Coursera
4.AICTE Eduskills Virtual Internship - by Paloalto</t>
  </si>
  <si>
    <t>Programming for Everybody (Getting
Started with Python) by the
University of Michigan - Coursera
2CDE2HSWPRXW</t>
  </si>
  <si>
    <t>Ethical Hacking - Internshala Training.
1B3BB388-3080-3341-E6BE-F3810D18
0AFC</t>
  </si>
  <si>
    <t>Vieh Pvt Ltd. (Cybersecurity - image encryption) 
Aneja Associates</t>
  </si>
  <si>
    <t xml:space="preserve">Three Factor Authentication For Secure Login </t>
  </si>
  <si>
    <t xml:space="preserve">Member of MITAOE coding club 
Participation in Codebyte Coding Competition under the national level technical event "equilibrium 2022"
</t>
  </si>
  <si>
    <t>Player of Kabbadi Team in sport event 2022</t>
  </si>
  <si>
    <t>https://preskilet.com/watch?v=62a38cb8a6956a00046007c3</t>
  </si>
  <si>
    <t>https://drive.google.com/open?id=1q1lTJKP2vMG5-T2Y9yEVfmhxxayygeDA</t>
  </si>
  <si>
    <t>https://drive.google.com/open?id=1MmwJ4hjpaiUMrEsdrpws-daAtZzarHY1</t>
  </si>
  <si>
    <t>https://drive.google.com/open?id=1ipSJ7JCeb9SssDlr0KJjIDs3nh3sJsK2</t>
  </si>
  <si>
    <t>https://drive.google.com/open?id=1xj8AVrTDl60Grd2TD-MTI7AS_hw-tuqK</t>
  </si>
  <si>
    <t>https://drive.google.com/open?id=1-iomrotYTYaNtksyNKkr8aK4_H4Ehxyr</t>
  </si>
  <si>
    <t>https://drive.google.com/open?id=1ikW00IS8tjtDzmjY9wcZfuVVpWA-CILL</t>
  </si>
  <si>
    <t>https://drive.google.com/open?id=1Vs83jrNtFK2aEDF1-w89Wt3o7M_6PBlA</t>
  </si>
  <si>
    <t xml:space="preserve">updated technical certification details and updated amcat results </t>
  </si>
  <si>
    <t>0120190527</t>
  </si>
  <si>
    <t>KAUSTUBH</t>
  </si>
  <si>
    <t>RAVINDRA</t>
  </si>
  <si>
    <t>SHELAR</t>
  </si>
  <si>
    <t>kaustubh8shelar@gmail.com</t>
  </si>
  <si>
    <t>https://www.linkedin.com/in/kaustubh-shelar-950443213</t>
  </si>
  <si>
    <t>RAVINDRA NATHU SHELAR</t>
  </si>
  <si>
    <t>DIPALI RAVINDRA SHELAR</t>
  </si>
  <si>
    <t>Unit 5, Swaraj Plaza, Yogeshwar Colony, Behind TV Center, Malegaon Camp, Malegaon(Nashik), 423105</t>
  </si>
  <si>
    <t>Microsoft DP-900: Microsoft Azure Data Fundamentals
Google Data Analytics Professional Certificate</t>
  </si>
  <si>
    <t xml:space="preserve">UinSports Inc. </t>
  </si>
  <si>
    <t>UinSports Inc.</t>
  </si>
  <si>
    <t>Web Application For Developing Global Sports Ecosystem</t>
  </si>
  <si>
    <t>AutoCAD, Fusion 360, Figma, MATLAB, Tableau, Power BI</t>
  </si>
  <si>
    <t>Flipkart GRiD 4.0 - Software Development Challenge
Datathon' 2022
Delivered a 3-day workshop on Python, SQL and Data Analytics</t>
  </si>
  <si>
    <t>Participated in "Nakshatra" for "Solo Dance Competition" in 2020
Participated in "Sinhgad Karandak" for "Group Dance Competition" in 2020
Participated in "Nakshatra" in 2022</t>
  </si>
  <si>
    <t xml:space="preserve">https://preskilet.com/watch?v=62a5b990184d9600047c299d </t>
  </si>
  <si>
    <t>https://drive.google.com/open?id=1ADt78PD7ZH5JWZLs5fwF15DIYrGKiDP6</t>
  </si>
  <si>
    <t>https://drive.google.com/open?id=16MdlCSIQe7Vfp0FqMit2QInUNp_SFNQn</t>
  </si>
  <si>
    <t>https://drive.google.com/open?id=1SCvjiKLex4iwDDNXqKwypN574wKpEPru</t>
  </si>
  <si>
    <t>https://drive.google.com/open?id=1Ya8MMe09waimmXEs4RmVFl4WEdRAttmy</t>
  </si>
  <si>
    <t>https://drive.google.com/open?id=1DK7iCBr1shcad-5rjvuZmuoyw1t8GolJ</t>
  </si>
  <si>
    <t xml:space="preserve">Uploaded technical certifications </t>
  </si>
  <si>
    <t>0120190534</t>
  </si>
  <si>
    <t>ATHARVA</t>
  </si>
  <si>
    <t>DATTATRAYA</t>
  </si>
  <si>
    <t>KHONDE</t>
  </si>
  <si>
    <t>atharvakhonde@gmail.com</t>
  </si>
  <si>
    <t>https://www.linkedin.com/in/atharvakhonde/</t>
  </si>
  <si>
    <t>DATTATRAYA KHONDE</t>
  </si>
  <si>
    <t>PALLAVI KHONDE</t>
  </si>
  <si>
    <t>"Latali", Keshav Nagar, Khat road, Bhandara, Maharashtra (441904)</t>
  </si>
  <si>
    <t>Zensar ESD Program (Ongoing)</t>
  </si>
  <si>
    <t>Android App Development Training from Internshala</t>
  </si>
  <si>
    <t xml:space="preserve">Esanchalak Solutions and Services Pvt Ltd </t>
  </si>
  <si>
    <t>Device based Image encryption and decryption</t>
  </si>
  <si>
    <t>Smart India Hackathon
Pair Programming by Codechef</t>
  </si>
  <si>
    <t xml:space="preserve">Android App Development - Internshala </t>
  </si>
  <si>
    <t>Under 25 MITAOE Summit (2019)</t>
  </si>
  <si>
    <t>https://preskilet.com/watch?v=62a1d463fed70c00042b664b</t>
  </si>
  <si>
    <t>https://drive.google.com/open?id=1FlGBhnvlbwVbKrcXJjfaNVXY8Mjydz5H</t>
  </si>
  <si>
    <t>https://drive.google.com/open?id=1VMBVFvAGh69s1x701xU4OEW9acRZLSFD</t>
  </si>
  <si>
    <t xml:space="preserve">Did not update </t>
  </si>
  <si>
    <t>0120190541</t>
  </si>
  <si>
    <t xml:space="preserve">MANORANJAN </t>
  </si>
  <si>
    <t>JENA</t>
  </si>
  <si>
    <t>manoranjanjenamitsy17@gmail.com</t>
  </si>
  <si>
    <t>mjjena@mitaoe.ac.in</t>
  </si>
  <si>
    <t>https://www.linkedin.com/in/manoranjan-jena-067316210/</t>
  </si>
  <si>
    <t>PRADIP KUMAR JENA</t>
  </si>
  <si>
    <t>MADHUSMITA JENA</t>
  </si>
  <si>
    <t>Flat-304 GAT No-1430 Wagholi Shree Audumbar Properties Near Diamond Waterpark</t>
  </si>
  <si>
    <t>N/A</t>
  </si>
  <si>
    <t>CS342T-Theory Of Computation</t>
  </si>
  <si>
    <t>Yes completed</t>
  </si>
  <si>
    <t>Codekul Pvt Ltd</t>
  </si>
  <si>
    <t>Suven Consultant &amp; Technology Pvt.Ltd</t>
  </si>
  <si>
    <t>Portals For Showing Government Schemes</t>
  </si>
  <si>
    <t>Taken part in Datathon</t>
  </si>
  <si>
    <t>Regional Player in Basketball</t>
  </si>
  <si>
    <t>Captain of intercollege basketball Team.Selected as Best Player</t>
  </si>
  <si>
    <t>https://preskilet.com/watch?v=62b42fa430b2800004523116</t>
  </si>
  <si>
    <t>https://drive.google.com/open?id=1ovreC1TU0NguuzSKqbWieYMWA50vcarD</t>
  </si>
  <si>
    <t>https://drive.google.com/open?id=1JnmDFAzA5hYbXM78VYBbtznFhTvIZrdi</t>
  </si>
  <si>
    <t>https://drive.google.com/open?id=1gtnSFbse3dBqXhckiJMY8OpQLJ-Z5NyV</t>
  </si>
  <si>
    <t>https://drive.google.com/open?id=18N9h1iRwBX5XSXwF2Y1JOQkC0rJoppAW</t>
  </si>
  <si>
    <t>https://drive.google.com/open?id=1YNLKfcaNl0vm_cRuLFdOMJ52cfie-me7</t>
  </si>
  <si>
    <t>https://drive.google.com/open?id=17tCLjRgEgOJUTdgPSMd4dy1CKECydniO</t>
  </si>
  <si>
    <t>0120190552</t>
  </si>
  <si>
    <t>SARANG</t>
  </si>
  <si>
    <t>PRAMOD</t>
  </si>
  <si>
    <t>WADODE</t>
  </si>
  <si>
    <t>sarangwadode@gmail.com</t>
  </si>
  <si>
    <t>https://www.linkedin.com/in/sarangwadode/</t>
  </si>
  <si>
    <t>NANDA</t>
  </si>
  <si>
    <t>Sai Mandir, Ward No.3, Jarud, Warud, Amravati, Maharashtra - 444908</t>
  </si>
  <si>
    <t>2968, Alandi Road, Kale Colony, Alandi, opposite to Kale Petrol Pump, Pune, Maharashtra - 412105</t>
  </si>
  <si>
    <t>Medstore
An online medicine shopping application
Built with Django</t>
  </si>
  <si>
    <t>Celebal Technologies
Intern (ReactJS domain)
mentor Anurag Arora(anurag.arora@celebaltech.com)</t>
  </si>
  <si>
    <t>Crop-Disease-Prediction
Detect diseased crop
Web application to detect the given image of the crop is diseased or not.
For frontend Flask is used and Resnet152v2 a Keras model is used for
image classification.</t>
  </si>
  <si>
    <t>DevDays2022 (Hackthon)
Smart India Hackthon (Hackathon)
CodeByte Coding (Coding Competition)</t>
  </si>
  <si>
    <t>Secured All India Rank 48 in National Creativity Aptitude Test 2021</t>
  </si>
  <si>
    <t>5 Stars in programming (Python, C++, JavaScript)
HackerRank</t>
  </si>
  <si>
    <t>https://preskilet.com/watch?v=62bda35e9535010004fd2767</t>
  </si>
  <si>
    <t>https://drive.google.com/open?id=1PPlp1FiHnxYaI-TjzTyRMSEi2AvPK8Tt</t>
  </si>
  <si>
    <t>https://drive.google.com/open?id=1sswfNp4_JraVVVcJhpRz9jbfibCMvGot</t>
  </si>
  <si>
    <t>https://drive.google.com/open?id=1wRQ3LrrH2fcAFBCxceMmfRjgCQF5xmMf</t>
  </si>
  <si>
    <t>https://drive.google.com/open?id=1km4ahHWWAs_x0NHUPVk3lMcx57YZbVWa</t>
  </si>
  <si>
    <t>https://drive.google.com/open?id=10NfVYZm1IdK14nWq9vXnD72y0f-_eZpM</t>
  </si>
  <si>
    <t>Preskillet Video Interview Drive Link
drive video link was filled first which is now replaced by preskilit video link</t>
  </si>
  <si>
    <t>0120190556</t>
  </si>
  <si>
    <t>AVENTIKA</t>
  </si>
  <si>
    <t>KHEMANI</t>
  </si>
  <si>
    <t>aventikakhemani@gmail.com</t>
  </si>
  <si>
    <t>https://www.linkedin.com/in/aventika-khemani-44bb22209/</t>
  </si>
  <si>
    <t>BHAGWANDAS KHEMANI</t>
  </si>
  <si>
    <t>KANTA KHEMANI</t>
  </si>
  <si>
    <t>NAGPUR, MAHARASHTRA</t>
  </si>
  <si>
    <t>frontend developer- Conzura company</t>
  </si>
  <si>
    <t>ShellCode- Unity Developer</t>
  </si>
  <si>
    <t>English Audio to Indian sign language</t>
  </si>
  <si>
    <t>AutoCAD, Fusion 360, CATIA, MATLAB, Blender, Unity</t>
  </si>
  <si>
    <t>Sanskrit, Japanese, Sindhi, Punjabi, Urdu</t>
  </si>
  <si>
    <t>Took part in Datathon
Cleared pre-final Round of “International Youth Maths Competition” in year 2021-2022 .
Held 2nd position in “VirtualStorm- Hackathon1.0” organised by “IIM-Sirmaur” in the year 2021-2022</t>
  </si>
  <si>
    <t>Cleared pre-final Round of “International Youth Maths Competition” in year 2021-2022 .
Held 2nd position in “VirtualStorm- Hackathon1.0” organised by “IIM-Sirmaur” in the year 2021-2022</t>
  </si>
  <si>
    <t>https://preskilet.com/watch?v=62965091716ac100049818b9</t>
  </si>
  <si>
    <t>https://drive.google.com/open?id=1zMc0dsNd_3oMcrSqhqqqyRyOVG-SoZo6</t>
  </si>
  <si>
    <t>https://drive.google.com/open?id=1lyXFdM7o9Xyz_PUiyANadNSyaS7QTRQU</t>
  </si>
  <si>
    <t>https://drive.google.com/open?id=124-8JdZbKHD5uByH-Z1GNnB0vYuhJ9yx</t>
  </si>
  <si>
    <t>https://drive.google.com/open?id=1HFmQMmT31fecSWrRuTEKApZheMY86NnX</t>
  </si>
  <si>
    <t>https://drive.google.com/open?id=1lzXNnbNju-WjkXjQPr-eaA9alLhNel_y</t>
  </si>
  <si>
    <t>https://drive.google.com/open?id=1Fissmwwy_P9PGs496PyfGUgcacJM2RaJ</t>
  </si>
  <si>
    <t>https://drive.google.com/open?id=1hP1dqIBDCnLqkVjn2eQfmI5NqAPbNmIl</t>
  </si>
  <si>
    <t>https://drive.google.com/open?id=1QD6iVvfLcn_LY9Iq78jkWqwLw64dV6pC</t>
  </si>
  <si>
    <t>I forgot to add my technical certificate earlier</t>
  </si>
  <si>
    <t>0120190559</t>
  </si>
  <si>
    <t>CHIRAYU</t>
  </si>
  <si>
    <t>SHAH</t>
  </si>
  <si>
    <t>0120190584</t>
  </si>
  <si>
    <t>SHWETALI</t>
  </si>
  <si>
    <t>DESAI</t>
  </si>
  <si>
    <t>shwetalidesai13@gmail.com</t>
  </si>
  <si>
    <t>linkedin.com/in/shwetali-desai</t>
  </si>
  <si>
    <t>SEEMA</t>
  </si>
  <si>
    <t>D3/31, Tridal Nagar Society, Yerwada, Pune-411006</t>
  </si>
  <si>
    <t>723/900</t>
  </si>
  <si>
    <t>698/900</t>
  </si>
  <si>
    <t>Microsoft AZ-900: Microsoft Azure AZ</t>
  </si>
  <si>
    <t>Intern at MITAOE Aero club</t>
  </si>
  <si>
    <t>Web development training on internshala</t>
  </si>
  <si>
    <t xml:space="preserve">Summer intern at Celebal Technologies </t>
  </si>
  <si>
    <t xml:space="preserve">Predictive analysis of students knowledge retention </t>
  </si>
  <si>
    <t>German, French</t>
  </si>
  <si>
    <t xml:space="preserve">ESAT Embark - Top 2%
TCS ION
National Engineering Olympiad
</t>
  </si>
  <si>
    <t>Intra college Badminton Girls</t>
  </si>
  <si>
    <t>https://preskilet.com/watch?v=6296fb7d5545ea0004a922d0</t>
  </si>
  <si>
    <t>https://drive.google.com/open?id=1JGjYcxrOg7tdLx_OjmHyiYhXEyCgZ7D2</t>
  </si>
  <si>
    <t>https://drive.google.com/open?id=1zA51bUNYdLb8R8ah0AYoYoTInoNENxRs</t>
  </si>
  <si>
    <t>https://drive.google.com/open?id=12JBTY8gS2T0w-zsaj9nCL9xcMgtZPUEZ</t>
  </si>
  <si>
    <t>https://drive.google.com/open?id=1D-64bR2_LXjLat9TX7IEz9pVl85p_PpN</t>
  </si>
  <si>
    <t>0120190589</t>
  </si>
  <si>
    <t>AADITYA</t>
  </si>
  <si>
    <t>SHIVPRAKASH</t>
  </si>
  <si>
    <t>BARVE</t>
  </si>
  <si>
    <t>aadityabarve07@gmail.com</t>
  </si>
  <si>
    <t>https://www.linkedin.com/in/aaditya-barve-889073208/</t>
  </si>
  <si>
    <t>SHIVPRAKASH BARVE</t>
  </si>
  <si>
    <t>SUNITA BARVE</t>
  </si>
  <si>
    <t>I-104, Ganeesham Phase 2, Opposite to SBI Bank, Pimple Saudaghar, Pune.</t>
  </si>
  <si>
    <t>CodeChef Certified Data Structure &amp; Algorithms Programme (Basic)</t>
  </si>
  <si>
    <t>CodeChef Certified Data Structure &amp; Algorithms Programme (Advance)</t>
  </si>
  <si>
    <t>Programmes by IIT Kharagpur and IIT Bombay:
1. NPTEL Problem Solving through Programming in C (Came in Top 1% all over India in certification exam, with a score of 94%.)
2. Object Oriented Programming IIT Bombay.
3. Foundation of Data Structures IIT Bombay.
4. Implementation of Data Structures IIT Bombay</t>
  </si>
  <si>
    <t>Company: zekeLabs 
Position: Software Development Engineer Intern
Achievements/Tasks:
1. Working as a backend developer using various technologies and frameworks including Python, Django and Django REST Framework.
2. Development of API calls using Django &amp; Django REST Framework.
3. Development of new features and writing MySQL queries and stored procedures.</t>
  </si>
  <si>
    <t xml:space="preserve">June-July 2022: 
Company: Cisco 
Position: Technical Undergraduate Intern
January-March 2022:
Company: University of Zurich
Position: Software Engineer Intern
Achievements/Tasks:
1. Developed a graphical user interface for an in-house developed custom machine learning pipeline framework.
2. Development of static and dynamically configurable GUI- elements from the basic gui- elements provided by the ipywidget package.
3. Implementing the GUI as a standalone python package using Clean Code principles and documenting work by using tools such as flake8 and sphynx. </t>
  </si>
  <si>
    <t xml:space="preserve">Angular, Spring &amp; Hibernate (Java), Django (Python), Django Rest Framework, NodeJS </t>
  </si>
  <si>
    <t>1) First prize in Quantum - project presentation competition organized by RIT College, Islampur. Consisted of more than 40 group entries. Showcased the SY project titled 'Smart Spectacles for Automated Criminal Detection using Deep Learning'.
2) 5 star on Codechef and Expert on Codeforces. Codechef &amp; Codeforces are Competitive coding platforms where coders from all around globe participate in coding contests.
3) 2nd runner up in Project Expo - 2022, organized by SCET - MITAOE in association with Computer Society of India. Consisted of 60+ group entries. Showcased the TY project titled 
4) Certification: CodeChef Certified Data Structure &amp; Algorithms Programme.</t>
  </si>
  <si>
    <t>1) First Prize for 2 consecutive years, in Codestorm Annual national level coding competition in MIT WPU.
2) First Prize in Datathon, Annual Machine Learning and Data Science competition in MITAOE.
3) First Runner up of Codesprint, Annual national level coding competition in MIT AOE.
4) Silver Honour in International Youth Math Challenge, International Level Maths Competition.</t>
  </si>
  <si>
    <t>1) Core technical executive member of Codechef Club, MITAOE chapter.
2) Marathon runner in 5km, 10km and 21km Marathons.</t>
  </si>
  <si>
    <t>https://preskilet.com/watch?v=62b60abcaf4f2700045ce14f</t>
  </si>
  <si>
    <t>https://drive.google.com/open?id=1NV_BjQ79KYJ-L5dERgHBzIKRiv5IkN08</t>
  </si>
  <si>
    <t>https://drive.google.com/open?id=1FNPzBco1-ovyIgE3pm-X7upE1BN17-Cy</t>
  </si>
  <si>
    <t>https://drive.google.com/open?id=1g0lTMk-xHUjL2bB2_H7u3xPl7p7xCHVm</t>
  </si>
  <si>
    <t>https://drive.google.com/open?id=1fWNXHZHfm0lz5HnWIzlyebNUDWu0tRrD</t>
  </si>
  <si>
    <t>https://drive.google.com/open?id=1_nzFzRmr8B_0a6QK5zLsI1abTjNnCVq4</t>
  </si>
  <si>
    <t>https://drive.google.com/open?id=1LfJ8UURuewoFI8JejFnWKDDrpf86hXBp</t>
  </si>
  <si>
    <t>https://drive.google.com/open?id=18WQaeX_n_fFj7f4s38BrHF0wzLDUl34R</t>
  </si>
  <si>
    <t>https://drive.google.com/open?id=1t2O05Q_WdwrVkUf97vicx0rGL0IE3ozj</t>
  </si>
  <si>
    <t>https://drive.google.com/open?id=1frqdhClM84pvW9cQUuS-LY1F_J3fDnDP</t>
  </si>
  <si>
    <t>TY &amp; SY Amcat Reports: The reports weren't downloading earlier, so had uploaded score screenshots earlier.
Internship Certificates: Recently received one of the internship certificates. So I have re-upload by adding it.</t>
  </si>
  <si>
    <t>0120190590</t>
  </si>
  <si>
    <t>baditi2706@gmail.com</t>
  </si>
  <si>
    <t>https://www.linkedin.com/in/7-aditi-borkar-baa85a241</t>
  </si>
  <si>
    <t>Shivam Residency, Ambethan road, Chakan</t>
  </si>
  <si>
    <t>Internshala training - Ethical hacking</t>
  </si>
  <si>
    <t>Core Java</t>
  </si>
  <si>
    <t>Web technology- Logic n Concepts</t>
  </si>
  <si>
    <t>Vulnerability assessment and penetration testing along with prevention methods</t>
  </si>
  <si>
    <t>React.js (JavaScript/Typescript), Angular, Django (Python)</t>
  </si>
  <si>
    <t>Ethical hacking and Java</t>
  </si>
  <si>
    <t>Zumba instructor</t>
  </si>
  <si>
    <t>https://docs.google.com/document/d/1pmLBaQHiihqxDDSkgsaRCZnPMtm9t7N5tvWBAkzxJJ4/edit?usp=drivesdk</t>
  </si>
  <si>
    <t>https://drive.google.com/open?id=1eiDz6rblcxvKleVXu0NrMSyXhnlY-eoe</t>
  </si>
  <si>
    <t>https://drive.google.com/open?id=1edl9zpo9xc3bdX_UYoBc38j4NJeHlZrN</t>
  </si>
  <si>
    <t>0120190594</t>
  </si>
  <si>
    <t>MANISH</t>
  </si>
  <si>
    <t>manishmanohar1999@gmail.com</t>
  </si>
  <si>
    <t>https://www.linkedin.com/in/manish-manohar-09a84123a</t>
  </si>
  <si>
    <t>NAND KUMAR CHOUDHARY</t>
  </si>
  <si>
    <t>RANJU KUMARI</t>
  </si>
  <si>
    <t>SUPAUL BAZAR, DARBHANGA ,BIHAR, 847203</t>
  </si>
  <si>
    <t>Alandi ,pune ,412105</t>
  </si>
  <si>
    <t>PROCESS MINING VIRTUAL INTERNSHIP AICTE</t>
  </si>
  <si>
    <t>Persistent martian program</t>
  </si>
  <si>
    <t>Biometric students attendance system</t>
  </si>
  <si>
    <t>Stock market forecasting using ant colony optimization</t>
  </si>
  <si>
    <t>C/C++, C#, HTML, CSS, JavaScript</t>
  </si>
  <si>
    <t>https://preskilet.com/mmanohar@mitaoe.ac.in</t>
  </si>
  <si>
    <t>https://drive.google.com/open?id=1v9uGVEvNtAYs5f4pvArMJ65r7FaRZmz2</t>
  </si>
  <si>
    <t>https://drive.google.com/open?id=1W5ZvQoI0FXQp_BHCUVg4HFAt61M8MD2a</t>
  </si>
  <si>
    <t>https://drive.google.com/open?id=1KljhuOYjnrJwTyaKGNUPt3JX2d2rpJip</t>
  </si>
  <si>
    <t>https://drive.google.com/open?id=1fvZgsx7M7NNwQdebbNHfgogqEGGdrltB</t>
  </si>
  <si>
    <t>https://drive.google.com/open?id=1zWYGrWB-FAG62TIOlnvWP4oSZKnFKziR</t>
  </si>
  <si>
    <t>https://drive.google.com/open?id=1tjTDhX5MquAR3aEqHbQ4C8vf_Wc1a3PI</t>
  </si>
  <si>
    <t>0120190601</t>
  </si>
  <si>
    <t>ARYA</t>
  </si>
  <si>
    <t>KASHYAP</t>
  </si>
  <si>
    <t>aryakashyap0641@gmail.com</t>
  </si>
  <si>
    <t>https://www.linkedin.com/in/arya-kashyap-38668a1b2</t>
  </si>
  <si>
    <t xml:space="preserve"> ARUN KUMAR JHA</t>
  </si>
  <si>
    <t>ALKA JHA</t>
  </si>
  <si>
    <t>At: Murtuzachak ,PO: Mirjanhat ,District: Bhagalpur , State: Bihar, Country :India ,PIN :812005</t>
  </si>
  <si>
    <t>Flat No. 302, Padmavati Building, Hindavi Colony Tapkir nagar, Dehu Phata, Alandi, Pune
City : Pune	Country : India	Pin Code : 412105</t>
  </si>
  <si>
    <t>CV102T Applied Mechanics</t>
  </si>
  <si>
    <t>Palo Alto : Cyber Security Foundation</t>
  </si>
  <si>
    <t>Ethical Hacking Training from Internshala , About : The Vulnerability Assessment and top 10 OWASP problems Identification</t>
  </si>
  <si>
    <t>Aneja Associates, VIEH group</t>
  </si>
  <si>
    <t xml:space="preserve">2021 -present Smart Irrigation System, Stack: ANN ,IoT
Smart System using IoT and ANN to automate the process of Irrigation for water-sensitive crops
2020 – 2021 Speech Keywords Highlighter, Stack : Python, Deep Speech, Flutter(Dart)
A speech-to-text converter using the Google Speech Engine to highlight important keywords/phrases in a speech based on the domain of application.
2020 – 2021 Home Automation System
Stack : Cisco Packet Tracer, IOT
Home Automated System using Appliances on cisco packet tracer
</t>
  </si>
  <si>
    <t>Project Expo organized by MIT</t>
  </si>
  <si>
    <t xml:space="preserve">Training certification by Internshala in Ethical Hacking </t>
  </si>
  <si>
    <t>https://preskilet.com/watch?v=62a36483a6956a00045fffd7</t>
  </si>
  <si>
    <t>https://drive.google.com/open?id=1ayxMUNl2kAAImGZ7QvmzgI0QghqQYj4i</t>
  </si>
  <si>
    <t>https://drive.google.com/open?id=1L2ogZnPiwnEiA9RflL2_r6YbzckOY6TB</t>
  </si>
  <si>
    <t>https://drive.google.com/open?id=15nePemZysDnHlIRURG9PzWnm9-hguY0F</t>
  </si>
  <si>
    <t>https://drive.google.com/open?id=1-PvaSNBxlwLu_ol8qjgIOqzSZCplHFok</t>
  </si>
  <si>
    <t>Dead Backlogs</t>
  </si>
  <si>
    <t>0120190602</t>
  </si>
  <si>
    <t>SANIKA</t>
  </si>
  <si>
    <t>PAREEK</t>
  </si>
  <si>
    <t>pareekasanika@gmail.com</t>
  </si>
  <si>
    <t>https://www.linkedin.com/in/sanika-pareek-50548120a/</t>
  </si>
  <si>
    <t>ANIL PAREEK</t>
  </si>
  <si>
    <t>KIRAN PAREEK</t>
  </si>
  <si>
    <t>K8-804 Kate Puram Phase II, near Kate Puram Chowk ,Pimple Gurav, Pune 411027</t>
  </si>
  <si>
    <t>Web Development (Verzeo)</t>
  </si>
  <si>
    <t>Augmented Reality (MITAOE): Augmented Reality based Application for education in context of rural India</t>
  </si>
  <si>
    <t xml:space="preserve">TechSword Solution, Web Development Internship </t>
  </si>
  <si>
    <t>English Speech to Indian Sign Language</t>
  </si>
  <si>
    <t>Angular, Spring &amp; Hibernate (Java)</t>
  </si>
  <si>
    <t>Bagged the second prize in the “VirtualStorm: Hackathon 1.0” organized by “IIM
Sirmaur” in the year 2022
Bagged the third prize in “Datathon” sponsored by “Bajaj Finserv” held at “MIT
Academy of Engineering, Pune” in the year 2022.</t>
  </si>
  <si>
    <t>https://preskilet.com/watch?v=62962f55716ac10004981738</t>
  </si>
  <si>
    <t>https://drive.google.com/open?id=1V_ZeN3Njt5zLfHs8plRclQdNs0D2B0ns</t>
  </si>
  <si>
    <t>https://drive.google.com/open?id=1p5EIW8t9rEyJAvqb2dxVhoH3bf3uQ-Lf</t>
  </si>
  <si>
    <t>https://drive.google.com/open?id=1bj87W3TOuF4IPJv1kQNlKiRLqSjqNjCN</t>
  </si>
  <si>
    <t>https://drive.google.com/open?id=1LXWqjsg1I3g-iXgj8clChtOhs1S0KLW8</t>
  </si>
  <si>
    <t>https://drive.google.com/open?id=1rSZAekdvqtiAYKDor-ghgZ6DWD5dmW0V</t>
  </si>
  <si>
    <t>https://drive.google.com/open?id=1dBTJYrkIqstkaqKRUjE0WjQVbach3tQy</t>
  </si>
  <si>
    <t>0120190608</t>
  </si>
  <si>
    <t>aditya.kumar3006@gmail.com</t>
  </si>
  <si>
    <t>inkedin.com/in/aditya-kumar-210a60211/</t>
  </si>
  <si>
    <t>LATE PINTU KUMAR</t>
  </si>
  <si>
    <t>SUMAN DEVI</t>
  </si>
  <si>
    <t>Station Road gosai toli Ranchi Jharkhand</t>
  </si>
  <si>
    <t>Tanish orchid charholi pune</t>
  </si>
  <si>
    <t>Palo Alto networks Cyber security Academy</t>
  </si>
  <si>
    <t>Android development certification ,Microsoft AI-900: Microsoft Azure AI(ongoing)</t>
  </si>
  <si>
    <t xml:space="preserve">Graphic design
Created  wide range of graphics and layouts for product illustrations, company logos, and websites with software (Adobe illustrator)
</t>
  </si>
  <si>
    <t xml:space="preserve">
Android App development
Designed the software and applications for Android devices and the Google Play Store.
Developed new features for proprietary Android applications used on phones and tablets
Integrated multiple systems to move data between layers of software stack. </t>
  </si>
  <si>
    <t xml:space="preserve">Techsword solutions (web development )
</t>
  </si>
  <si>
    <t>Android Development (Java/Kotlin), React.js (JavaScript/Typescript), Angular, Spring &amp; Hibernate (Java), Django (Python), Flask (Python)</t>
  </si>
  <si>
    <t>AutoCAD, Fusion 360, Figma, Adobe XD, Proteus, MATLAB, Blender,unity</t>
  </si>
  <si>
    <t xml:space="preserve">1 Solved 500+ problems on coding
platforms-Codechef,Leetcode, Hackerrank,Interviewbit
2  internship on web development 
3. Created CRM mern stack project in software development 
</t>
  </si>
  <si>
    <t>1 Participated in IYMC Maths (international) qualified for the round 1
2 Aptitude test organized by Department of IT RMD SINGHAD SCHOOL OF ENGINEERING(SCORE=47/60)
3 (SECURED 4TH RANK ON MATHS COMPETITION)IN CAMPUS</t>
  </si>
  <si>
    <t>Full stack web developement (udemy)
DSA(codiing club)
AI/ML(Coding club)
Android app development(internshala)
python and data structure(coursera)
Matlab onramp</t>
  </si>
  <si>
    <t>PARTICIPATED IN SINGING ,MUSIC EVENTS</t>
  </si>
  <si>
    <t>https://preskilet.com/watch?v=62a365eaa6956a0004600019</t>
  </si>
  <si>
    <t>https://drive.google.com/open?id=13ADUOH0XRt_JJWn3UTWe7YZ87ndeBCPQ</t>
  </si>
  <si>
    <t>https://drive.google.com/open?id=1DvM3c7cvttJ8arGI5IWFqixxFcmRpbZ7</t>
  </si>
  <si>
    <t>https://drive.google.com/open?id=1PJamJjl_fyMI4mH5KQzdljDzNX9IpVJw</t>
  </si>
  <si>
    <t>https://drive.google.com/open?id=1aQcEnmQAUpawd3F0MQs5l7jqEARaaI2A</t>
  </si>
  <si>
    <t>https://drive.google.com/open?id=1GlTYgcCTY6Hpmbh_JhhIuC9uZeEIuTNo</t>
  </si>
  <si>
    <t>https://drive.google.com/open?id=1Nnhffspw-gLZ3wxZnvlavu8bh2XxEdBq</t>
  </si>
  <si>
    <t>0220200008</t>
  </si>
  <si>
    <t>RITESH</t>
  </si>
  <si>
    <t>riteshkul51@gmail.com</t>
  </si>
  <si>
    <t>https://www.linkedin.com/in/ritesh-kulkarni-a70469188/</t>
  </si>
  <si>
    <t>RAJSHRI</t>
  </si>
  <si>
    <t>Flat no D2 603 blue dice society dehu-alandi road Patil Nagar chikhali pune -411062</t>
  </si>
  <si>
    <t>Microsoft AI-900:-Azure AI Fundamentals.</t>
  </si>
  <si>
    <t xml:space="preserve">1)Microsoft technology associates -Introduction to python programming.
2) Oracle cloud infrastructure :- foundation 2021 certified 
 </t>
  </si>
  <si>
    <t xml:space="preserve">Sapien system Pvt limited:- frontend developer </t>
  </si>
  <si>
    <t xml:space="preserve">Celebal technology:- data science intern </t>
  </si>
  <si>
    <t>Explainable image captioning generator</t>
  </si>
  <si>
    <t>Figma, Adobe XD, MATLAB</t>
  </si>
  <si>
    <t>1)National Level Technical Event:- datathon (machine learning competition).
2)National Level Technical Event :-Pair Programming.</t>
  </si>
  <si>
    <t xml:space="preserve">
1)Intercollegiate 'c' programming competition.  </t>
  </si>
  <si>
    <t>https://preskilet.com/watch?v=62a48cdd589aee0004d984f3</t>
  </si>
  <si>
    <t>https://drive.google.com/open?id=1CArtVp5TLrHBKF6JvdWwDd6JWMSxcgEW</t>
  </si>
  <si>
    <t>https://drive.google.com/open?id=1QJMljZ8neUvsfEL6WTAf-fU90mxLWHYw</t>
  </si>
  <si>
    <t>https://drive.google.com/open?id=1rCgsRn56Qe5YqnfwSQQK7YT4LTvPUMXq</t>
  </si>
  <si>
    <t>https://drive.google.com/open?id=1u5__2qIwFz-2aBvZpE6kVmGCsnN8CuFu</t>
  </si>
  <si>
    <t>https://drive.google.com/open?id=1OOj7MHr8eo1VgV8V24Y25G7njoCDBhz3</t>
  </si>
  <si>
    <t>0220200016</t>
  </si>
  <si>
    <t>PRIYANKA</t>
  </si>
  <si>
    <t xml:space="preserve"> RATHOD</t>
  </si>
  <si>
    <t>priyankarathod652000@gmail.com</t>
  </si>
  <si>
    <t>https://www.linkedin.com/mwlite/in/priyanka-rathod-93a263237</t>
  </si>
  <si>
    <t>MADHUKAR</t>
  </si>
  <si>
    <t>GANGABAI</t>
  </si>
  <si>
    <t>At.Subhashwadi, Post.Dhobi-Varad, Tal&amp;Dist.Jalgaon (Pincode-425115)</t>
  </si>
  <si>
    <t xml:space="preserve"> line no 2, Vaishnav Hostel, Hindawi colony Alandi, Tal.Khed, Dist.Pune (Pincode-412105)</t>
  </si>
  <si>
    <t xml:space="preserve">Palo Alto Networks Cybersecurity Academy - Cyber Security Foundation   </t>
  </si>
  <si>
    <t xml:space="preserve">1.Oracle Cloud Infrastructure Foundations 2021 Certified Associate
2.National Science Day Quiz organized by MIT Academy Of Engineering
3.Data Processing Specialist-AMCAT
4.Cybersecurity Virtual Internship - EduSkills - AICTE </t>
  </si>
  <si>
    <t>Google cloud Ready Facilitator</t>
  </si>
  <si>
    <t>Organization : Codekul Pvt. Ltd  Project: Hospital Aggregator Integrated</t>
  </si>
  <si>
    <t xml:space="preserve">1.TechSword Solutions </t>
  </si>
  <si>
    <t>Stock Market Forecasting  Using "Ant Colony Optimization" - Btech
Mess Management System - Diploma</t>
  </si>
  <si>
    <t>Organized a Project Expo 2022 CSI Project Competition (Role - Committee Member)</t>
  </si>
  <si>
    <t>1. Industrial training - May-July 2019
2. Zensar Training Program 2021-2022</t>
  </si>
  <si>
    <t>1. State level zonal Girls sport Competition 
2. Zero to Infinity International Workshop on Career Awareness</t>
  </si>
  <si>
    <t>https://preskilet.com/watch?v=62a30946a6956a00045ff747</t>
  </si>
  <si>
    <t>https://drive.google.com/open?id=1tdpY3KCZVeITGJ7RRr_u2ZjNThx5Nk_i</t>
  </si>
  <si>
    <t>https://drive.google.com/open?id=1cJqL-GRHSR4nouTOR4nXuvt6sopcPsQk</t>
  </si>
  <si>
    <t>https://drive.google.com/open?id=1OP4bIbEhbgBl79Dlz3JdW-gQedEHJoFd</t>
  </si>
  <si>
    <t>https://drive.google.com/open?id=10QK_q3mCei8sou0IZjpgSOj1EwQarijb</t>
  </si>
  <si>
    <t>https://drive.google.com/open?id=1fI0JOHAXQ68C9A0HTVUNCOX6BmS1T7kx</t>
  </si>
  <si>
    <t>https://drive.google.com/open?id=10FN_bHQ0QSdKzaw5RbDsn6vJ4yAy7TQz</t>
  </si>
  <si>
    <t>0220200018</t>
  </si>
  <si>
    <t>MADANU AMISHA</t>
  </si>
  <si>
    <t xml:space="preserve">X </t>
  </si>
  <si>
    <t>amishamadanu@gmail.com</t>
  </si>
  <si>
    <t>www.linkedin.com/in/madanuamisha</t>
  </si>
  <si>
    <t>MADANU AROGYA PRABHAKAR</t>
  </si>
  <si>
    <t>PLOT NO-65, SHIVSHAKTI NAGAR, DATTAWADI, AMRAVATI ROAD, NAGPUR-440023</t>
  </si>
  <si>
    <t>TODO LIST APP - This application is used for creating and managing tasks for the day to day life, it includes gathering tasks, scheduling, task tracking and removing a task when they are completed.</t>
  </si>
  <si>
    <t>Internship: Celebal Technologies, Jaipur, Rajasthan (Domain - Data Science)</t>
  </si>
  <si>
    <t>Smart Interactive Farmer Bot</t>
  </si>
  <si>
    <t>Python, Java, C/C++, HTML, CSS, JavaScript, Mysql, MongoDB</t>
  </si>
  <si>
    <t>MATLAB, Tableau</t>
  </si>
  <si>
    <t>Telugu</t>
  </si>
  <si>
    <t>https://preskilet.com/watch?v=62a316f1a6956a00045ff897</t>
  </si>
  <si>
    <t>https://drive.google.com/open?id=109Ea4pWEXWsVjwcLhbEjErJ9YWtbMuNZ</t>
  </si>
  <si>
    <t>https://drive.google.com/open?id=1Kx7x0Cw5AQvFd5tIucKWHJ9Oh8qDkeiE</t>
  </si>
  <si>
    <t>https://drive.google.com/open?id=1Q4urYNpJYvdm-MgyV4GHfwQG51NvlBTd</t>
  </si>
  <si>
    <t>https://drive.google.com/open?id=1vBI-XopGXOpUFfkr2t3mjIxmdJyVYfKE</t>
  </si>
  <si>
    <t>https://drive.google.com/open?id=1G-QQylralcevXaNP1OE-SH9MyrD8qBs2</t>
  </si>
  <si>
    <t>https://drive.google.com/open?id=1eZZ-w65x2N0NV70WE7vQIW4gRrbklpGX</t>
  </si>
  <si>
    <t>SY Amcat report as I was recently able to download from the amcat website</t>
  </si>
  <si>
    <t>0220200044</t>
  </si>
  <si>
    <t>KHAKARE</t>
  </si>
  <si>
    <t>rutujakhakare2001@gmail.com</t>
  </si>
  <si>
    <t>https://www.linkedin.com/in/rutuja-khakare-78a6a9152</t>
  </si>
  <si>
    <t xml:space="preserve">98-c corporation, shivaji nagar, nanded. </t>
  </si>
  <si>
    <t>302b dnyanyog apartments, near gajanan baba mandir, alandi</t>
  </si>
  <si>
    <t>Microsoft DP-900, IBM text analytics 101, IBM python begginer to advance, sql basics at hackerrank</t>
  </si>
  <si>
    <t xml:space="preserve">Data science intern at AIvariant, I had done the internship here for 1 year in which I have successfully completed 4 projects in data science and machine learning . </t>
  </si>
  <si>
    <t>Machine learning intern at Cogniftont</t>
  </si>
  <si>
    <t>Lung cancer prediction</t>
  </si>
  <si>
    <t>Android Development (Java/Kotlin), Spring &amp; Hibernate (Java), Django (Python), Flask (Python)</t>
  </si>
  <si>
    <t>Tableau, powerBI</t>
  </si>
  <si>
    <t>Turkish, kannada</t>
  </si>
  <si>
    <t>Finalist at unnat bharat 2022 , organiser at datathon 2022 and codebytes 2022, work at NGO</t>
  </si>
  <si>
    <t xml:space="preserve">Organised 2 major coding events under equilibrium I. E datathon and codebytes. 
Run a qutoes Instagram page + blog writer
Illustrator(dress designing) </t>
  </si>
  <si>
    <t>https://preskilet.com/editpret</t>
  </si>
  <si>
    <t>https://drive.google.com/open?id=15pFcJbvk-WKQuxGkMm-NmlXKaHt8Tt5y</t>
  </si>
  <si>
    <t>https://drive.google.com/open?id=1062Bk4WiYBDCjE3HLRnMsd2q2zDc0q1G</t>
  </si>
  <si>
    <t>https://drive.google.com/open?id=1Oz8AHNyV4xDw_GD6WRN42aB7JcgPQK3o</t>
  </si>
  <si>
    <t>https://drive.google.com/open?id=18qNm9ZaSKoDR4eZYoUYAqIeVwyhDA6ND</t>
  </si>
  <si>
    <t>https://drive.google.com/open?id=1j9j33TJBSinhe9APIKfSd6WCuxryFlOi</t>
  </si>
  <si>
    <t>https://drive.google.com/open?id=1AqtGvsAufvGB6bx371C3564g0bkIM29q</t>
  </si>
  <si>
    <t>Not updated</t>
  </si>
  <si>
    <t>0220200085</t>
  </si>
  <si>
    <t>rushijadhav1507@gmail.com</t>
  </si>
  <si>
    <t>https://www.linkedin.com/in/rushikesh-jadhav-012396184</t>
  </si>
  <si>
    <t>SURESH DNYANADEO JADHAV</t>
  </si>
  <si>
    <t>ANITA SURESH JADHAV</t>
  </si>
  <si>
    <t>"Shree" Home, Injubai Colony, Near Ganesh Bhavan, Gargoti, Tal- Bhudargad, Dist- Kolhapur, PIN- 416209</t>
  </si>
  <si>
    <t>Flat No. P206, Swaraj Residency, Borhadewadi, Behind DMart, Moshi, Pimpri-Chinchwad, 412 105</t>
  </si>
  <si>
    <t>Oracle Cloud Infrastructure 2021 Certified Architect Associate</t>
  </si>
  <si>
    <t>Oracle Cloud Infrastructure Foundations 2021 Certified Associate
Oracle Cloud Infrastructure 2021 Certified Architect Professional</t>
  </si>
  <si>
    <t xml:space="preserve">Software Developer Intern At BMC Software Pvt. Ltd
Working on ChatBot Application Based On Java, React &amp; AWS Services. </t>
  </si>
  <si>
    <t>Explainable Image Caption Generator</t>
  </si>
  <si>
    <t>Android Development (Java/Kotlin), Angular, Spring &amp; Hibernate (Java), Django (Python)</t>
  </si>
  <si>
    <t>1) "DATATHON" National Level Technical Event Organized By Equilibrium MITAOE
2) CodeChef MITAOE CodeBytes Competition</t>
  </si>
  <si>
    <t>1) Finalist of "DATATHON" National Level Technical Event Organized By Equilibrium MITAOE</t>
  </si>
  <si>
    <t>1) Industrial Training On PHP &amp; SQL At Dnyanada Solutions
2) Employability Skill Development  Program (ESD)Training At Zensar Technologies On Different Technical And Non-Technical Modules.</t>
  </si>
  <si>
    <t>1) Participated In TREE PLANTATION Drive Held At Diploma College.
2) Participated In FORT CLEANING Drive Held At Diploma College.</t>
  </si>
  <si>
    <t>https://preskilet.com/watch?v=62a35a51a6956a00045ffeb9</t>
  </si>
  <si>
    <t>https://drive.google.com/open?id=1u3XCIruBNFOXgX2pYNxvoG2TEqQOFoPH</t>
  </si>
  <si>
    <t>https://drive.google.com/open?id=1HkPRETWE5igSZsmVFln5uO94wfz43S0N</t>
  </si>
  <si>
    <t>https://drive.google.com/open?id=1z4rANwMopMmauLxOcC_U3sWdUn_Qb_WU</t>
  </si>
  <si>
    <t>https://drive.google.com/open?id=1wV9Yy1KJPqtrf4PMEU84Qf4cfYirV2vH</t>
  </si>
  <si>
    <t xml:space="preserve">SGPA of 3rd Year Because It's Not Available Previously </t>
  </si>
  <si>
    <t>0220200126</t>
  </si>
  <si>
    <t>UDDHAV</t>
  </si>
  <si>
    <t>uddhavpatil.work@gmail.com</t>
  </si>
  <si>
    <t>www.linkedin.com/in/uddhav-patil-9389a2206</t>
  </si>
  <si>
    <t>228,  A/P:Prayag Chikhali, Tal:Karveer, Dist: Kolhapur - 416229</t>
  </si>
  <si>
    <t>DnyanSuman Hostel, Dehu phata, Alandi, Pune - 412105</t>
  </si>
  <si>
    <t>MIcorsoft AZ-900: Azure Fundamentals</t>
  </si>
  <si>
    <t>Exposys Data Labs</t>
  </si>
  <si>
    <t>Celebal Technologies Internship</t>
  </si>
  <si>
    <t>Android Development (Java/Kotlin), React.js (JavaScript/Typescript), Angular, Spring &amp; Hibernate (Java)</t>
  </si>
  <si>
    <t xml:space="preserve">DATHATHON 2022 Finalist </t>
  </si>
  <si>
    <t>https://preskilet.com/watch?v=62a373f0a6956a0004600240</t>
  </si>
  <si>
    <t>https://drive.google.com/open?id=1TrMKhOVYWnPFBJzwtfpuClz4ErUI50ZD</t>
  </si>
  <si>
    <t>https://drive.google.com/open?id=1S4ubonDs47Fsao3Nxhg95G7DowMPaVwT</t>
  </si>
  <si>
    <t>https://drive.google.com/open?id=1DGoHm6p1n5gzMHy42_WhUS03Of8fBWif</t>
  </si>
  <si>
    <t>https://drive.google.com/open?id=1HAcZZ8DM3y2J24o41qW3HAts8Bnkx_jE</t>
  </si>
  <si>
    <t>https://drive.google.com/open?id=1mXBezzsfTGJOmn5Ede4Loh_FKwPG0TRp</t>
  </si>
  <si>
    <t>Latest Marks updated</t>
  </si>
  <si>
    <t>vkwankhade@mitaoe.ac.in</t>
  </si>
  <si>
    <t>Comp</t>
  </si>
  <si>
    <t>VYANKATESH</t>
  </si>
  <si>
    <t>KAILASRAO</t>
  </si>
  <si>
    <t>WANKHADE</t>
  </si>
  <si>
    <t>First Year Admission</t>
  </si>
  <si>
    <t>yurajwankhade@gmail.com</t>
  </si>
  <si>
    <t>https://www.linkedin.com/in/vyankatesh-wankhade-99491221a</t>
  </si>
  <si>
    <t>MEENAKSHI</t>
  </si>
  <si>
    <t>Phadke Nagar Dabki Road Akola</t>
  </si>
  <si>
    <t>Dnyanwardhini hostel, Room no 4, Vishweshwar Nagar, Dehu Phata.</t>
  </si>
  <si>
    <t>Web Development</t>
  </si>
  <si>
    <t>Cyber security</t>
  </si>
  <si>
    <t>Python, C++</t>
  </si>
  <si>
    <t>https://drive.google.com/file/d/1wENGLSsrRYOvVduRGyR9fls_TN9ah00F/view?usp=drivesdk</t>
  </si>
  <si>
    <t>0120190090</t>
  </si>
  <si>
    <t>KSHITIJA</t>
  </si>
  <si>
    <t>LADE</t>
  </si>
  <si>
    <t>kvlade1309@gmail.com</t>
  </si>
  <si>
    <t>www.linkedin.com/in/kshitijalade</t>
  </si>
  <si>
    <t>VINOD LADE</t>
  </si>
  <si>
    <t>MADHAVI LADE</t>
  </si>
  <si>
    <t>1601, Tulip, Everest World, Dhokali, Thane West, PIN-400607</t>
  </si>
  <si>
    <t>Android App Development Training 
Internshala
Jun 2020 - Jul 2020</t>
  </si>
  <si>
    <t xml:space="preserve">
University Of East Anglia, Norwich
Research Based Gamification Internship
Jul 2021 - Sep 2021</t>
  </si>
  <si>
    <t>Veermata Jijabai Technological Institute (VJTI)
Full Stack and Machine Learning Internship</t>
  </si>
  <si>
    <t xml:space="preserve">Smart Application to track and evaluate assessments. </t>
  </si>
  <si>
    <t>1. Smart India Hackathon
2. Google Girl Hackathon
3. Datathon</t>
  </si>
  <si>
    <t>Shutterbugs MITAOE Photography competition</t>
  </si>
  <si>
    <t xml:space="preserve">https://preskilet.com/watch?v=62a3474ba6956a00045ffd89 </t>
  </si>
  <si>
    <t>https://drive.google.com/open?id=1ixOhaHYoGGf6oeAQ1CAmiJfHq48sNRFI</t>
  </si>
  <si>
    <t>https://drive.google.com/open?id=11jiIFiPPu5f565AtZRE8Bmv-lqFOhFz2</t>
  </si>
  <si>
    <t>https://drive.google.com/open?id=1EZiLaAq8vlcG6xetMsx6yvC3ShmuCWP-</t>
  </si>
  <si>
    <t>https://drive.google.com/open?id=189KB5L6Sa1_LbK1DUCj-6xYv0oSDiqNa</t>
  </si>
  <si>
    <t>https://drive.google.com/open?id=1v5z3IfQZT57Rv5KyywmWPbVotR2yuIyI</t>
  </si>
  <si>
    <t>https://drive.google.com/open?id=1f7zvAiK_4lXjGtRewwtEKIbQDTlvG3XB</t>
  </si>
  <si>
    <t>salunkheps@mitaoe.ac.in</t>
  </si>
  <si>
    <t>0120190173</t>
  </si>
  <si>
    <t>PRANAV</t>
  </si>
  <si>
    <t>SALUNKHE</t>
  </si>
  <si>
    <t>pranavsureshsalunkhe@gmail.com</t>
  </si>
  <si>
    <t>https://www.linkedin.com/in/pranav-salunkhe-60013a23a/</t>
  </si>
  <si>
    <t>SURESH CHANDRARAO SALUNKHE</t>
  </si>
  <si>
    <t>SHARMILA SURESH SALUNKHE</t>
  </si>
  <si>
    <t>42 Shraddha bungalow , Lands Records , hsg soc , Sadar Bazar , Satara 415001</t>
  </si>
  <si>
    <t>A5 Pragati boys hostel , Dehu Phata , Alandi , 412105</t>
  </si>
  <si>
    <t>CH101L - SCIENCE OF NATURE</t>
  </si>
  <si>
    <t xml:space="preserve">Palo Alto - Cybersecurity Virtual Internship </t>
  </si>
  <si>
    <t>Edureka - Full Stack web Development Internship Program
Internshala - Web Development</t>
  </si>
  <si>
    <t xml:space="preserve">Password Strengthening - In this we made a random password generator. </t>
  </si>
  <si>
    <t xml:space="preserve">Codomotive Software Solutions Pvt. Ltd. </t>
  </si>
  <si>
    <t>Decentralized E-voting System Using Blockchain - We are working on an application that is secure and will help voter to cast vote from any where. We used Smart contract to ensure that voter can vote only once.</t>
  </si>
  <si>
    <t xml:space="preserve">Chess , cycling </t>
  </si>
  <si>
    <t>https://drive.google.com/drive/folders/1dURd-S7513FbGTPXz8GHsH2SaYCysJxo?usp=sharing</t>
  </si>
  <si>
    <t>https://drive.google.com/open?id=1HqdVJUT_CFdRK2RyIN1NeHz9MPQ0FdWq</t>
  </si>
  <si>
    <t>https://drive.google.com/open?id=1l6DrpjDcvAonCjPE2ZAAUF9FWvAY6O9D</t>
  </si>
  <si>
    <t>https://drive.google.com/open?id=1S_7SBZ01dfO5qNEIrBSESUqRMc34F_6M</t>
  </si>
  <si>
    <t>https://drive.google.com/open?id=1WkjfTu6fURPvEMh9F1JNbLcM_ZP2mIDw</t>
  </si>
  <si>
    <t>https://drive.google.com/open?id=1vw71_QcPbLwqpvjDditt-eAAYNefMaUx</t>
  </si>
  <si>
    <t xml:space="preserve">ACMAT test result. </t>
  </si>
  <si>
    <t>aaudawant@mitaoe.ac.in</t>
  </si>
  <si>
    <t>0120190149</t>
  </si>
  <si>
    <t>UDAWANT</t>
  </si>
  <si>
    <t>udawantatharv321@gmail.com</t>
  </si>
  <si>
    <t>https://www.linkedin.com/in/atharv-udawant-72108b231/</t>
  </si>
  <si>
    <t>RENUKA</t>
  </si>
  <si>
    <t>73/58, ADARSHA NAGAR, DIGHI, PUNE</t>
  </si>
  <si>
    <t>CS101T-LOGIC DEVELOPMENT - C PROGRAMMING</t>
  </si>
  <si>
    <t>Microsoft AI-900: Microsoft Azure AI".</t>
  </si>
  <si>
    <t>AWS practitioner</t>
  </si>
  <si>
    <t xml:space="preserve">RC Aircraft development 
Internship at MIT AOE </t>
  </si>
  <si>
    <t xml:space="preserve">WEB based internship 
at codekul private limited 
Problem statement :- To design and implement web based application of portfolio builder </t>
  </si>
  <si>
    <t>CELEBAL tecnologie 
domain :-  cloud infra</t>
  </si>
  <si>
    <t xml:space="preserve">Cloud federation </t>
  </si>
  <si>
    <t xml:space="preserve">React.js (JavaScript/Typescript), Laravel (PHP), Spring &amp; Hibernate (Java), Cloud computing </t>
  </si>
  <si>
    <t>Adobe XD, MATLAB</t>
  </si>
  <si>
    <t xml:space="preserve">TVS challenge hackathon 
</t>
  </si>
  <si>
    <t>Student council secretary of MITAOE</t>
  </si>
  <si>
    <t xml:space="preserve">https://preskilet.com/watch?v=62b44bd630b280000452322f </t>
  </si>
  <si>
    <t>https://drive.google.com/open?id=1Dvye9VqsRBKAC1Vraz338eVp7kCI3Uao</t>
  </si>
  <si>
    <t>https://drive.google.com/open?id=1POnUHW9OLLuPu-nW2TR6Sbv_Ve-IBNla</t>
  </si>
  <si>
    <t>https://drive.google.com/open?id=1H_QWhxYWx9XpWulIEnWLgl1Buq8eCrSl</t>
  </si>
  <si>
    <t>https://drive.google.com/open?id=1O0QIyIKlx2zcqfI6kzHr5WHxhnVa0ZH8</t>
  </si>
  <si>
    <t>https://drive.google.com/open?id=13dAzd3TRyLtpRvhGlt-3DNSt3WHjmPf_</t>
  </si>
  <si>
    <t>https://drive.google.com/open?id=1JZPZ0dmEMuwpgnSQtLctP17BuBPrfxMu</t>
  </si>
  <si>
    <t>https://drive.google.com/open?id=1toNp5ETACJNxOmOCU5Bf4wEBJiJbk4YE</t>
  </si>
  <si>
    <t>https://drive.google.com/open?id=1oiGi1eHbxsgULmnW-SjznzOloWEFoT1v</t>
  </si>
  <si>
    <t xml:space="preserve">Previously I was uploaded ScreenShots of result that's why I update and upload entire report </t>
  </si>
  <si>
    <t>shruti.dhumne@mitaoe.ac.in</t>
  </si>
  <si>
    <t>0220200161</t>
  </si>
  <si>
    <t>DHUMNE</t>
  </si>
  <si>
    <t>https://www.linkedin.com/in/shruti-dhumne-85b24616b/</t>
  </si>
  <si>
    <t>SHILPA</t>
  </si>
  <si>
    <t>B.no.33, Kadambari Nagari, Phase-3, Pipeline Road, Savedi, Ahmednagar-414003</t>
  </si>
  <si>
    <t>W-906, Tanish Orchid, Charoli Phata, Charoli, Pune-412105</t>
  </si>
  <si>
    <t>EvolvingX (Technology Platform Development &amp; Research)</t>
  </si>
  <si>
    <t>eSamyak Software PVT LTD (  Industrial Trainee )</t>
  </si>
  <si>
    <t>BE. - Emotion Dependent Text-to-Speech Synthesis
Diploma -  Autonomous RC Car</t>
  </si>
  <si>
    <t xml:space="preserve">Datathon 2022 (Winner)
Smart India Hackathon (SIH) 2022 (Finalist)
Paper presentation Winner on "Automation" at "Government Polytechnic Ahmednagar"
</t>
  </si>
  <si>
    <t>Completed 3 levels of Harmonium Exam</t>
  </si>
  <si>
    <t>Cognizant Digital Nurture 2.0</t>
  </si>
  <si>
    <t>Nakshatra CS Chess Team Winner
Nakshatra CS Basketball Team Player</t>
  </si>
  <si>
    <t>https://preskilet.com/watch?v=62a38b5ba6956a0004600749</t>
  </si>
  <si>
    <t>https://drive.google.com/open?id=1rPoc2s_Qaa01f6v0JXEiorJn70gT98eL</t>
  </si>
  <si>
    <t>https://drive.google.com/open?id=1FiHuYblsAt8oom6NoGnUm_N5vgUXQQrj</t>
  </si>
  <si>
    <t>https://drive.google.com/open?id=1um4dO9unN4GATROOyHGJd4v2smFkPmYB</t>
  </si>
  <si>
    <t>https://drive.google.com/open?id=1a7tMFo4A3c0aD4JXs8AIAp6rWpUpsFrS</t>
  </si>
  <si>
    <t>https://drive.google.com/open?id=1uU3QAE_HEw_V8SLara9_vERCAmTNgPM-</t>
  </si>
  <si>
    <t>https://drive.google.com/open?id=10aB5SkSOBwgjsMH59r6_UWANFoW9EDP5</t>
  </si>
  <si>
    <t>srushti.jadhav1@mitaoe.ac.in</t>
  </si>
  <si>
    <t>0220200245</t>
  </si>
  <si>
    <t>SRUSHTI</t>
  </si>
  <si>
    <t>SACHIN</t>
  </si>
  <si>
    <t>www.linkedin.com/in/srushtiijadhav</t>
  </si>
  <si>
    <t>SACHIN JADHAV</t>
  </si>
  <si>
    <t>SAKSHI JADHAV</t>
  </si>
  <si>
    <t>B/4 Swami Samartha Soc., Behind Tractor Center, Tigraniya Corner, Dwarka Nashik.</t>
  </si>
  <si>
    <t>Survey No. 258/2A, Plot No. 30, Lane No. 19, Khese Park, Lohegaon, Pune.</t>
  </si>
  <si>
    <t>Oracle Cloud Infrastructure Architect Associate 2021</t>
  </si>
  <si>
    <t>Oracle Cloud Infrastructure Foundations Associate 2021
Oracle Cloud Infrastructure Architect Professional 2021</t>
  </si>
  <si>
    <t>Microsoft AI-900: Microsoft Azure AI
Azure Fundamentals
Azure Data Fundamentals</t>
  </si>
  <si>
    <t>Winners IT Solution. Will be working on projects mainly using Python and SQL.</t>
  </si>
  <si>
    <t>Diploma Project - High Level Authentication System
B.E - Explainable Image Caption Generator (Major project)</t>
  </si>
  <si>
    <t>Python, Java, C/C++, HTML, CSS, JavaScript, PHP, Dart</t>
  </si>
  <si>
    <t>Android Development (Java/Kotlin), React.js (JavaScript/Typescript), Angular, Spring &amp; Hibernate (Java), Django (Python), Robot Framework</t>
  </si>
  <si>
    <t>Google Developer Student Club - Social Media Team Member</t>
  </si>
  <si>
    <t>https://preskilet.com/watch?v=62b53d96af4f2700045cd9c3</t>
  </si>
  <si>
    <t>https://drive.google.com/open?id=1CYAAUmM9WEMH4FTUBPkm1awhWhNfF5G7</t>
  </si>
  <si>
    <t>https://drive.google.com/open?id=1_N67j_0v6boUXD8pe2vvQcGmFi_dkMj5</t>
  </si>
  <si>
    <t>https://drive.google.com/open?id=1wdBBN5UNel0SpRf_YLg-NF3_qjb3-ywQ</t>
  </si>
  <si>
    <t>https://drive.google.com/open?id=1XbCQb0nUSnBTkmb8MEhbEoRp0tQdE3IZ</t>
  </si>
  <si>
    <t>https://drive.google.com/open?id=1czN8WOGIurpIVKNQGg-fiDERXwoDqsOA</t>
  </si>
  <si>
    <t>ksajeeth@mitaoe.ac.in</t>
  </si>
  <si>
    <t>0120190150</t>
  </si>
  <si>
    <t>KARAN</t>
  </si>
  <si>
    <t>SAJEETH</t>
  </si>
  <si>
    <t>karan45809@gmail.com</t>
  </si>
  <si>
    <t>https://www.linkedin.com/in/karan-sajeeth-2a329020b/</t>
  </si>
  <si>
    <t>SINDHU</t>
  </si>
  <si>
    <t>Shraddha Heritage, Building no A-5, Flat no 10, Morwadi, Pimpri, Pune - 411018</t>
  </si>
  <si>
    <t>Palo Alto Networks - Cybersecurity Foundations</t>
  </si>
  <si>
    <t>Python for Everybody by Coursera</t>
  </si>
  <si>
    <t>Responsive Web Design at FreeCodeCamp</t>
  </si>
  <si>
    <t xml:space="preserve">Bug Bounty Automation project intern at VIEH Group </t>
  </si>
  <si>
    <t>AutoCAD, Fusion 360, Figma, Adobe XD</t>
  </si>
  <si>
    <t xml:space="preserve">Participated in the Code Chef Pair Programming Competition </t>
  </si>
  <si>
    <t>Volunteered in the Project Expo 2022 team held by CSI Chapter Pune</t>
  </si>
  <si>
    <t>https://preskilet.com/watch?v=62a1c9d8fed70c00042b65eb</t>
  </si>
  <si>
    <t>https://drive.google.com/open?id=1BGx-rYVqndw8kEAPeT-7xdqCOCF64vic</t>
  </si>
  <si>
    <t>https://drive.google.com/open?id=1zYAM1z42jyoC7pO4ng6GEHZSUkSlA5o-</t>
  </si>
  <si>
    <t>https://drive.google.com/open?id=1aJqrPbycb3q7Eycu3rGKt1zxcuBu9XWX</t>
  </si>
  <si>
    <t>https://drive.google.com/open?id=1Q5uutvisTr37BQOqzza2iJRM0eg32c00</t>
  </si>
  <si>
    <t>https://drive.google.com/open?id=12ZX52ksk_nrE2pdRNcUEypyeci-h5A0T</t>
  </si>
  <si>
    <t>https://drive.google.com/open?id=1OK7675U7nZv6MA0Eigj_oIPW-1qkrQpP</t>
  </si>
  <si>
    <t>kvgunturi@mitaoe.ac.in</t>
  </si>
  <si>
    <t>0120190151</t>
  </si>
  <si>
    <t>KARTHIK</t>
  </si>
  <si>
    <t>VENKATARAMANA</t>
  </si>
  <si>
    <t>GUNTURI</t>
  </si>
  <si>
    <t>karthikgunturi1@gmail.com</t>
  </si>
  <si>
    <t>kvgunturi@mitoe.ac.in</t>
  </si>
  <si>
    <t>https://www.linkedin.com/in/karthik-gunturi-92993522a/</t>
  </si>
  <si>
    <t>SRINIVAS GUNTURI</t>
  </si>
  <si>
    <t>REKHA EMANI</t>
  </si>
  <si>
    <t>S 43 Sapphire, Praneeth Pranav County, Krishna Reddy Pet, HYDERABAD, TELANGANA 502319, India</t>
  </si>
  <si>
    <t>D708 Skyways Esfera, Opp Pride Ashiyana, Porwal Rd, nr. Girija Hotel, Lohegaon, Pune, Maharashtra 411047</t>
  </si>
  <si>
    <t>Coursera Python</t>
  </si>
  <si>
    <t>Coursera Courses: 1) Front-End Web Development with React, 2) Server-side Development with NodeJS, Express and MongoDB, 3) Machine Learning For Python</t>
  </si>
  <si>
    <t>Machine Learning Internship at RPA2AI Company</t>
  </si>
  <si>
    <t>Computer Science Engineering</t>
  </si>
  <si>
    <t>AutoCAD, Fusion 360, Tablu</t>
  </si>
  <si>
    <t>Japanese, Telugu</t>
  </si>
  <si>
    <t>Datathon</t>
  </si>
  <si>
    <t>All India Rank 46th In National Creativity and Aptitude Test 2021</t>
  </si>
  <si>
    <t>https://preskilet.com/watch?v=62a1e9e7fed70c00042b66e7</t>
  </si>
  <si>
    <t>https://drive.google.com/open?id=1x4ROSMAWKOZMSYE4K2uBq5udYVqyICiI</t>
  </si>
  <si>
    <t>https://drive.google.com/open?id=1zJAVQThgS_sqVlTOgHkFdS_5q_-h5kyV</t>
  </si>
  <si>
    <t>https://drive.google.com/open?id=1Y93rGGAxbVSoCy5DGWzgHKOpMepkvdry</t>
  </si>
  <si>
    <t>https://drive.google.com/open?id=15TgCThWnkVM36WtsQBxrMNX71y_BGJa7</t>
  </si>
  <si>
    <t>https://drive.google.com/open?id=1aU1cJscy_6_3Aui_dvhzQe4X2dzBhbc2</t>
  </si>
  <si>
    <t>https://drive.google.com/open?id=1zCyYgT_-LhbuYXMFUVh20fIb3tPD1cSG</t>
  </si>
  <si>
    <t>omkar.shinde@mitaoe.ac.in</t>
  </si>
  <si>
    <t>0220200233</t>
  </si>
  <si>
    <t>https://www.linkedin.com/in/omkarrshinde/</t>
  </si>
  <si>
    <t>MILIND SADASHIV SHINDE</t>
  </si>
  <si>
    <t>SUNITA MILIND SHINDE</t>
  </si>
  <si>
    <t>FLAT NO 9 SAI SHRADHA APT ROAD NO 7C VIDYANAGAR PUNE 411032</t>
  </si>
  <si>
    <t xml:space="preserve">AZ-900: Microsoft Azure Fundamentals </t>
  </si>
  <si>
    <t>AWS Developer - Associate</t>
  </si>
  <si>
    <t>Software Developer Intern At Winners IT Solutions
- Working on projects based on Python and SQL</t>
  </si>
  <si>
    <t>Explainable Image Caption Generator.</t>
  </si>
  <si>
    <t>Android Development (Java/Kotlin), Spring &amp; Hibernate (Java), Django (Python)</t>
  </si>
  <si>
    <t>ZENSAR ESD PROGRAM</t>
  </si>
  <si>
    <t>Passed NCC 'A' Certificate
Participated in International Yoga Day on 21st June 2015
Participated in C.A.T Camp Pune held at NCC HQ Pune</t>
  </si>
  <si>
    <t>https://preskilet.com/watch?v=62a374bca6956a0004600277</t>
  </si>
  <si>
    <t>https://drive.google.com/open?id=1ncCVpvfdNmRab5vuhONx_MYBhXW0cOwx</t>
  </si>
  <si>
    <t>https://drive.google.com/open?id=1rFVsRqt2UoQelRZc3PzrS21bOQcuwSHt</t>
  </si>
  <si>
    <t>https://drive.google.com/open?id=15VoLA9cXhCYwLfliDsrZUgpTXYeDRhC9</t>
  </si>
  <si>
    <t>https://drive.google.com/open?id=1JgnQIGRnjJSK8EyD1XtQQocuPSqL4M0d</t>
  </si>
  <si>
    <t>https://drive.google.com/open?id=1LqtLh1pOx419l1DbX0nsxDe8UHtmfJAE</t>
  </si>
  <si>
    <t>komal.bonde@mitaoe.ac.in</t>
  </si>
  <si>
    <t>0220200113</t>
  </si>
  <si>
    <t xml:space="preserve">KOMAL </t>
  </si>
  <si>
    <t>SADASHIV</t>
  </si>
  <si>
    <t>BONDE</t>
  </si>
  <si>
    <t xml:space="preserve">komal.bonde@mitaoe.ac.in </t>
  </si>
  <si>
    <t>www.linkedin.com/in/komal-bonde27</t>
  </si>
  <si>
    <t>SADASHIV GOPAL BONDE</t>
  </si>
  <si>
    <t>SUREKHA SADASHIV BONDE</t>
  </si>
  <si>
    <t>Ordnance Factory Varangaon Qtr No.189/A Type 2(M) Tal-Bhuswal  Dist-Jalgaon</t>
  </si>
  <si>
    <t>Zensar technical Skills employability Training &amp; Technical certification
Google Data Analytics Specialization Certification
DevOps Certification
Vieh Internship -Ml Projects</t>
  </si>
  <si>
    <t>Micro Spectra Internship related to web development</t>
  </si>
  <si>
    <t>Responsive Web Design -FreeCodeCamp  more than 300+hrs 
In this: As part of this certification, I built the following projects and got all automated test suites to pass:
Build a Survey Form:
Build a Tribute Page:
Build a Technical Documentation Page:
Build a Product Landing Page:
Build a Personal Portfolio Webpage:</t>
  </si>
  <si>
    <t>Web Developing Intern In Swapra Technologies from 1June 2022 to 31 July 2022
Project:
Portfolio website for the organization</t>
  </si>
  <si>
    <t>BTech Major Project-Lung Cancer Detection
BTech Minor Project-To do list with Reminder</t>
  </si>
  <si>
    <t>Python, Java, C/C++, HTML, CSS, JavaScript, PHP, PLSQL</t>
  </si>
  <si>
    <t>Android Development (Java/Kotlin), Angular, Spring &amp; Hibernate (Java), Django (Python), JavaScript</t>
  </si>
  <si>
    <t>Zensar Technologies -Employability skills development 2022
Datathon 2022</t>
  </si>
  <si>
    <t>Zensar Training for Technical Certification(Modules: Python, JAVA, SQL, Professional Skills )
Data Visualization Training
Tableau Training
Matlab Training</t>
  </si>
  <si>
    <t>Ignite national level technical event certification-best of waste</t>
  </si>
  <si>
    <t>https://preskilet.com/watch?v=62a2bca7a6956a00045ff1ba</t>
  </si>
  <si>
    <t>https://drive.google.com/open?id=1IPvtnUkub81F1WlOdeB_PUby5A7wc4kx</t>
  </si>
  <si>
    <t>https://drive.google.com/open?id=1IjdOq2KL-tA4skD9QvmLOFFwReX5Zoax</t>
  </si>
  <si>
    <t>https://drive.google.com/open?id=181STrEVea-5Ktp55ZmAKmwSSIU7uY8mv</t>
  </si>
  <si>
    <t>https://drive.google.com/open?id=1aat2nUMe3Bbk9Dc0BBxUP23mYTYx-D0k</t>
  </si>
  <si>
    <t>https://drive.google.com/open?id=1CT-moDD1so5dMIaKBiLR-3XEuBB9f29a</t>
  </si>
  <si>
    <t>https://drive.google.com/open?id=1xisdbtmzCp0yzXVCCyOqNyJM_znMnmVS</t>
  </si>
  <si>
    <t>nikhil.kinikar@mitaoe.ac.in</t>
  </si>
  <si>
    <t>0220200155</t>
  </si>
  <si>
    <t>NIKHIL</t>
  </si>
  <si>
    <t>MADHAVRAO</t>
  </si>
  <si>
    <t>KINIKAR</t>
  </si>
  <si>
    <t>https://in.linkedin.com/in/nikhil-kinikar-988830177</t>
  </si>
  <si>
    <t>MADHAV</t>
  </si>
  <si>
    <t>Akshay', Bhate nagar, opposite of MJ Hospital, MIDC corner, Barshi Road, Latur - 413512</t>
  </si>
  <si>
    <t>Dnyansuman', Dehu phata, Alandi, Pune</t>
  </si>
  <si>
    <t>Microsoft AI-900: Microsoft Azure AI
Oracle Foundation Associate</t>
  </si>
  <si>
    <t>Data science intern at Celebal Technologies</t>
  </si>
  <si>
    <t>Smart Interactive Farmerbot</t>
  </si>
  <si>
    <t>React.js (JavaScript/Typescript), Angular, Spring &amp; Hibernate (Java), Django (Python)</t>
  </si>
  <si>
    <t>Datathon 2022 finalist</t>
  </si>
  <si>
    <t>https://preskilet.com/watch?v=62a376eea6956a00046002d4</t>
  </si>
  <si>
    <t>https://drive.google.com/open?id=18COG8nE_aclp4-HgYFCIUq7QIsX7Ft8X</t>
  </si>
  <si>
    <t>https://drive.google.com/open?id=1oUrOJox8eoXZIaxHbayQZ0S5XdjbIdZk</t>
  </si>
  <si>
    <t>https://drive.google.com/open?id=13HoWzX-sWNzQ0LY8_4EBnxDKpsQ_jydn</t>
  </si>
  <si>
    <t>https://drive.google.com/open?id=1U-vvZrymlFjjCLmJghbD68knOfl0SU7x</t>
  </si>
  <si>
    <t>https://drive.google.com/open?id=1OUUkEm_x-TxDn2_QVwaVoYd3NC1Q-6GO</t>
  </si>
  <si>
    <t>nandini.ghale@mitaoe.ac.in</t>
  </si>
  <si>
    <t>0220200125</t>
  </si>
  <si>
    <t>GHALE</t>
  </si>
  <si>
    <t>https://www.linkedin.com/in/nandini-ghale-5b950120b</t>
  </si>
  <si>
    <t>MANOJ KASHINATH GHALE</t>
  </si>
  <si>
    <t>VARSHA MANOJ GHALE</t>
  </si>
  <si>
    <t>Near mahadev temple Deoni
Tq. Deoni
Dist. Latur</t>
  </si>
  <si>
    <t>Near MITAOE Alandi Pune</t>
  </si>
  <si>
    <t>Oracle Cloud Infrastructure Foundation Associate</t>
  </si>
  <si>
    <t>Full Stack Java Developer Intern at Codekul</t>
  </si>
  <si>
    <t>ML Intern at VIEH Group Pvt Ltd Mumbai.</t>
  </si>
  <si>
    <t>Devnagari character Recognition system Using CNN</t>
  </si>
  <si>
    <t>Datathon 2022 , PRAGYA 2020</t>
  </si>
  <si>
    <t>UDAAN Scholarship from SKF PVT LTD Pune</t>
  </si>
  <si>
    <t>https://preskilet.com/watch?v=62a2ee75a6956a00045ff4ab</t>
  </si>
  <si>
    <t>https://drive.google.com/open?id=1OeoWZ1ZsvyBqydiRZ85jAzhOvQsGQwjC</t>
  </si>
  <si>
    <t>https://drive.google.com/open?id=1htpkmVEtIAgWPHBfYuBH-bGdzEDYbQ8C</t>
  </si>
  <si>
    <t>https://drive.google.com/open?id=1XFkuL9oWOc5Vpj2fIn_9oM0Qtj4xGeVW</t>
  </si>
  <si>
    <t>https://drive.google.com/open?id=1yySsvnGdO1-CIFHzhx-Gz_uDVxK6YqtW</t>
  </si>
  <si>
    <t>https://drive.google.com/open?id=1UE-6N_0oZqQGEAOlsVH0Ctoainvl2_de</t>
  </si>
  <si>
    <t>https://drive.google.com/open?id=1-81OG4iYbsMTHl3oPLn5NmCPmI_owJdC</t>
  </si>
  <si>
    <t>https://drive.google.com/open?id=1WYzwkLFqXV1qaREn2cbfX9F6tKsEmnUj</t>
  </si>
  <si>
    <t>https://drive.google.com/open?id=1-8OZMjXVCx5xSFl-pD_9NWOWbmWCTBJ5</t>
  </si>
  <si>
    <t>I have uploaded TY Amcat result. Because Earlier I don't have TY Amcat result so I uploaded SY2  report instead of TY report and some certificates I have forgot to upload that i have uploaded now.</t>
  </si>
  <si>
    <t>aditya.karpe@mitaoe.ac.in</t>
  </si>
  <si>
    <t>0220200243</t>
  </si>
  <si>
    <t xml:space="preserve">ADITYA </t>
  </si>
  <si>
    <t>KARPE</t>
  </si>
  <si>
    <t>https://www.linkedin.com/in/aditya-karpe-6083761ab</t>
  </si>
  <si>
    <t>CHANDRAKANT RAGHUNATH KARPE</t>
  </si>
  <si>
    <t>VANDANA CHANDRAKANT KARPE</t>
  </si>
  <si>
    <t>Meher Apt-2, 3rd Floor, Flat No. 15, Near Seble Hotel Trimbak Road Nashik-422007</t>
  </si>
  <si>
    <t xml:space="preserve">Dyansuman apt,1st Floor Room No.7 Near Joshi Wade wale dehu phata Alandi pune - 412105 </t>
  </si>
  <si>
    <t>CS342T - Theory of Computation(TOC)</t>
  </si>
  <si>
    <t>Not completed yet, but it is course is on the line. After completed i will submit the certificate.</t>
  </si>
  <si>
    <t xml:space="preserve">VoidSpy </t>
  </si>
  <si>
    <t xml:space="preserve">Adaptive horn for smart city to reduce noise pollution </t>
  </si>
  <si>
    <t>Adobe XD, Proteus</t>
  </si>
  <si>
    <t>NIIT Certification 
Military training 
Participation in CSI</t>
  </si>
  <si>
    <t>Android Development in java/kotlin, firebase</t>
  </si>
  <si>
    <t>Malakhamb Sport,Nature's club at fravashi Academy</t>
  </si>
  <si>
    <t>https://preskilet.com/watch?v=62b72f0bbbd9ee000413b818</t>
  </si>
  <si>
    <t>https://drive.google.com/open?id=1D5ozHYvqpkPu2aazVjm0bdqs3GRlJ8Nw</t>
  </si>
  <si>
    <t>https://drive.google.com/open?id=1AlGUVTol6ENm8GW8eKiZk0HyKkHmCgtX</t>
  </si>
  <si>
    <t>https://drive.google.com/open?id=1ywtM0Q4czcqX9Yw7vweIqAnjN8udg179</t>
  </si>
  <si>
    <t xml:space="preserve">i didn't upload the video in preskilet So i have updated that field  </t>
  </si>
  <si>
    <t>aadiraj.narayane@mitaoe.ac.in</t>
  </si>
  <si>
    <t>0220200097</t>
  </si>
  <si>
    <t>AADIRAJ</t>
  </si>
  <si>
    <t>DIGAMBAR</t>
  </si>
  <si>
    <t>NARAYANE</t>
  </si>
  <si>
    <t>https://www.linkedin.com/in/a-n-150065153</t>
  </si>
  <si>
    <t>MADHURI</t>
  </si>
  <si>
    <t>A/p yeola radhavallabhanagr Tal-yeola dist Nashik 423401</t>
  </si>
  <si>
    <t>Dehu phata alandi (d)</t>
  </si>
  <si>
    <t>CS342T
CS341L</t>
  </si>
  <si>
    <t>Palo Alto Network's Cybersecurity</t>
  </si>
  <si>
    <t xml:space="preserve">Oracle Certified Associate
Oracle Certified Foundation
Oracle Certified Professional
Coursera Palo Alto Networks Cybersecurity
Edapt Certification (Hacking)
Edapt Nano Diploma In Cybersecurity
</t>
  </si>
  <si>
    <t>Winlysis Solutions, Worqhat</t>
  </si>
  <si>
    <t>E - Healthcare system using deep neural network and Steganographic approach , Versatile Event Organizers</t>
  </si>
  <si>
    <t>React.js (JavaScript/Typescript), Angular, Embed, VUe</t>
  </si>
  <si>
    <t>French, Sanskrit, Nepali,Korean(begin)</t>
  </si>
  <si>
    <t xml:space="preserve">CSI Project Exhibition Volunteer 2022 Teachers day celebration Teachers thanking video designer , </t>
  </si>
  <si>
    <t>https://preskilet.com/watch?v=62a31888a6956a00045ff8cf</t>
  </si>
  <si>
    <t>https://drive.google.com/open?id=1b8ZjJt3dIOGcxnd3LaMS2_bvJxbaBwiA</t>
  </si>
  <si>
    <t>https://drive.google.com/open?id=1sUPWkjtKR__PeEkDIfKAiHxH_1TQfRYh</t>
  </si>
  <si>
    <t>https://drive.google.com/open?id=1N0SYtglX2ayAFCks5KBzrNwsxaZzfSa4</t>
  </si>
  <si>
    <t>https://drive.google.com/open?id=1eynuUzU0iirMRU3oGJWHi05H_BTivnth</t>
  </si>
  <si>
    <t>https://drive.google.com/open?id=1BeppZP8AdIiKjjZCeQf5EnwjTjeNsjQb</t>
  </si>
  <si>
    <t>https://drive.google.com/open?id=1UPrH8_lvPcBYZsItX8kQGnpqqQO9zhz7</t>
  </si>
  <si>
    <t>https://drive.google.com/open?id=1OU9Lu39XCRiiSZSw3IzqCLwrBd7ayhca</t>
  </si>
  <si>
    <t>I Have updated and corrected all technical Certifications and updated amcat results</t>
  </si>
  <si>
    <t>vedashri.sonar@mitaoe.ac.in</t>
  </si>
  <si>
    <t>0220200235</t>
  </si>
  <si>
    <t>VEDASHRI</t>
  </si>
  <si>
    <t>PRAVIN</t>
  </si>
  <si>
    <t>SONAR</t>
  </si>
  <si>
    <t xml:space="preserve">vedashri.sonar@mitaoe.ac.in </t>
  </si>
  <si>
    <t>https://www.linkedin.com/in/vedashri-sonar-a44689209/</t>
  </si>
  <si>
    <t xml:space="preserve">PRAVIN </t>
  </si>
  <si>
    <t xml:space="preserve">13,yugandhar niwas,narayananpur road partwada dist amaravti,Maharashtra </t>
  </si>
  <si>
    <t xml:space="preserve"> AWS Academy Graduate - AWS Academy Cloud Foundations
</t>
  </si>
  <si>
    <t xml:space="preserve">As a intern at Devchaya Architect Paratwada,Amaravti </t>
  </si>
  <si>
    <t>As a Full Stack Developer in VIEH private limited</t>
  </si>
  <si>
    <t>Blockcertify(Blockchain based certificate verifier)</t>
  </si>
  <si>
    <t>Python, Java, C/C++, HTML, CSS, JavaScript, PHP, TypeScript, Kotlin</t>
  </si>
  <si>
    <t>Android Development (Java/Kotlin), React.js (JavaScript/Typescript), Angular, Flask (Python)</t>
  </si>
  <si>
    <t>Core member of Shutterbugs club (photography) and member of MAC(Art club) in MITAOE</t>
  </si>
  <si>
    <t>https://preskilet.com/watch?v=62bf3aa56fcd0b00049647cb</t>
  </si>
  <si>
    <t>https://drive.google.com/open?id=1G2z7kie3j-iIzslIHYM1RH4uzwNTF6HI</t>
  </si>
  <si>
    <t>https://drive.google.com/open?id=1zlHIxADauViIdCuuexQ8rpBzKrcDsZ7p</t>
  </si>
  <si>
    <t>https://drive.google.com/open?id=1WdmXFhK9mu4KQfN_EdHqdKoq8foRqlGQ</t>
  </si>
  <si>
    <t>https://drive.google.com/open?id=1jcCU4TkXy8UUE6lF8PiYKgCy7ZggsZpc</t>
  </si>
  <si>
    <t>https://drive.google.com/open?id=1_8xwucD7ABRHmwUoZQLKHXAnFaDQBEih</t>
  </si>
  <si>
    <t>https://drive.google.com/open?id=1R0xdibbpWTk1hhqy5FKVszmxwyvOtxdH</t>
  </si>
  <si>
    <t>https://drive.google.com/open?id=1vznIYz71_LDozkEuGd-OjkpYTfplNZq-</t>
  </si>
  <si>
    <t>Technical certificate (because my previous certificates was not valid)</t>
  </si>
  <si>
    <t>neha.jadhav@mitaoe.ac.in</t>
  </si>
  <si>
    <t>0220200227</t>
  </si>
  <si>
    <t xml:space="preserve">NEHA </t>
  </si>
  <si>
    <t xml:space="preserve">SHAM </t>
  </si>
  <si>
    <t xml:space="preserve">neha.jadhav@mitaoe.ac.in </t>
  </si>
  <si>
    <t>https://www.linkedin.com/in/neha-jadhav-a22194216</t>
  </si>
  <si>
    <t xml:space="preserve">SHAM JADHAV </t>
  </si>
  <si>
    <t xml:space="preserve">VAISHALI JADHAV </t>
  </si>
  <si>
    <t xml:space="preserve">Hindnayan' Plot No 13, Trimurti Colony Agashivnagar (malkapur) Karad </t>
  </si>
  <si>
    <t>Alandi Pune</t>
  </si>
  <si>
    <t>73.22 (7.7)</t>
  </si>
  <si>
    <t>88.12 (9.3)</t>
  </si>
  <si>
    <t>E- 415/900, L- 620/900, Q- 610/900</t>
  </si>
  <si>
    <t>E- 525/900, L- 615/900, Q- 630/900</t>
  </si>
  <si>
    <t xml:space="preserve">Not yet </t>
  </si>
  <si>
    <t xml:space="preserve">Web development, PHP, CSS, Devnet solutions web development </t>
  </si>
  <si>
    <t xml:space="preserve">Web development in internship </t>
  </si>
  <si>
    <t xml:space="preserve">Internshala web development, project - Smart parking system using IoT with Android application </t>
  </si>
  <si>
    <t>MeeruSoft company as a web developer (ongoing)</t>
  </si>
  <si>
    <t xml:space="preserve">Smart Parking System using IoT with Android application, Women's safety application, Online Cake Ordering System </t>
  </si>
  <si>
    <t xml:space="preserve">AutoCAD, Fusion 360, Adobe XD, MATLAB, Cisco packet tracer, oracle VM virtual box, turboc, python, dev c++, command prompt, mongoDB, Android studio, visual studio code, Eclipse, nodejs, </t>
  </si>
  <si>
    <t xml:space="preserve">Poster Presentation </t>
  </si>
  <si>
    <t xml:space="preserve">Devnet solutions Pune </t>
  </si>
  <si>
    <t xml:space="preserve">Shot put, long jump, running </t>
  </si>
  <si>
    <t>https://preskilet.com/watch?v=62a36333a6956a00045fffb6</t>
  </si>
  <si>
    <t>https://drive.google.com/open?id=1mIxGbnGcHIXvQ42n3v8ApBfuuwJok2oU</t>
  </si>
  <si>
    <t>https://drive.google.com/open?id=1f3Q56tzyix4nVU8dB0xkLm1wL7JskJfO</t>
  </si>
  <si>
    <t>https://drive.google.com/open?id=1OnTYEYzvzyidoeW3tL8BOzbplQJ_36wl</t>
  </si>
  <si>
    <t>https://drive.google.com/open?id=1wEb68EB_otoodRrKXuzCAhvdnk8UHDeB</t>
  </si>
  <si>
    <t xml:space="preserve">Branch </t>
  </si>
  <si>
    <t>vaishnavi.patil@mitaoe.ac.in</t>
  </si>
  <si>
    <t>0220200240</t>
  </si>
  <si>
    <t>vaishnavipatil4340@gmail.com</t>
  </si>
  <si>
    <t>https://www.linkedin.com/in/vaishnavi-patil-aba7b61a4</t>
  </si>
  <si>
    <t>SANJAY PATIL</t>
  </si>
  <si>
    <t>CHETANA PATIL</t>
  </si>
  <si>
    <t>62A pitreswar colony ,near sharda nagar ,shirpur,dhule</t>
  </si>
  <si>
    <t>Theory of computation</t>
  </si>
  <si>
    <t>applied mathematics</t>
  </si>
  <si>
    <t>ethical hakking</t>
  </si>
  <si>
    <t>buisness web solution 
intership based on webtechnology</t>
  </si>
  <si>
    <t>smart parking system using iot</t>
  </si>
  <si>
    <t>https://preskilet.com/watch?v=62bc65455493430004e5efb1</t>
  </si>
  <si>
    <t>https://drive.google.com/open?id=11nPOIYlLyoHpvUbvkzmKaJE8ffg8PMso</t>
  </si>
  <si>
    <t>https://drive.google.com/open?id=1odO5cP78CoMd00uI5KcBnTbvPQoAF-Lg</t>
  </si>
  <si>
    <t>https://drive.google.com/open?id=1zzUPKIPmDGWQkItoqHHD38MFtqw8p-x_</t>
  </si>
  <si>
    <t>https://drive.google.com/open?id=1wt5mBvogu5fm6M4ZZE3YhKrhYSGJ-IiL</t>
  </si>
  <si>
    <t>https://drive.google.com/open?id=1ZD2snNUbjoBNop6dOMiqvXWx_Jj_g_4U</t>
  </si>
  <si>
    <t>https://drive.google.com/open?id=1AjXsObDaivS_YKOVtNBdLSj9QDZnIAMa</t>
  </si>
  <si>
    <t>https://drive.google.com/open?id=1i8twQ7S91PFvkp5JNSHYA5kimMXLXne1</t>
  </si>
  <si>
    <t>i have updated amcat  result</t>
  </si>
  <si>
    <t>mayuri.more@mitaoe.ac.in</t>
  </si>
  <si>
    <t>0220200147</t>
  </si>
  <si>
    <t xml:space="preserve">MAYURI </t>
  </si>
  <si>
    <t>MORE</t>
  </si>
  <si>
    <t>https://www.linkedin.com/in/mayuri-more-9b43821a4</t>
  </si>
  <si>
    <t>JAYA</t>
  </si>
  <si>
    <t>Ho No-2002 behind khandave ganpati, somwarpeth Nashik 422001</t>
  </si>
  <si>
    <t>CS351-Descriptive Analytics</t>
  </si>
  <si>
    <t>Palo Alto Networks Certified Cybersecurity Entry-level Technician (PCCET) ongoing will complete till end of june</t>
  </si>
  <si>
    <t>Glenmark  Pharma (IT sector)</t>
  </si>
  <si>
    <t>B.Tech:-Image Steganography Algorithm for Medical and
E-Healthcare Systems with Deep Neural Network
Diploma:-“Automated theory exam control room activities
processing system”</t>
  </si>
  <si>
    <t>MATLAB, SAP HANA</t>
  </si>
  <si>
    <t>French, Sanskrit</t>
  </si>
  <si>
    <t xml:space="preserve">SAP_01 , Java SE 8 fundamental </t>
  </si>
  <si>
    <t xml:space="preserve">State level technical quiz </t>
  </si>
  <si>
    <t>https://drive.google.com/file/d/1cFp9JnN_esqnYBVRP3hknGoqbcYw8Ksz/view?usp=sharing</t>
  </si>
  <si>
    <t>https://drive.google.com/open?id=1egJzDho78rtgQlTZ6Z9EwWH_BXXWR3XK</t>
  </si>
  <si>
    <t>https://drive.google.com/open?id=1JtGlfwk_D7VumYgtLb5JBhzIBVEbESaw</t>
  </si>
  <si>
    <t>https://drive.google.com/open?id=1JiosNcYpAHh9Y0LXlwDRAWi09gDhhN9f</t>
  </si>
  <si>
    <t>https://drive.google.com/open?id=1723rln_MXp1l2r1iLN9xYr2nCGFWBE7u</t>
  </si>
  <si>
    <t>psrivastava@mitaoe.ac.in</t>
  </si>
  <si>
    <t>0120190169</t>
  </si>
  <si>
    <t>PARTH</t>
  </si>
  <si>
    <t>SRIVASTAVA</t>
  </si>
  <si>
    <t>davparth@gmail.com</t>
  </si>
  <si>
    <t>https://www.linkedin.com/in/parth-srivastava-5b00801b2/</t>
  </si>
  <si>
    <t>PRADEEP</t>
  </si>
  <si>
    <t>PREETI</t>
  </si>
  <si>
    <t>Y 403 ROSELAND RESIDENCY GATE NO.4 PIMPLE SAUDAGAR PUNE</t>
  </si>
  <si>
    <t>IT351L
CS346L</t>
  </si>
  <si>
    <t>CS231L 
HP202L
HP203L
ET224L</t>
  </si>
  <si>
    <t>In School Internship</t>
  </si>
  <si>
    <t>Biometric authentication and blockchain</t>
  </si>
  <si>
    <t>https://drive.google.com/file/d/17qEmO5EU_0SntuDdnz80f8YIAyYc_Jee/view?usp=sharing</t>
  </si>
  <si>
    <t>https://drive.google.com/open?id=1jf8UyEWMAG_CALEWlYsAhK1H_tx1Psf5</t>
  </si>
  <si>
    <t>https://drive.google.com/open?id=1UMld0cyRmILg00weJic6vOSqDCfg1E3t</t>
  </si>
  <si>
    <t>https://drive.google.com/open?id=1g_J5UtThHxeTGBjyQI0NHNGKEduIOVha</t>
  </si>
  <si>
    <t>I had forgot to attach my technical certificate</t>
  </si>
  <si>
    <t>rdhasabe@mitaoe.ac.in</t>
  </si>
  <si>
    <t>0120190382</t>
  </si>
  <si>
    <t>RHUSHIKESH</t>
  </si>
  <si>
    <t>HASABE</t>
  </si>
  <si>
    <t>rhushikesh.hasabe@gmail.com</t>
  </si>
  <si>
    <t>www.linkedin.com/in/rhushikeshhasabe</t>
  </si>
  <si>
    <t>DNYANESHWAR KRISHNA HASABE</t>
  </si>
  <si>
    <t>AMBIKA DNYANESHWAR HASABE</t>
  </si>
  <si>
    <t>Plot No. 9/10, Gomteshnagar, Kupwad, Sangli - 416 416, Maharashtra</t>
  </si>
  <si>
    <t>AWS Academy Cloud Foundations</t>
  </si>
  <si>
    <t>C++: From Beginner to Expert (Udemy)</t>
  </si>
  <si>
    <t>Programming with C and C++ (Internshala Training)</t>
  </si>
  <si>
    <t>Java Developer at Montran Corporation (India) Private Limited</t>
  </si>
  <si>
    <t>Traffic Signboard Detection (Detect traffic sign boards and gives alert to user (driver))</t>
  </si>
  <si>
    <t>“Legendary National Level Chess Tournament” held Online by MIT World Peace University, Pune on 10th July 2021</t>
  </si>
  <si>
    <t>https://preskilet.com/watch?v=62bde7ec9535010004fd2c33</t>
  </si>
  <si>
    <t>https://drive.google.com/open?id=1wGUlENBlSeNX8_KIR0MwEJjtdcPjN399</t>
  </si>
  <si>
    <t>https://drive.google.com/open?id=1tfFBCdaTRSTEOs7mJAVso4cXD_yiMdDG</t>
  </si>
  <si>
    <t>https://drive.google.com/open?id=1em2MfdXysztNQR6_LCUbHj1Yq6_s0hTI</t>
  </si>
  <si>
    <t>https://drive.google.com/open?id=1Yi8R-p0BxqEu9T9NwcLeIpBIsy3TkBhR</t>
  </si>
  <si>
    <t>https://drive.google.com/open?id=11KP5VURF1rNqbGr8m1nRtRckonrqL40K</t>
  </si>
  <si>
    <t>https://drive.google.com/open?id=1-Wmt5ktmOqxVXduFEAV7A63irfqJpeZb</t>
  </si>
  <si>
    <t>Video Resume (previously, I submitted google drive link. Now I submitted preskilet link)</t>
  </si>
  <si>
    <t>utkarsha.gawade@mitaoe.ac.in</t>
  </si>
  <si>
    <t>0220200231</t>
  </si>
  <si>
    <t>UTKARSHA</t>
  </si>
  <si>
    <t>MOHAN</t>
  </si>
  <si>
    <t>GAWADE</t>
  </si>
  <si>
    <t>https://www.linkedin.com/in/utkarsha-gawade-867653177/</t>
  </si>
  <si>
    <t>SB Residency row house and bunglows, Bunglow No-16, Morya, Sector no-3, Tirupati chowk, Indrayaninagar, Bhosari Pune-39</t>
  </si>
  <si>
    <t>PALO ALTO CERTIFIED CYBER SECURITY FUNDAMENTALS</t>
  </si>
  <si>
    <t>INTILLIGENTTAG TECHNOLOGIES PVT. LTD</t>
  </si>
  <si>
    <t>BLOOD BANK MANAGEMENT SYSTEM USING ANDROID APPLICATION</t>
  </si>
  <si>
    <t>https://preskilet.com/utkarsha.gawade@mitaoe.ac.in</t>
  </si>
  <si>
    <t>https://drive.google.com/open?id=1bSsiXTPJrUgBWZBZmnW0NIB2YOKlTZ0W</t>
  </si>
  <si>
    <t>https://drive.google.com/open?id=1JhsGexIdAR-oWWwGgQ2XSZvOM4nZuonB</t>
  </si>
  <si>
    <t>https://drive.google.com/open?id=1uuHaTGq6EcH2G_P9H0wuh0sdIb3DrMkx</t>
  </si>
  <si>
    <t>https://drive.google.com/open?id=1IZD29ARlxY4XJ4NUSam8f75bBV6rXdaS</t>
  </si>
  <si>
    <t>https://drive.google.com/open?id=1prA1yGUwH2m8ex2cbLP7p5h4Fv8T-oZQ</t>
  </si>
  <si>
    <t>no i dont want to updte</t>
  </si>
  <si>
    <t>prajwal.chobitkar@mitaoe.ac.in</t>
  </si>
  <si>
    <t>0220200206</t>
  </si>
  <si>
    <t>PRAJWAL</t>
  </si>
  <si>
    <t xml:space="preserve">YADAV </t>
  </si>
  <si>
    <t>CHOBITKAR</t>
  </si>
  <si>
    <t>https://www.linkedin.com/in/prajwal-chobitkar/</t>
  </si>
  <si>
    <t>YADAVRAO CHOBITKAR</t>
  </si>
  <si>
    <t>VANDANA CHOBITKAR</t>
  </si>
  <si>
    <t>101,Laxmi shaniwas aptt. , Tukdoji nagar, Manewada Road, Nagpur-440027</t>
  </si>
  <si>
    <t xml:space="preserve"> Microsoft AZ-900: Microsoft Azure Fundamentals</t>
  </si>
  <si>
    <t>AWS Academy Graduate - AWS Academy Cloud Foundations
AMAZON WEB SERVICES- CLOUD PRACTIONER
OCI -Foundations 2021 Associate
TCS ION-Carrer Edge-Knockdown the LockdownCarrer</t>
  </si>
  <si>
    <t>Intern At: Appsoft Infosystem
Based At: Nagpur
Role: Full Stack Web Developer
Duration:2 months
In this internship , have to work on CRM(Customer relation management ) software or web applications which keeps tracks of customer sales, can add new customers or manage customer , shop owner (or client ) can manage staff and also push messages for the shop discounts to the customers emails or phones this updates the customer of the shop with discounts, can track the sales of the shop and manage the other functionalities in the shop. There is also  a super user which is above the client this user is the kind of user who sells the software to the shop owners called clients . This user can add client and manage the client also shows the performance of the software handles queries .
What my input was their in this web application is i have integrated the dashboard, Created
UI for most of the modules , integrated database , performed CRUD operations, authentication of the users , And graphs on dashboard. 
Technology used: Codeignitor , Php
MySql
Html ,CSS ,Bootstrap</t>
  </si>
  <si>
    <t xml:space="preserve">1) KID-o-pedia : AR application for primary kids to learn rhymes .(Btech)
2) Student Attendance -Android Application </t>
  </si>
  <si>
    <t>Java, C/C++, HTML, CSS, JavaScript, PHP</t>
  </si>
  <si>
    <t>React.js (JavaScript/Typescript), Spring &amp; Hibernate (Java), CodeIgnitor</t>
  </si>
  <si>
    <t>AutoCAD, Figma, MATLAB, MS office, VirtualBox</t>
  </si>
  <si>
    <t>CodeChef capter MITAOE (Management Team)
Prakruti-Nature and Adventure Club MITAOE(Social Media Co-ordinator)
Project Expo 2022 (MIT) By: Computer society of India Rank: Participation</t>
  </si>
  <si>
    <t xml:space="preserve">
UBA Hackathon 2022
By: Unnat Bharat Abhiyan
Rank: Winners</t>
  </si>
  <si>
    <t xml:space="preserve">Tuition Fees and Examination Fees to OBC Students </t>
  </si>
  <si>
    <t>Counter Strike :runner up Encryptiaa 2018
Pubg: Runner up Encryptiaa 2019
Scout and Guiding : unit Milkha singh
Technosthaan :(Comp elites)
What and idea sirji (Organizing):( TechTonix 2020 government polytechnic nagpur)</t>
  </si>
  <si>
    <t>https://preskilet.com/watch?v=62b34041cd590700045fb65e</t>
  </si>
  <si>
    <t>https://drive.google.com/open?id=1jQBtxmJUtNgxSZM1OJE42tGUt3-wiHOF</t>
  </si>
  <si>
    <t>https://drive.google.com/open?id=1qr52TGrhWSxyfmSMocYVvoGKoRBiOWGr</t>
  </si>
  <si>
    <t>https://drive.google.com/open?id=1uZ6ml3PyMY-XsKYQSWocHndh3vKW0YwG</t>
  </si>
  <si>
    <t>https://drive.google.com/open?id=1Bc-PJSy2HhD4Ol0Rl4ObSCbUC0Bjpmi7</t>
  </si>
  <si>
    <t>https://drive.google.com/open?id=1f51zmkUFbV-8c_iIDKKXhKgcRbqK0o_o</t>
  </si>
  <si>
    <t xml:space="preserve">the industry certifications was remaining only that i have updated </t>
  </si>
  <si>
    <t>0120190328</t>
  </si>
  <si>
    <t>ANIKET KUMAR</t>
  </si>
  <si>
    <t>aniketmajri18@gmail.com</t>
  </si>
  <si>
    <t>www.linkedin.com/in/yadavaniket-3e</t>
  </si>
  <si>
    <t>ASHOK YADAV</t>
  </si>
  <si>
    <t>RITA YADAV</t>
  </si>
  <si>
    <t>MAJRI, P.O.- SHIVAJI NAGAR, D- CHANDRAPUR, MAHARASHTRA, 442503</t>
  </si>
  <si>
    <t>AASRA DYANTIRTH, ALANDI, PUNE, MAHA., 412105</t>
  </si>
  <si>
    <t>68% (&gt;95 %ille)</t>
  </si>
  <si>
    <t>73.3% (&gt;96 %ille)</t>
  </si>
  <si>
    <t>AI-900: Microsoft Azure AI Fundamentals</t>
  </si>
  <si>
    <t>1.Cyber Security Certifications by Palo Alto
2.Python Certification by Infosys Springboard</t>
  </si>
  <si>
    <t>Python with Everybody, Courera</t>
  </si>
  <si>
    <t xml:space="preserve">Fullstack JAVA developer at CODEKUL PVT. LTD </t>
  </si>
  <si>
    <t>ML Project at VIEH Private LTd.</t>
  </si>
  <si>
    <t>Stock Prediction using HMM in Machine Learning</t>
  </si>
  <si>
    <t xml:space="preserve">Collaborative Coding Platform </t>
  </si>
  <si>
    <t>Android Development (Java/Kotlin), React.js (JavaScript/Typescript)</t>
  </si>
  <si>
    <t>1. Stock Prediction in ML
2. Computer Networking project on establishing connection between Server- Telephone</t>
  </si>
  <si>
    <t>3 Times Regional player in Volleyball at school. Also represented college's Computer department volleyball team. (SILVER MEDAL)</t>
  </si>
  <si>
    <t>Python Certification by Infosys Springboard</t>
  </si>
  <si>
    <t>Model presentation at Social Science exibition in SSC</t>
  </si>
  <si>
    <t>https://preskilet.com/watch?v=62b5eb5aaf4f2700045ce094</t>
  </si>
  <si>
    <t>https://drive.google.com/open?id=1aPLxGK619OoJ-Idd4iRihLKZYRkeUStO</t>
  </si>
  <si>
    <t>https://drive.google.com/open?id=1BSepHKJRmxYKYNHeTtWgmKxNRnjaIpTv</t>
  </si>
  <si>
    <t>https://drive.google.com/open?id=1HS1TTnojEE72jr2cwNFOY46wIroU3Gmk</t>
  </si>
  <si>
    <t>https://drive.google.com/open?id=15JfM1yL6jEz3KWFV4uAKox74IPtQV4iy</t>
  </si>
  <si>
    <t>https://drive.google.com/open?id=1MELiG2VguS-NCWHdn3UHzVG3GqIt_PiA</t>
  </si>
  <si>
    <t>https://drive.google.com/open?id=13jTJ0XgR-Q0NAdZHfJo7va41J4I2Th_b</t>
  </si>
  <si>
    <t>0120190528</t>
  </si>
  <si>
    <t>KHUSHAL</t>
  </si>
  <si>
    <t>MAHENDRA</t>
  </si>
  <si>
    <t>choudharykhushal04@gmail.com</t>
  </si>
  <si>
    <t>linkedin.com/in/khushal-chaudhari-06b8a6229</t>
  </si>
  <si>
    <t>MAHENDRA CHAUDHARI</t>
  </si>
  <si>
    <t>ARCHANA CHAUDHARI</t>
  </si>
  <si>
    <t>Crystal society baner</t>
  </si>
  <si>
    <t>Kashid park kranti nagar pimple gaurav</t>
  </si>
  <si>
    <t>JavaScript Algorithms and Data Structures</t>
  </si>
  <si>
    <t>JavaScript</t>
  </si>
  <si>
    <t>Web design 
Project- password generator</t>
  </si>
  <si>
    <t>Detecting disease of soyabean plants</t>
  </si>
  <si>
    <t xml:space="preserve">Cyber security </t>
  </si>
  <si>
    <t>Python, Java, C/C++, C#, HTML, CSS, JavaScript, Sql</t>
  </si>
  <si>
    <t>https://drive.google.com/open?id=1dm_vCOILiR9y6bT6AssNr9WR558rXFO7</t>
  </si>
  <si>
    <t>https://drive.google.com/open?id=1cCparbDUVYgwyCfVktl8wB3RpYiQMrBP</t>
  </si>
  <si>
    <t>https://drive.google.com/open?id=1jNRixt5STPuVzvROgw80zF2WcAwa8ZrC</t>
  </si>
  <si>
    <t xml:space="preserve">My intership is going on Ataloud </t>
  </si>
  <si>
    <t>0120190406</t>
  </si>
  <si>
    <t>MOHIT</t>
  </si>
  <si>
    <t>mohitpawar0404@gmail.com</t>
  </si>
  <si>
    <t>https://www.linkedin.com/in/mohit-pawar-8883361a6</t>
  </si>
  <si>
    <t>NITA</t>
  </si>
  <si>
    <t>Rajendra Nagar, Amravati</t>
  </si>
  <si>
    <t>IT221L - Engineering Informatics</t>
  </si>
  <si>
    <t>Palo Alto Authorization number: nEFoeLqCEc</t>
  </si>
  <si>
    <t>Intern at Suven Consultants &amp; Technology Pvt Ltd</t>
  </si>
  <si>
    <t>E-voting system using Blockchain</t>
  </si>
  <si>
    <t>Python, C/C++, HTML, CSS, JavaScript, Kotlin</t>
  </si>
  <si>
    <t>Co-ordinated: Project Expo 2022 by CSI</t>
  </si>
  <si>
    <t>Yes, funded byp Government of India</t>
  </si>
  <si>
    <t>Google Cloud, by Google Developers Club</t>
  </si>
  <si>
    <t>https://preskilet.com/mohitpawar@mitaoe.ac.in</t>
  </si>
  <si>
    <t>https://drive.google.com/open?id=1O8xFcmnZwo2fb75L5fIVo-5hd38uvXI0</t>
  </si>
  <si>
    <t>https://drive.google.com/open?id=1fB6cLS79vdwQGUgs1RdEXMJ-fPQ8KqAo</t>
  </si>
  <si>
    <t>0120190553</t>
  </si>
  <si>
    <t>ANKITA</t>
  </si>
  <si>
    <t>PATSUTE</t>
  </si>
  <si>
    <t>ankitapatsute@gmail.com</t>
  </si>
  <si>
    <t>https://www.linkedin.com/in/ankita-patsute-64131821a</t>
  </si>
  <si>
    <t>SANJAY CHANDRAKANT PATSUTE</t>
  </si>
  <si>
    <t>ANITA SANJAY PATSUTE</t>
  </si>
  <si>
    <t>Sai park dighi pune 15</t>
  </si>
  <si>
    <t xml:space="preserve">Palo Alto </t>
  </si>
  <si>
    <t>Python For Every Body</t>
  </si>
  <si>
    <t>Saksham: Child Welfare &amp; Educational Trust.</t>
  </si>
  <si>
    <t>Gesture language translator</t>
  </si>
  <si>
    <t>https://preskilet.com/watch?v=629b6d4471d9d70004a56e64</t>
  </si>
  <si>
    <t>https://drive.google.com/open?id=1kxunL0iDGMRz7cWRghRXBeZMh1JrNeFL</t>
  </si>
  <si>
    <t>https://drive.google.com/open?id=1fu6FYEsFfRc9ul7ikWFPdtLAftYYmvq6</t>
  </si>
  <si>
    <t>https://drive.google.com/open?id=15dyfh6wVWVwGKOCaRtqSNzOw0-OHeOlR</t>
  </si>
  <si>
    <t>https://drive.google.com/open?id=1-LqTMx5PzNzdroZiqD8bXTkH1etUNmZo</t>
  </si>
  <si>
    <t>branch updated firstly it was not</t>
  </si>
  <si>
    <t>0120190516</t>
  </si>
  <si>
    <t>SHREYANSH</t>
  </si>
  <si>
    <t>jadhavshreyansh4@gmail.com</t>
  </si>
  <si>
    <t>https://www.linkedin.com/in/shreyansh-jadhav-baa2211b6</t>
  </si>
  <si>
    <t>SANDEEP RAMAKANT JADHAV</t>
  </si>
  <si>
    <t>SWATI SANDEEP JADHAV</t>
  </si>
  <si>
    <t>C-13 ,Snehankit Housing Society, 251/2 ,opposite of Aundh Telephone exchange, Aundh DP Road , Pune 07</t>
  </si>
  <si>
    <t>Infosys Springboard Basics of Python ( certificate not recieved yet)</t>
  </si>
  <si>
    <t>Oracle
Google Fundamentals of digital marketing</t>
  </si>
  <si>
    <t>Campus Ambassador at PERFECT SKILLS</t>
  </si>
  <si>
    <t>Web Developement Intern at Sparks Foundation</t>
  </si>
  <si>
    <t>Machine Learning Intern at Vieh Group</t>
  </si>
  <si>
    <t>Facial Recognition Based Attendance System Using Machine Learning</t>
  </si>
  <si>
    <t>Member of HitchHackers Club in College
NA</t>
  </si>
  <si>
    <t>Football Team Core Member and Vice Captain
Runners up 2019 and 2022 Football , Nakshatra
Semi Professional Football Player, State Level</t>
  </si>
  <si>
    <t>https://drive.google.com/file/d/1YYJzWTg8Gf1O6uw7KkxgrOR1ogBdqsXI/view?usp=sharing</t>
  </si>
  <si>
    <t>https://drive.google.com/open?id=1x5WXUOxITE1-ePtBhJwbwx3dvaqsSTAN</t>
  </si>
  <si>
    <t>https://drive.google.com/open?id=1LS-rnDBq-70e_2s1xgQuk1jp8IrZuF3f</t>
  </si>
  <si>
    <t>https://drive.google.com/open?id=1Qq1058r0AaEgEfDQckPZB91lIYzCz_Ck</t>
  </si>
  <si>
    <t>https://drive.google.com/open?id=1hLlXDBfWf9SRTV0y1AtlAr6zs7XEXbF9</t>
  </si>
  <si>
    <t>https://drive.google.com/open?id=1-bFNLXkAzdgCSSF-5b_yNpOP7oKtoGhU</t>
  </si>
  <si>
    <t>Didnt update anything as everything has been submitted on the previous pages</t>
  </si>
  <si>
    <t>0120190301</t>
  </si>
  <si>
    <t>SIDDHANT</t>
  </si>
  <si>
    <t>ASARAM</t>
  </si>
  <si>
    <t>YEOLE</t>
  </si>
  <si>
    <t>siddhantyeole123@gmail.com</t>
  </si>
  <si>
    <t xml:space="preserve">sayeole@mitaoe.ac.in </t>
  </si>
  <si>
    <t>https://www.linkedin.com/in/siddhant-yeole-6a442b22b</t>
  </si>
  <si>
    <t>At Anandwadi Post Tintarwani Tal Shirur kasar Dist Beed Maharashtra 431130</t>
  </si>
  <si>
    <t xml:space="preserve">EX102T-Electrical and Electronics Engineering </t>
  </si>
  <si>
    <t>Maven Silicon[VLSI SoC Design Using Verilog HDL]</t>
  </si>
  <si>
    <t>Palo Alto CyberSecurity</t>
  </si>
  <si>
    <t>Marketing and Retail Analytics</t>
  </si>
  <si>
    <t>Intership at Yashrich Industries</t>
  </si>
  <si>
    <t xml:space="preserve">MITAOE </t>
  </si>
  <si>
    <t>Gesture Language Translator</t>
  </si>
  <si>
    <t>HackwithInfy, InfyTQ</t>
  </si>
  <si>
    <t>https://preskilet.com/watch?v=629af9a37e67b10004ac241c</t>
  </si>
  <si>
    <t>https://drive.google.com/open?id=1U2bYhsn66q48aVqwL0eFdS30zEb8B0K6</t>
  </si>
  <si>
    <t>https://drive.google.com/open?id=19lPk_C7RILuhEcTbCQtaSRJz6h8pwt6g</t>
  </si>
  <si>
    <t>https://drive.google.com/open?id=1cT2wEVsaKC76XEsCo1LlmlRjDLoHqQUG</t>
  </si>
  <si>
    <t>https://drive.google.com/open?id=1P5GI5Xt69IZl_0kwyNXvoyTx6ClsdMtR</t>
  </si>
  <si>
    <t>https://drive.google.com/open?id=1coDpy-Iq8aalQ7ApiKt0hONSkdvqQDAi</t>
  </si>
  <si>
    <t>https://drive.google.com/open?id=1UiLul-F1seUK6TYYwQ1j1plcWSd0kngl</t>
  </si>
  <si>
    <t>https://drive.google.com/open?id=1dH6Gat6Kk-mrYoeAhgIyNp_P2-iYiO1W</t>
  </si>
  <si>
    <t>SGPA TY</t>
  </si>
  <si>
    <t>0120190321</t>
  </si>
  <si>
    <t>ASAVARI</t>
  </si>
  <si>
    <t>KALSE</t>
  </si>
  <si>
    <t>asavarikalse436@gmail.com</t>
  </si>
  <si>
    <t>linkedin.com/in/asavari-kalse-349a98209</t>
  </si>
  <si>
    <t>NANASAHEB KALSE</t>
  </si>
  <si>
    <t>MEERA KALSE</t>
  </si>
  <si>
    <t>Sanghavi Road,Killari Pati,Killari,Taluka Ausa,District Latur,Maharashtra.</t>
  </si>
  <si>
    <t>Manas Girls Hostel,Tapkir nagar,near Bank of India,Dehu phata,Alandi,Pune,Maharashtra</t>
  </si>
  <si>
    <t xml:space="preserve">Cyber Security Virtual Internship </t>
  </si>
  <si>
    <t>NaN</t>
  </si>
  <si>
    <t>Enovate Skill-completed 60hrs industrial internship on IOT.</t>
  </si>
  <si>
    <t>GustoValley Technovations Private Limited-Internship on machine learning, iot,web development,etc.</t>
  </si>
  <si>
    <t>Codomotive Software Private Limited- Full time working hands on internship on full stack web development.</t>
  </si>
  <si>
    <t>NAN</t>
  </si>
  <si>
    <t xml:space="preserve">Third Year Major project:- Gesture Language Translator </t>
  </si>
  <si>
    <t>Python, C/C++, HTML, CSS, JavaScript, PHP, Dart</t>
  </si>
  <si>
    <t>Srujan Event on National level world map drawing.</t>
  </si>
  <si>
    <t>Robin Hood Army</t>
  </si>
  <si>
    <t>https://drive.google.com/file/d/1WCHi2UIjPRQW_DOQDsbbKt4zhxa6hgjV/view?usp=sharing</t>
  </si>
  <si>
    <t>https://drive.google.com/open?id=167YIqRxjjCVjnd5qx_kQbxcawVcyHq2B</t>
  </si>
  <si>
    <t>https://drive.google.com/open?id=1_4puNbqi2oFVNoxXg94OkDlE-dZhGjH0</t>
  </si>
  <si>
    <t>https://drive.google.com/open?id=1o1OLxK-gYuwMVXRG6FS4E19sE6QcxhPG</t>
  </si>
  <si>
    <t>https://drive.google.com/open?id=1fyA5c-loURaQ8xU3CicJXEBjqkgBd4Gy</t>
  </si>
  <si>
    <t>https://drive.google.com/open?id=1JbwKWco93--yduTKXYOFPWZ6T0-tuRZe</t>
  </si>
  <si>
    <t>https://drive.google.com/open?id=1XBS7cWYZUo5ez1L3hhbGZAMVZwUKAGHm</t>
  </si>
  <si>
    <t>Techincal Certificates are updated bcoz of latest updates on the certificates.</t>
  </si>
  <si>
    <t>0220200045</t>
  </si>
  <si>
    <t>RUTURAJ</t>
  </si>
  <si>
    <t>JAVERI</t>
  </si>
  <si>
    <t>ruturaj.javeri890@gmail.com</t>
  </si>
  <si>
    <t xml:space="preserve">ruturaj.javeri@mitaoe.ac.in </t>
  </si>
  <si>
    <t>https://www.linkedin.com/in/ruturaj-javeri-50b0a51b0</t>
  </si>
  <si>
    <t>NUTAN</t>
  </si>
  <si>
    <t>A10-114,Aishwaryam Hamara, chikhali,pune,maharashtra</t>
  </si>
  <si>
    <t>1710(total of three) avg=570</t>
  </si>
  <si>
    <t>"MAVENSILICON:VLSI SoC Design using Verilog HDL"</t>
  </si>
  <si>
    <t>"Coursera(IBM)-IBM AI Engineering"</t>
  </si>
  <si>
    <t xml:space="preserve">Mor4sys private limited </t>
  </si>
  <si>
    <t xml:space="preserve">Diploma=IoT based bridge automation
B-tech=Military Surveillance system based on IoT </t>
  </si>
  <si>
    <t>Proteus, MATLAB</t>
  </si>
  <si>
    <t xml:space="preserve">1)Techno philia 2022(volunteer)
2)PICT InC'22(project competition)
3)Completed 1 month online Internship provided by LGMVIP in data science domain. 
</t>
  </si>
  <si>
    <t>Bagged first prize in Impetus communication Networks and security systems at impetus and concept'22,an International Level Technical Symposium</t>
  </si>
  <si>
    <t>https://drive.google.com/file/d/1VBvUb_WR_A71mePL5LwAh0y6do-17lkn/view?usp=drivesdk</t>
  </si>
  <si>
    <t>https://drive.google.com/open?id=1VCSyFQ4YeSJE-ixIUUVJwRg6aUM5QKYs</t>
  </si>
  <si>
    <t>https://drive.google.com/open?id=1SmJv8_JkE9ijk6sOvnyPOc8SCY6llEJC</t>
  </si>
  <si>
    <t>https://drive.google.com/open?id=1SrjOweh-ORfyUtDuwvrTuXDVjCiqoB67</t>
  </si>
  <si>
    <t>https://drive.google.com/open?id=1Wdl_pny6z73IfIvr4aehzsTCVESmApcx</t>
  </si>
  <si>
    <t>https://drive.google.com/open?id=1J8zy_0RY_hu6g0A05_wPtZGVg3WEHRTb</t>
  </si>
  <si>
    <t>None</t>
  </si>
  <si>
    <t>0120190618</t>
  </si>
  <si>
    <t>DEEP</t>
  </si>
  <si>
    <t>deeprajshrivastava132@gmail.con</t>
  </si>
  <si>
    <t>https://www.linkedin.com/in/deep-raj-0a4972182</t>
  </si>
  <si>
    <t>PRABHAT KUMAR</t>
  </si>
  <si>
    <t>RIMA SRIVASTAVA</t>
  </si>
  <si>
    <t>Heera nagar colony bairiya muzaffarpur bihar 843113</t>
  </si>
  <si>
    <t>Rohit pawar hostel hindevi colony near mitaoe alandi pune</t>
  </si>
  <si>
    <t>Zensar Employability Skill development Program</t>
  </si>
  <si>
    <t>Internshala Android development intership</t>
  </si>
  <si>
    <t>PrimaThink web development Internship</t>
  </si>
  <si>
    <t>Dynamic HealthCare App</t>
  </si>
  <si>
    <t>Cleared first round of Infosys Certification examination</t>
  </si>
  <si>
    <t>https://preskilet.com/dpraj@mitaoe.ac.in</t>
  </si>
  <si>
    <t>https://drive.google.com/open?id=171GHrRDenPmkoomWNuLVNrZP1aMOUerT</t>
  </si>
  <si>
    <t>https://drive.google.com/open?id=1XD1yv4naNxkmFPQJy8oTVISL0hVcYSnr</t>
  </si>
  <si>
    <t>https://drive.google.com/open?id=1KZ0Vm9W_Vn7RHFYt4Afb2aWqRn82PfJM</t>
  </si>
  <si>
    <t>https://drive.google.com/open?id=1FuITX9qRrGtfVkGhOQFtH3SMsBhn37Se</t>
  </si>
  <si>
    <t>https://drive.google.com/open?id=19tkkZRGlJefruHvpsPUJIMpNqELkt2n2</t>
  </si>
  <si>
    <t>0120190250</t>
  </si>
  <si>
    <t>UNKULE</t>
  </si>
  <si>
    <t>unkulepranav1@gmail.com</t>
  </si>
  <si>
    <t>https://www.linkedin.com/in/pranav-unkule-10052001</t>
  </si>
  <si>
    <t>PRAMOD VISHNU UNKULE</t>
  </si>
  <si>
    <t>VANDANA PRAMOD UNKULE</t>
  </si>
  <si>
    <t>Waman Vishva, Flat No. 101, Vikas Nagar, Kiwale, Post - DehuRoad, Pune, Maharashtra - 412101</t>
  </si>
  <si>
    <t>Microsoft 98-381: Introduction to Programming Using Python</t>
  </si>
  <si>
    <t>Network Security Fundamentals: Palo Alto Networks Academy
Machine Learning with MATLAB: MathWorks</t>
  </si>
  <si>
    <t>Feynn Labs - Machine Learning Internship</t>
  </si>
  <si>
    <t>Sign Language To Audio and Text using Deep Learning</t>
  </si>
  <si>
    <t>Tensorflow</t>
  </si>
  <si>
    <t>Fusion 360, Proteus, MATLAB</t>
  </si>
  <si>
    <t>1) DATATHON 2022
2) EW Project Challenge 2021
3) IETE Intercollegiate Project Competition 2021</t>
  </si>
  <si>
    <t>First Runner-Up in DATATHON 2022</t>
  </si>
  <si>
    <t>1) "Machine Learning": Stanford University on Coursera
2) "Introduction to TensorFlow for Artificial Intelligence, Machine Learning, and Deep Learning": DeepLearning.AI on Coursera
3) "MATLAB Fundamentals": MathWorks
4) "Machine Learning with MATLAB": MathWorks
5) "Python Basics": University of Michigan on Coursera
6) "Python Data Structures": University of Michigan on Coursera
7) "Crash Course on Python": Google on Coursera
8) "Introduction to 3D Modeling for Manufacturing": AUTODESK Design Academy</t>
  </si>
  <si>
    <t>https://preskilet.com/watch?v=62966074716ac100049818fe</t>
  </si>
  <si>
    <t>https://drive.google.com/open?id=1zdt6jSy0m67vw13b2LwXS4DAgTHOP4J-</t>
  </si>
  <si>
    <t>https://drive.google.com/open?id=1CLpUZaUbQF4_AG-a9kba1uLWBVniE0JJ</t>
  </si>
  <si>
    <t>https://drive.google.com/open?id=1RDgfiGbvHANIzAuKtKftX2XHiRZ6D6aJ</t>
  </si>
  <si>
    <t>https://drive.google.com/open?id=1qAD5zbMqRe0qdCWjHz-6A8zQGclg5x4T</t>
  </si>
  <si>
    <t>https://drive.google.com/open?id=1--dqqxxZzK0t1fDj7AfzuBC6YEmQh8v2</t>
  </si>
  <si>
    <t>0120190132</t>
  </si>
  <si>
    <t xml:space="preserve">KRISHNA </t>
  </si>
  <si>
    <t>GORE</t>
  </si>
  <si>
    <t>341goreswapnil@gmail.com</t>
  </si>
  <si>
    <t xml:space="preserve">skgore@mitaoe.ac.in </t>
  </si>
  <si>
    <t>https://www.linkedin.com/in/swapnil-gore-bb855222b</t>
  </si>
  <si>
    <t>NAYANA</t>
  </si>
  <si>
    <t>A/p- Padegaon , Tal-Phaltan , Dist-Satara, pin-415521</t>
  </si>
  <si>
    <t>Alandi , Tal-Khed , Dist-Pune , pin-412105</t>
  </si>
  <si>
    <t>Oracle:Oracle Cloud Infrastructure Foundations Certified Associate</t>
  </si>
  <si>
    <t>Amazon Web Services: AWS Certified Cloud Practitioner</t>
  </si>
  <si>
    <t>Training Based internship In domain of Internet of Things and
Embedded Systems provided by University of California (Coursera)</t>
  </si>
  <si>
    <t xml:space="preserve">SY Summer Intrenship-Training based Internship in domain of C++ programming provided by Udemy
SY Project - Automated Fire Extinguisher Robot. This project showcases design of microcontroller based fire extinguisher robot for early stage detection and extinguishing of fire. </t>
  </si>
  <si>
    <t xml:space="preserve">CopperCloud IOTech Pvt. Ltd. Dighi , Pune. - Offline internship in IOT and cloud domain.Work on Real time live company projects. </t>
  </si>
  <si>
    <t xml:space="preserve">Non-Intrusive Speech Quality Assessment </t>
  </si>
  <si>
    <t>AWS Academy Graduate - AWS Academy Cloud Foundations , Company Name : Amazon</t>
  </si>
  <si>
    <t>Class Coordinator and Member Of MIT Academy of Engineering Students Council (2019-20)</t>
  </si>
  <si>
    <t>https://preskilet.com/6296f0ad5545ea0004a92224</t>
  </si>
  <si>
    <t>https://drive.google.com/open?id=1SQ4yS2J1yvvpYmLmkPreTpoox_gq17cP</t>
  </si>
  <si>
    <t>https://drive.google.com/open?id=1685DVJyRHrkNOuSMzKlZ7EIRnr_CwBWS</t>
  </si>
  <si>
    <t>https://drive.google.com/open?id=1NS3pcdlLLnxom9uKQkmFOyKFHlm-8cmi</t>
  </si>
  <si>
    <t>https://drive.google.com/open?id=1gtlQ3mPsEXc7nfQeZiK7BrVPTF_0QbCp</t>
  </si>
  <si>
    <t>https://drive.google.com/open?id=1d-PlZjUZd_IRWbfPK2Ir1CBn2G-Cyn0e</t>
  </si>
  <si>
    <t>https://drive.google.com/open?id=1kI4XZu5ITqDtts3hX6fajTkcusbdB8C7</t>
  </si>
  <si>
    <t>https://drive.google.com/open?id=1371r0Z9zF4GJX2-WWLXJ6z3VJaaxj45A</t>
  </si>
  <si>
    <t>https://drive.google.com/open?id=1Ez3yJo0-cMLrDqLM-2j6AbW9pYJpfKWW</t>
  </si>
  <si>
    <t xml:space="preserve">1.TY summer Internship - Started new internship in CopperCloudIOTech pvt. ltd. Dighi (Reason- offline internship in dream domain - cloud)
2.Amcat scores -  Detailed amcat scores (Reason -  Software Generated Copy) </t>
  </si>
  <si>
    <t>0120190320</t>
  </si>
  <si>
    <t>AKASH</t>
  </si>
  <si>
    <t>akashpawar202k@gmail.com</t>
  </si>
  <si>
    <t>https://www.linkedin.com/in/akash-pawar-4b053a202</t>
  </si>
  <si>
    <t>SULOCHANA</t>
  </si>
  <si>
    <t>AT DADGI , TA NILANGA , DIST LATUR ,POST SINDHAKHED,413521</t>
  </si>
  <si>
    <t>GIRINDU APARTMENT , OPPOSITE TO MIT SCIENCE COLLEGE,DEHU PHATA ALANDI</t>
  </si>
  <si>
    <t>CS101T-LOGICAL DEVELOPMENT-C PROGRAMMING
ME104T-ENGINEERING GRAPHICS</t>
  </si>
  <si>
    <t xml:space="preserve">Oracle Certified Foundations Associate </t>
  </si>
  <si>
    <t xml:space="preserve">AWS Academy Graduate - AWS Academy Cloud Foundations
Programming for Everybody (Getting Started with Python)
International youth of math challenge (1 round cleared)
</t>
  </si>
  <si>
    <t>AWS cloud practitioner
Java Programming Fundamentals</t>
  </si>
  <si>
    <t xml:space="preserve">training based Intership in python </t>
  </si>
  <si>
    <t>Mastering C++ Programming - From Zero to Hero</t>
  </si>
  <si>
    <t>Testo Meter interns as Trainee Quality Assurance (QA) Engineer</t>
  </si>
  <si>
    <t>CYBER ATTACK IMPLEMENTATION AS WELL AS PREVENTION METHOD FOR WEB APPLICATION</t>
  </si>
  <si>
    <t>Python, Java, C/C++, HTML, CSS, JavaScript, SQL (Basics),Terraform (Basics),Data Structure ,Algorithm</t>
  </si>
  <si>
    <t>MATLAB, VS Code , IntelliJ IDE , MySQL Workbench</t>
  </si>
  <si>
    <t>AWS Academy Graduate - AWS Academy Cloud Foundations
Infosys-Java Programming Fundamentals</t>
  </si>
  <si>
    <t>INTERNATION YOUTH OF MATH CHALLENGE (ROUND 1 CLEARED)
NAKSHATRA ANUAL EVENT PARTICIPANT MITAOE
MEMBER OF GOONJ SINGING CLUB MITAOE</t>
  </si>
  <si>
    <t>https://preskilet.com/watch?v=629715345545ea0004a9235e</t>
  </si>
  <si>
    <t>https://drive.google.com/open?id=1QvSv7ANwZFoBkMsiRflSsGYJ0O9mndz2</t>
  </si>
  <si>
    <t>https://drive.google.com/open?id=1brsHwvktSUn2DeJecJadtpmbA__7THVc</t>
  </si>
  <si>
    <t>https://drive.google.com/open?id=1bRlzRch8Wtxybw4DqIwrm_Y_NG5mQtJU</t>
  </si>
  <si>
    <t>https://drive.google.com/open?id=1ug3293-Mzq3xPFWA0q8zrkdMrc34bwvn</t>
  </si>
  <si>
    <t>https://drive.google.com/open?id=14SGulARo0pg7DMBEORmUkDCxWXrIZEsP</t>
  </si>
  <si>
    <t>https://drive.google.com/open?id=12FneuAeaBDTiCJ50_o13F6nbJJC1yBnW</t>
  </si>
  <si>
    <t>https://drive.google.com/open?id=13PWaDm1um6wO9CCYl9b736zOxszN4H4K</t>
  </si>
  <si>
    <t>branch, certification added</t>
  </si>
  <si>
    <t>0120190359</t>
  </si>
  <si>
    <t>vaishnavideshmukh312@gmail.com</t>
  </si>
  <si>
    <t>https://www.linkedin.com/in/vaishnavi-deshmukh-a54842181</t>
  </si>
  <si>
    <t>SURESH NIMBA DESHMUKH</t>
  </si>
  <si>
    <t>KAVITA SURESH DESHMUKH</t>
  </si>
  <si>
    <t>50,NEAR RAILWAY STATION MOHADI ,DHULE,MAHARASHTRA 424311</t>
  </si>
  <si>
    <t xml:space="preserve">HP202L-Professional Communication </t>
  </si>
  <si>
    <t>Microsoft Azure Fundamentals</t>
  </si>
  <si>
    <t>AWS-Cloud Practitioner</t>
  </si>
  <si>
    <t>Coursera: Fundamentals of RedHat Enterprise Linux</t>
  </si>
  <si>
    <t>Simplified Europe</t>
  </si>
  <si>
    <t>AICTE : Salesforce Developer Catalyst</t>
  </si>
  <si>
    <t>Sign Language Recognition</t>
  </si>
  <si>
    <t>Java, C/C++</t>
  </si>
  <si>
    <t>Datathon Equilibrium 
Robotics Workshop
Axes Cuelearn</t>
  </si>
  <si>
    <t>Gate 2022-Score 455</t>
  </si>
  <si>
    <t>Redhat Linux - Top IT Academy (Paid)</t>
  </si>
  <si>
    <t>https://drive.google.com/file/d/1h3QTX6PJd796dQhuyEuxmtGwaHfpCrmd/view?usp=sharing</t>
  </si>
  <si>
    <t>https://drive.google.com/open?id=16N6REAgKgaDN5ftiKp-ya33wEFgRXHHb</t>
  </si>
  <si>
    <t>https://drive.google.com/open?id=1fx6wnO6-3F-bgWixJTCMewuPG5OPfd_v</t>
  </si>
  <si>
    <t>https://drive.google.com/open?id=1PtkFcW-dpv8hRI70JGZrXQZYStbklzSS</t>
  </si>
  <si>
    <t>https://drive.google.com/open?id=1lMdwRUJ4aSL54Y76IwuoqKGITksGfkZe</t>
  </si>
  <si>
    <t>https://drive.google.com/open?id=1Enh9AEnMuFj_d30SiiN_u2qKvqqau2kT</t>
  </si>
  <si>
    <t>https://drive.google.com/open?id=1tqxmqL10ykDJp4QxFE8JwrZi6VNgT0PH</t>
  </si>
  <si>
    <t>https://drive.google.com/open?id=1POmBePDU4IZXMyiAkhzza6lVQ_KvZOpR</t>
  </si>
  <si>
    <t>https://drive.google.com/open?id=1LJZzN42oksDqxh7x5zEcuh_ECdNlpgDw</t>
  </si>
  <si>
    <t>https://drive.google.com/open?id=1WRT059_H1SUzm9-KYFznN2tt6n7_vFWf</t>
  </si>
  <si>
    <t>Amcat reports were not available.</t>
  </si>
  <si>
    <t>0120190515</t>
  </si>
  <si>
    <t>31mahajanatharva@gmail.com</t>
  </si>
  <si>
    <t xml:space="preserve">asmahajan@mitaoe.ac.in </t>
  </si>
  <si>
    <t>https://www.linkedin.com/in/atharva-mahajan-1786ba220</t>
  </si>
  <si>
    <t xml:space="preserve">SUNIL MAHAJAN </t>
  </si>
  <si>
    <t xml:space="preserve">ARCHANA MAHAJAN </t>
  </si>
  <si>
    <t>Flat no:-705 Building:- C3 Mahindra Lifespace Antheia, near Dr. Babasaheb Ambedker chowk, Nehrunagar road, Pimpri, Pune -411018</t>
  </si>
  <si>
    <t>Coursera: Programming for Everybody (Getting started with Python)</t>
  </si>
  <si>
    <t>AWS: Internet of Things (IOT)</t>
  </si>
  <si>
    <t>Anand Techno-Creations: IOT using Industry Grade Microcontroller.</t>
  </si>
  <si>
    <t>VIEH Private Limited</t>
  </si>
  <si>
    <t>Robotics and Automation</t>
  </si>
  <si>
    <t>Python, Java, C/C++, C#</t>
  </si>
  <si>
    <t>AutoCAD, Proteus, MATLAB, Cisco Packet Tracer, Keil</t>
  </si>
  <si>
    <t>1) IIT Bombay: Certificate for Completion of Arduino Training 
2) AWS Educate: Building custom Alexa skills
3)Mathworks: Matlab Onramp</t>
  </si>
  <si>
    <t>College sports events
Nakshatra sports events in TY</t>
  </si>
  <si>
    <t>https://preskilet.com/watch?v=62975b635545ea0004a9259ehttps://drive.google.com/file/d/1lpz0mYdjkx2sz0_Ob4wvpliNXJi_jz8Y/view?usp=sharing</t>
  </si>
  <si>
    <t>https://drive.google.com/open?id=1CD3UNVABlRkZhyunw97jOD802Ej311Y4</t>
  </si>
  <si>
    <t>https://drive.google.com/open?id=1GIpOdTcN9h-d73hkXXORO9kht2pp8byU</t>
  </si>
  <si>
    <t>https://drive.google.com/open?id=1ggzugRV61Uaz4qKAf_oeaTmtuylPDmq5</t>
  </si>
  <si>
    <t>https://drive.google.com/open?id=1Q1FE7iSCL9uun3nUbY8spXXrimDm_HrQ</t>
  </si>
  <si>
    <t>https://drive.google.com/open?id=1BMl8AbwpKPckocLZ_eyzoF8NmlxdV1LU</t>
  </si>
  <si>
    <t>https://drive.google.com/open?id=1KkYnrikwFfJBqwOw8sEpi3dVo2ynEoF1</t>
  </si>
  <si>
    <t>https://drive.google.com/open?id=1CLqk3eDgg1-M-UIZ8Zw2LLMjddaXVB8p</t>
  </si>
  <si>
    <t>https://drive.google.com/open?id=1NVo1eJOn05Pf8_5ez5k5smoVR7N_2COA</t>
  </si>
  <si>
    <t>I have uploaded the previous year and current years AMCAT score, which was having downloading issue. Also my SIP for SY is also uploaded previously and certifications too.</t>
  </si>
  <si>
    <t>0120190192</t>
  </si>
  <si>
    <t>SANCHIT</t>
  </si>
  <si>
    <t>SHASHANK</t>
  </si>
  <si>
    <t>AGARKAR</t>
  </si>
  <si>
    <t>sanchitsagarkar03@gmail.com</t>
  </si>
  <si>
    <t>https://www.linkedin.com/in/sanchit-agarkar-80b44b1aa/</t>
  </si>
  <si>
    <t xml:space="preserve">SHASHANK </t>
  </si>
  <si>
    <t>Gharkul Apartment, Tilakwadi Bapat Chowk Yavatmal 445001</t>
  </si>
  <si>
    <t>Dyanwardhini Hostel,Hindavi Colony Rd Number 1, Vishweshwar Nagar, Dehu Phata, Alandi Maharashtra, Maharashtra 412105</t>
  </si>
  <si>
    <t>Completed a Course on Coursera "Introduction to the Internet of Things and
Embedded Systems"</t>
  </si>
  <si>
    <t>Completed a Course on Udemy "Machine Learning A-Z™: Hands-On Python &amp; R In Data Science"</t>
  </si>
  <si>
    <t>Internship at Feynn Labs</t>
  </si>
  <si>
    <t xml:space="preserve">"Sign Language To Audio Converter " </t>
  </si>
  <si>
    <t xml:space="preserve">1)Datathon 2022.
2)30 Days Of Google Cloud Program.
3)EW project challenge 2021.
</t>
  </si>
  <si>
    <t xml:space="preserve"> First runner up position in National level event Datathon 2022.</t>
  </si>
  <si>
    <t>1)"VLSI SoC Design using Verilog HDL"  Company: MAVEN
2)"Machine Learning A-Z™: Hands-On Python &amp; R In Data Science"  Company: Udemy</t>
  </si>
  <si>
    <t xml:space="preserve">1)Participated in 6 days Online Workshop on photography conducted by Shutterbugs 
    Photography Club of MIT Academy of Engineering.
2)TechnoPHILIA'21 Under Spark Club MITAOE (Core member/Volunteer)
</t>
  </si>
  <si>
    <t>https://preskilet.com/watch?v=629761fd5545ea0004a92621</t>
  </si>
  <si>
    <t>https://drive.google.com/open?id=103xZQCXIxFk-1jdaRvZMRZNWVNd8eoXt</t>
  </si>
  <si>
    <t>https://drive.google.com/open?id=1Bd43thpVDmRo1S5gOATngo-tRtwsLp39</t>
  </si>
  <si>
    <t>https://drive.google.com/open?id=13jTFatMyij2hzyyEvn0vOnrjAsBRQQvd</t>
  </si>
  <si>
    <t>https://drive.google.com/open?id=1539vX-Mwyr5BI63AKIiva4_BMng6mpfK</t>
  </si>
  <si>
    <t>https://drive.google.com/open?id=1o1YwhN8wn9AP9Epxm1Vc2__omcfyXuqu</t>
  </si>
  <si>
    <t>https://drive.google.com/open?id=12cw-xBlBIJft2-EmNTmnmFP9jgAEiC45</t>
  </si>
  <si>
    <t>https://drive.google.com/open?id=1f_aiinOGK3qIxbl6RSIflfrwuuVT1WvQ</t>
  </si>
  <si>
    <t>One of my ongoing certificate was remaining.</t>
  </si>
  <si>
    <t>0120190081</t>
  </si>
  <si>
    <t>ANAGHA</t>
  </si>
  <si>
    <t>PRABHAKAR</t>
  </si>
  <si>
    <t>HARAL</t>
  </si>
  <si>
    <t>anaghaharal@gmail.com</t>
  </si>
  <si>
    <t>https://www.linkedin.com/in/anagha-haral-3a5732229</t>
  </si>
  <si>
    <t xml:space="preserve">PRABHAKAR </t>
  </si>
  <si>
    <t>Rushabh Residency, Flat No : 08, Shriram Nagar, Shikrapur Road, Chakan - 410501, Pune</t>
  </si>
  <si>
    <t>"Oracle Cloud Infrastructure Foundations Associate"</t>
  </si>
  <si>
    <t>Course from Coursera : "Programming for Everybody(Getting started with Python)"</t>
  </si>
  <si>
    <t>Course from Coursera : "Introduction to the Internet of Things and Embedded Systems
Project : Fire Extinguishing Robot
This project is proposing the Fire Extinguishing Robot using multiple sensors to detect the fire and extinguish the flame.</t>
  </si>
  <si>
    <t>Internship : Inhouse Internship at MITAOE
The project assigned during the internship is "Forest Fire Detection", under which the work assigned to me is data collection using remote sensing and object detection using counters.
Project : Non Intrusive Speech Quality Assessment
The project is developed to  improve the performance of non-intrusive speech quality assessment and develop an effective, reliable, and flexible speech quality assessment method.</t>
  </si>
  <si>
    <t>Non Intrusive Speech Quality Assessment</t>
  </si>
  <si>
    <t>Firodiya Karandak Competition
Member of MITAOE Art circle</t>
  </si>
  <si>
    <t xml:space="preserve">  https://preskilet.com/watch?v=62975a385545ea0004a92594</t>
  </si>
  <si>
    <t>https://drive.google.com/open?id=1VxF61Tk3tvPPPBwmIHDuy6GE45BEfURe</t>
  </si>
  <si>
    <t>https://drive.google.com/open?id=16EfUEe0RJ9QkQm5Gs-u58nwejauj963j</t>
  </si>
  <si>
    <t>https://drive.google.com/open?id=1nI6W3_wgDrDBD8VsKFKY0yqqjGiOAvRc</t>
  </si>
  <si>
    <t>https://drive.google.com/open?id=1gsG8JTTZLQOtif9bRdXLy1YNsyYRkvmJ</t>
  </si>
  <si>
    <t>https://drive.google.com/open?id=1wucmyyrz0phQXaGYt_-QB_arfekf90Cc</t>
  </si>
  <si>
    <t>https://drive.google.com/open?id=1PAUFuXMe5ZuTYoYCCRJibAcmdrXADpXz</t>
  </si>
  <si>
    <t>https://drive.google.com/open?id=1mHkZw4obY5z6-uXwI5L_A498uMMQrXJH</t>
  </si>
  <si>
    <t>https://drive.google.com/open?id=19XbYSt7bwjSp2SQ_nxuF1b3FzKRY_bfu</t>
  </si>
  <si>
    <t>https://drive.google.com/open?id=15E9iDttNXwLejJQ0tTqh5FvWqpy6It5C</t>
  </si>
  <si>
    <t>https://drive.google.com/open?id=1ZMRd9zVvmFnQgKK0hkq7-ljsM_FXkpRi</t>
  </si>
  <si>
    <t>https://drive.google.com/open?id=1e2G5su6_MZpRWRy98LBs4jGGuVcxD8gU</t>
  </si>
  <si>
    <t xml:space="preserve">I have updated the TY AMCAT Result. Earlier I was unable to submit the detailed report as it was not available to download from the site.  </t>
  </si>
  <si>
    <t>0120190249</t>
  </si>
  <si>
    <t>GAURAV</t>
  </si>
  <si>
    <t>AUNDKAR</t>
  </si>
  <si>
    <t>gauravaundkar2711@gmail.com</t>
  </si>
  <si>
    <t>https://www.linkedin.com/in/gaurav-aundkar-64754423b</t>
  </si>
  <si>
    <t>SHIVAJI AUNDKAR</t>
  </si>
  <si>
    <t>MANISHA AUNDKAR</t>
  </si>
  <si>
    <t>At post Smabhaji Nagar Ashti, Tal:- Ashti, Dist:- Beed</t>
  </si>
  <si>
    <t xml:space="preserve">304, Indrayani Hills, Hindavi Colony, Alandi, Pune </t>
  </si>
  <si>
    <t>"Maven Silicon - VLSI SoC Design "</t>
  </si>
  <si>
    <t xml:space="preserve">
"Oracle Cloud"
"Cyber Security"</t>
  </si>
  <si>
    <t xml:space="preserve">"Zensar Technology" </t>
  </si>
  <si>
    <t>SY Summer Internship :- Mastering C++ Programming
SY Project Details :- Automatic Street Light Controller</t>
  </si>
  <si>
    <t>TY Summer Internship :- VIEH GROUP
TY Project Details :- Gesture Language Translator</t>
  </si>
  <si>
    <t xml:space="preserve"> Zensar Teachnolgy - Zensor </t>
  </si>
  <si>
    <t>https://preskilet.com/watch?v=629767095545ea0004a92646</t>
  </si>
  <si>
    <t>https://drive.google.com/open?id=149aNNa2I8yQQtW4XEEVz51JKns7Sx2ZO</t>
  </si>
  <si>
    <t>https://drive.google.com/open?id=11kO_B6vHrZMwUhKSJLs3BstzRV5m-Nza</t>
  </si>
  <si>
    <t>https://drive.google.com/open?id=1KlmkMd-TOtMo2fomITfuJBgk94eoMczv</t>
  </si>
  <si>
    <t>https://drive.google.com/open?id=1qHE_aEXWhyNr4gXE6iiVgJHYc34Ayj9d</t>
  </si>
  <si>
    <t>https://drive.google.com/open?id=19OSWCQrGGf2xVd3oAtZNf2e5MnRYn51M</t>
  </si>
  <si>
    <t>https://drive.google.com/open?id=1p_f_ei4fYYh0Im2ZhW5uV4peVQ6gzna3</t>
  </si>
  <si>
    <t>https://drive.google.com/open?id=1oGzTN9XP4M1AeyvENQOjgqSz42kFVy-h</t>
  </si>
  <si>
    <t>https://drive.google.com/open?id=1vllIUva6NzdlEkTWoUQsgk5qhJOXoVxI</t>
  </si>
  <si>
    <t>SY and TY Amcat Result</t>
  </si>
  <si>
    <t>0120190400</t>
  </si>
  <si>
    <t>APURVA</t>
  </si>
  <si>
    <t>PETE</t>
  </si>
  <si>
    <t>apurvapete400@gmail.com</t>
  </si>
  <si>
    <t>https://www.linkedin.com/in/apurva-pete-2a78911ab</t>
  </si>
  <si>
    <t>SARITA</t>
  </si>
  <si>
    <t>Ward no. 1 Mali pura At post Bramhanwada Thadi Tq. Chandur Bazar Dis. Amravati Maharashtra India</t>
  </si>
  <si>
    <t>Aksha Vasant Park Dudulgaon Maharashtra</t>
  </si>
  <si>
    <t>Microsoft Azure-900: Microsoft Azure AI</t>
  </si>
  <si>
    <t>Programming for Everybody (Getting Started with
Python) From Corcera</t>
  </si>
  <si>
    <t>SAKSHAM: CHILD WELFARE &amp; EDUCATIONAL
TRUST</t>
  </si>
  <si>
    <t>Full stack Web Development Internship at Prima Think Pvt ltd.</t>
  </si>
  <si>
    <t>Smart Event Management Platform</t>
  </si>
  <si>
    <t>Python, C/C++, HTML, CSS, JavaScript, SQL</t>
  </si>
  <si>
    <t>Nakshatra 2022 Cultural Team</t>
  </si>
  <si>
    <t>https://preskilet.com/watch?v=629772765545ea0004a926e0</t>
  </si>
  <si>
    <t>https://drive.google.com/open?id=1dtX79K53d-IzMrmfLT3qS5cO3wl2umqR</t>
  </si>
  <si>
    <t>https://drive.google.com/open?id=1U04tokLrdtP4sC80pn8qd41RGmD9f-ZY</t>
  </si>
  <si>
    <t>https://drive.google.com/open?id=1WAZK8DVJIF9EESjrnNBlscRn8T3O8zGk</t>
  </si>
  <si>
    <t>https://drive.google.com/open?id=1KIFhpVRAOvtK2PIxpFNVeiCqMST2dXUJ</t>
  </si>
  <si>
    <t>https://drive.google.com/open?id=1k120NzM3HNzV6KpQtXd_fVhFoT3wivcM</t>
  </si>
  <si>
    <t>https://drive.google.com/open?id=1BBYsWQbFHHTIl-dNSElUy8YvbQhr750r</t>
  </si>
  <si>
    <t>0120190523</t>
  </si>
  <si>
    <t>TANVI</t>
  </si>
  <si>
    <t>shahtanvi317@gmail.com</t>
  </si>
  <si>
    <t xml:space="preserve">tanvishah@mitaoe.ac.in </t>
  </si>
  <si>
    <t>https://www.linkedin.com/in/tanvi-shah-7b893123a</t>
  </si>
  <si>
    <t xml:space="preserve">KIRTI SHAH </t>
  </si>
  <si>
    <t xml:space="preserve">SHITAL SHAH </t>
  </si>
  <si>
    <t xml:space="preserve">SONWANE WASTI ROAD CHIKHALI PUNE </t>
  </si>
  <si>
    <t xml:space="preserve">IT221L - Engineering Informatics  </t>
  </si>
  <si>
    <t xml:space="preserve">Palo Alto: Cyber Security </t>
  </si>
  <si>
    <t xml:space="preserve">Cognitive: Python For Data Science </t>
  </si>
  <si>
    <t xml:space="preserve">Zensor: Training Internship </t>
  </si>
  <si>
    <t xml:space="preserve">Simplilearn: Introduction To Cyber Security </t>
  </si>
  <si>
    <t xml:space="preserve">Certificate Of MATLAB ONRAMP </t>
  </si>
  <si>
    <t xml:space="preserve">PROJECT ON THIRD EYE FOR BINDE PEOPLE (ELECTRONICS) </t>
  </si>
  <si>
    <t xml:space="preserve">ONGOING ZENSOR INTERNSHIP </t>
  </si>
  <si>
    <t xml:space="preserve">B.TECH PROJECT VISION GUIDE ROBOTICS FOR SORTING OVERWRAPPED AND UNDERWRAPPED PRODUCT BY CONVEYER BELT </t>
  </si>
  <si>
    <t xml:space="preserve">Python, Java, MYSQL </t>
  </si>
  <si>
    <t xml:space="preserve">Data Science For Python In Simplilearn Platform.
Cyber Security </t>
  </si>
  <si>
    <t xml:space="preserve">Attend the workshops on aptitude, programming from Let's gread up platform. </t>
  </si>
  <si>
    <t xml:space="preserve"> https://preskilet.com/tanvishah@mitaoe.ac.in </t>
  </si>
  <si>
    <t>https://drive.google.com/open?id=1QlazEWNK39Ey-VPOKtg8pXLgtxmoUjAW</t>
  </si>
  <si>
    <t>https://drive.google.com/open?id=1y2led8pY-XqbNaDOVCC1fN8BoyMUhoM9</t>
  </si>
  <si>
    <t>https://drive.google.com/open?id=1iodbJcW4vUo8Ja8pjRlA2HZQ7C3R8KvX</t>
  </si>
  <si>
    <t>https://drive.google.com/open?id=1lfhsaqIENQE-b540-BDC52-T6McaQ9Mv</t>
  </si>
  <si>
    <t>https://drive.google.com/open?id=1S2AHGTZFYsHVj6QDxBij-IwE7FhrU_wb</t>
  </si>
  <si>
    <t>https://drive.google.com/open?id=1vvp7yly8PuvpoLBf3705m4Bs_ml04Vm0</t>
  </si>
  <si>
    <t>https://drive.google.com/open?id=17J_IYgttXj6P5SLTTCfL2EnJb78BBNFU</t>
  </si>
  <si>
    <t>Actually by mistake I was uploaded any another student technical certification on my pdf and my TY AMCAT results also downloaded that time  so that's why I am updating my documents again .</t>
  </si>
  <si>
    <t>0120190015</t>
  </si>
  <si>
    <t>NILESH</t>
  </si>
  <si>
    <t>SAURKAR</t>
  </si>
  <si>
    <t>saurkarpratik@gmail.com</t>
  </si>
  <si>
    <t>https://www.linkedin.com/in/pratik-saurkar-2b0309197/</t>
  </si>
  <si>
    <t>NILESH SAURKAR</t>
  </si>
  <si>
    <t>NEHA SAURKAR</t>
  </si>
  <si>
    <t>Vaibhavi Heritage - 1 , Flat No F1 ,  Near DSK Green , Madha Colony , Datala Road , Chandrapur , Maharashtra</t>
  </si>
  <si>
    <t>Dyanwardhini Hostel , Hindavi Colony Rd Number 1, Vishweshwar Nagar, Dehu Phata, Alandi Maharashtra</t>
  </si>
  <si>
    <t>VLSI SoC Design using Verilog HDL</t>
  </si>
  <si>
    <t>Zensar-Employability Development Program</t>
  </si>
  <si>
    <t>Web design for everbody - University of Michigan/Coursera</t>
  </si>
  <si>
    <t>Getting Started with AWS Machine Learning -Amazon Web Services/Coursera</t>
  </si>
  <si>
    <t xml:space="preserve">Fenny Labs </t>
  </si>
  <si>
    <t>Sign Language to Audio Converter</t>
  </si>
  <si>
    <t>1) Participated in Datathon 
2)30 days of Google Cloud Program
3)IETE Intercollegiate Project Competition</t>
  </si>
  <si>
    <t>1st Runner Up in  National Level Event Datathon</t>
  </si>
  <si>
    <t xml:space="preserve">Core Member /Volunteer for TechnoPhilia'21 under SPARK Club MITAOE </t>
  </si>
  <si>
    <t>https://drive.google.com/file/d/180eYXyFV3tgcAtugh_ocqWb89u-jGwSy/view?usp=sharing</t>
  </si>
  <si>
    <t>https://drive.google.com/open?id=1qWkaXk2dIyEjj1ejXQWIYi6NcoUFJdvi</t>
  </si>
  <si>
    <t>https://drive.google.com/open?id=1ArLxkaxrDFxov2vb2u9xsnvj_MbbA86p</t>
  </si>
  <si>
    <t>https://drive.google.com/open?id=1GGDU6OTm1CQj_6M3pNV638veAKpXSnve</t>
  </si>
  <si>
    <t>https://drive.google.com/open?id=1hUbqSXFjRgC_T_kIRxGpo7Gp2LJMHtBC</t>
  </si>
  <si>
    <t>https://drive.google.com/open?id=16zL_xs1LCn9PylIvSC8UiPrvW1YZNun9</t>
  </si>
  <si>
    <t>https://drive.google.com/open?id=1BjGI9xEqmkIAV_eiKYip-60v0GfTEYvE</t>
  </si>
  <si>
    <t>https://drive.google.com/open?id=1AkE4JUIMMJRFIltvTgB_XQR1OuXUzVKV</t>
  </si>
  <si>
    <t>https://drive.google.com/open?id=1_7_B5b_OOZ-OJPKTSl-A8YQLjjgE7W_V</t>
  </si>
  <si>
    <t xml:space="preserve">AT the time of filling the form there was a glitch at amcat site so it was not showing the detailed report .So rather I had uploaded the screen shot .That's the reason I am re uploading the amcat results  </t>
  </si>
  <si>
    <t>0120190305</t>
  </si>
  <si>
    <t>BHAGWAT</t>
  </si>
  <si>
    <t>vaishnavibhagwat111@gmail.com</t>
  </si>
  <si>
    <t>https://www.linkedin.com/in/vaishnavi-bhagwat-15878b241/</t>
  </si>
  <si>
    <t>SHARDA</t>
  </si>
  <si>
    <t>A.P.Jeur(Ba.)Tal.,Dist.Ahmednagar</t>
  </si>
  <si>
    <t xml:space="preserve"> Maven Silicon: VLSI SoC Design using Verilog HDL  </t>
  </si>
  <si>
    <t>Vodafone Idea Foundation: Artificial Intelligence And Machine Learning</t>
  </si>
  <si>
    <t>Two Weeks Internship on Internet of Robotics Things from 20 October 2020 to 29 October 2020 organized by EdGate Technologies Pvt Ltd Bangalore under Texas Instruments India University Program.</t>
  </si>
  <si>
    <t>Robust Estimation of SOC for Vehicular Application</t>
  </si>
  <si>
    <t>https://preskilet.com/watch?v=62978b425545ea0004a927fd</t>
  </si>
  <si>
    <t>https://drive.google.com/open?id=12sZchePDZ_lRSI24PKgSwCg1YDsE9GaF</t>
  </si>
  <si>
    <t>https://drive.google.com/open?id=1_OkYt69b1qEur6r-RQ5RvRmWZWnNTp-x</t>
  </si>
  <si>
    <t>https://drive.google.com/open?id=1ErinA2Ih5wzQxpHFBmdhHl2OiOciI-i1</t>
  </si>
  <si>
    <t>0120190197</t>
  </si>
  <si>
    <t>YASHODHAN</t>
  </si>
  <si>
    <t>SHRIKANT</t>
  </si>
  <si>
    <t>ghuleyashodhan@gmail.com</t>
  </si>
  <si>
    <t>https://www.linkedin.com/in/yashodhang/</t>
  </si>
  <si>
    <t>Jai Niwas', B2, Behind Sandvik Colony, Dighi Road, Bhosari, Pune - 411039</t>
  </si>
  <si>
    <t>Microsoft Azure Fundamentals - AZ900, Microsoft Azure AI Fundamentals - AI900, Zensar Employability Skill Development Training - ESD</t>
  </si>
  <si>
    <t>Codechef CCDSAP - Foundational</t>
  </si>
  <si>
    <t>Completed training courses on Coursera and MATLAB.
Coursera - Python for Everyone
MATLAB - On-Ramp</t>
  </si>
  <si>
    <t>Company - The Sparks Foundation
Role - Data Science and Business Analytics Intern
Task - Perform the tasks allotted by the company using data science and analytics concepts. I built a supervised ML model which could predict the percentage of a student based on his/her study hours. The model was trained and tuned rigorously by me, finally giving a modest accuracy considering the randomness of the dataset.</t>
  </si>
  <si>
    <t>Internship: Cummins Technical Centre India, Kothrud, Pune. On-site intern for an engine testing and communications related R&amp;D project.
Project - Synchronized Speech and Video Synthesis by employing Deep Learning.
Brief - Given the sample audio and image/video sample, our project can generate artificially a complete video with proper audio modulations and facial expressions, in any given context of speaking as desired. The project won the 2nd runner up prize in Project Expo - 2022, organized by SCET in association with Computer Society of India.</t>
  </si>
  <si>
    <t>Python, Java, C/C++, HTML, CSS, JavaScript, SQL</t>
  </si>
  <si>
    <t>Proteus, MATLAB, Tableau, MS-Excel</t>
  </si>
  <si>
    <t>1) First prize in Quantum - project presentation competition organized by RIT College, Islampur. Consisted of more than 40 group entries. Showcased the SY project titled 'Smart Spectacles for Automated Criminal Detection using Deep Learning'.
2) 2nd runner up in Project Expo - 2022, organized by SCET - MITAOE in association with Computer Society of India. Consisted of 60+ group entries. Showcased the TY project titled 'Synchronized Speech and Video Synthesis by employing Deep Learning'.
3) Academic Topper - SY E&amp;TC department, with 9.67 CGPA (till SEM-IV)
4) Completed MS-AZ900 certification, Zensar ESD certification.</t>
  </si>
  <si>
    <t>Zensar - Employability Skills Development training.</t>
  </si>
  <si>
    <t xml:space="preserve">1) Core technical executive member of Codechef Club, MITAOE chapter.
2)Demonstrated and proven expertise in Taekwondo/Martial Arts. </t>
  </si>
  <si>
    <t>https://preskilet.com/watch?v=62b40db230b2800004522f11</t>
  </si>
  <si>
    <t>https://drive.google.com/open?id=1_vL18f5mLpjiDFNyuiLtBWl3Q5y0wIEm</t>
  </si>
  <si>
    <t>https://drive.google.com/open?id=1FMtc587C0A-qSpF_Y3WnWZQgvsYfU82G</t>
  </si>
  <si>
    <t>https://drive.google.com/open?id=1I9pZNPFtlCHFcyM1w6X5Mn_0qrrdW-hF</t>
  </si>
  <si>
    <t>https://drive.google.com/open?id=1hYuGv9Idh2im1EGdZ9elDIzuoZO5xOrY</t>
  </si>
  <si>
    <t>https://drive.google.com/open?id=1u891BhhQMDzLUbASV-TXsPEzephV2xfg</t>
  </si>
  <si>
    <t>https://drive.google.com/open?id=1KVfLMRJJ6s9Q6fiMJRMMTpHfkY-zHVVz</t>
  </si>
  <si>
    <t>https://drive.google.com/open?id=1J9gAaENsmzmTrYQii11YV1FUG6T07qAF</t>
  </si>
  <si>
    <t>https://drive.google.com/open?id=18Ma25dlgd2zTdB5AVxjRVh7D-VgL8C9Y</t>
  </si>
  <si>
    <t>https://drive.google.com/open?id=1L0A5VcLSHPhhWzJ77-fhIWAzhVLNkDS8</t>
  </si>
  <si>
    <t>1)Updated AMCAT reports as had added screenshots earlier.
2)Completed one more technical certification, hence added it.</t>
  </si>
  <si>
    <t>0120190371</t>
  </si>
  <si>
    <t>SHIVASHISH ROY</t>
  </si>
  <si>
    <t>VIJAYKUMAR</t>
  </si>
  <si>
    <t>ROY</t>
  </si>
  <si>
    <t>shivashishroy10@gmail.com</t>
  </si>
  <si>
    <t>https://www.linkedin.com/in/shivashish-roy-05a058212/</t>
  </si>
  <si>
    <t>VIJAYKUMAR ROY</t>
  </si>
  <si>
    <t>POONAM ROY</t>
  </si>
  <si>
    <t>A-2/10, Swajan CHS, Flat no- 401, Gen AK Vaidya Marg, Behind Krishna Vatika Temple, Gokuldham, Goregaon (East), Mumbai- 400063</t>
  </si>
  <si>
    <t xml:space="preserve">Flat 303, Near Sai Dham Girls Hostel ,Behind Pathak Mess, Alandi </t>
  </si>
  <si>
    <t>Microsoft AI-900: Microsoft Azure AI"</t>
  </si>
  <si>
    <t xml:space="preserve">Python training and internship with MSME
</t>
  </si>
  <si>
    <t>Embedded Internship at Aeron systems</t>
  </si>
  <si>
    <t>Ground Pentrating Radar for detection of pipes in wet wall</t>
  </si>
  <si>
    <t>Datathon 
Zensar Certification
VOIS by vodafone</t>
  </si>
  <si>
    <t>https://preskilet.com/watch?v=62b2bea3cd590700045fb2a2</t>
  </si>
  <si>
    <t>https://drive.google.com/open?id=1mfgjwLk2_zJe9COrqGm-B3fGPMdJtxhN</t>
  </si>
  <si>
    <t>https://drive.google.com/open?id=1jZ8uw_o3VakHp6GFQKdVD4tWNKBxSC-v</t>
  </si>
  <si>
    <t>https://drive.google.com/open?id=1o4etIlm6a_PnfJ7E0Ix42zXf_zXMml30</t>
  </si>
  <si>
    <t>https://drive.google.com/open?id=1PW4dSygLoZw4dR5Cqv6HxDsZ59jAhh3q</t>
  </si>
  <si>
    <t>https://drive.google.com/open?id=1TE_QOdpyhwp43kt2bUJ39krJ6RWYq1w5</t>
  </si>
  <si>
    <t>0120190028</t>
  </si>
  <si>
    <t xml:space="preserve">PRATYOOSH </t>
  </si>
  <si>
    <t>pratyooshanand00.17@gmail.com</t>
  </si>
  <si>
    <t>https://www.linkedin.com/in/pratyoosh-anand-559633190/</t>
  </si>
  <si>
    <t>PARITOSH KUMAR JHA</t>
  </si>
  <si>
    <t>NEELAM JHA</t>
  </si>
  <si>
    <t>House No. 494, Utkarsh Nagar,Behind Vatika Premiere Hotel, Bailey Road, Danapur,Patna-801503</t>
  </si>
  <si>
    <t>B-23,Concept Heritage,Opposite MITACSC,Alandi,Pune-412105</t>
  </si>
  <si>
    <t>Oracle Certified Foundation Associate</t>
  </si>
  <si>
    <t>Internshala-Internshala Student Program</t>
  </si>
  <si>
    <t>The Spark Foundation- Data Science and Business Analyst Intern</t>
  </si>
  <si>
    <t>Feynn Lab AI</t>
  </si>
  <si>
    <t>Dish Positioning System- The main aim of this project is to develop a system that will automatically position the dish antenna in the direction of maximum power</t>
  </si>
  <si>
    <t>Datathon 2022
Codebytes 2022</t>
  </si>
  <si>
    <t>Hosted IPL Auction 2022 under ESUMMIT MITAOE-2022</t>
  </si>
  <si>
    <t>https://preskilet.com/watch?v=62979a625545ea0004a928e3</t>
  </si>
  <si>
    <t>https://drive.google.com/open?id=1LRtukt3X9IHdpYg3O0-It9lvqQ3--PhI</t>
  </si>
  <si>
    <t>https://drive.google.com/open?id=1sgXl71WGOvAlLiwhpo5RZ45fgolR7zh7</t>
  </si>
  <si>
    <t>https://drive.google.com/open?id=1PadVKFmMI2sVo6OUAzoLZZ9FLZNoiazl</t>
  </si>
  <si>
    <t>https://drive.google.com/open?id=1kCkghpytPmB7PTy3lcmVQnRNj6Q3-dgg</t>
  </si>
  <si>
    <t>https://drive.google.com/open?id=1WooSIhiVGkCxPcrwaqbfDv6AnxXPI7ox</t>
  </si>
  <si>
    <t>https://drive.google.com/open?id=1U630HA3z3JUTA_cr1rVJoukcjQbAtG6t</t>
  </si>
  <si>
    <t>0120190072</t>
  </si>
  <si>
    <t>ASHVIN</t>
  </si>
  <si>
    <t>WADPELLI</t>
  </si>
  <si>
    <t>atharvawadpelli727@gmail.com</t>
  </si>
  <si>
    <t>www.linkedin.com/in/atharvawadpelli</t>
  </si>
  <si>
    <t>HEMANGI</t>
  </si>
  <si>
    <t>Vasant Vihar, Parande Nagar, Behind Mrunal Hotel, Alandi Road, Dighi, Pune - 411015</t>
  </si>
  <si>
    <t>Microsoft AZ-900: Azure Fundamentals</t>
  </si>
  <si>
    <t>Zensar Employee Skill Development Program</t>
  </si>
  <si>
    <t>Python Data Structures, Coursera</t>
  </si>
  <si>
    <t>Web development Course on Internshala</t>
  </si>
  <si>
    <t>Intern at PrimaThink Technologies Private Limited</t>
  </si>
  <si>
    <t>30 Days Google Cloud
Exemplar</t>
  </si>
  <si>
    <t>1st Runner-up in "Exemplar"</t>
  </si>
  <si>
    <t>https://preskilet.com/62977c175545ea0004a92740</t>
  </si>
  <si>
    <t>https://drive.google.com/open?id=1O6fB0lZ9bJ-8KlqwWuL8I7texYh8Fyp8</t>
  </si>
  <si>
    <t>https://drive.google.com/open?id=1rxwV2zfFUhY91pkj1loawD8ESbtG7Eqr</t>
  </si>
  <si>
    <t>https://drive.google.com/open?id=1CTyVrvVSDw6V-34z7qX5kojVi8CG70IS</t>
  </si>
  <si>
    <t>0120190563</t>
  </si>
  <si>
    <t>CHANDAN</t>
  </si>
  <si>
    <t>yadavchandan597@gmail.com</t>
  </si>
  <si>
    <t>https://www.linkedin.com/in/chandan-yadav-88b006234</t>
  </si>
  <si>
    <t>JAI NATH YADAV</t>
  </si>
  <si>
    <t>INDU YADAV</t>
  </si>
  <si>
    <t xml:space="preserve">Pathkhauli, opp harshita health clinic, zerrabasti, ballia(277001), U. P. </t>
  </si>
  <si>
    <t>J1 508 TANISH SHRUSTI, MARKAL ROAD ALANDI</t>
  </si>
  <si>
    <t>Cybersecurity Foundation-Palo Alto Networks Cybersecurity Academy</t>
  </si>
  <si>
    <t>Learntoupgrade and Makeintern
Role : Content Writer  ( 29/5/2020 -29/6/2020)</t>
  </si>
  <si>
    <t xml:space="preserve">IOT Project Development using Industry Grade Microcontroller  under Anand Techno Creation (28/6/2021-28/7/2021)
Learned about embedded coding in c using MPLABXIDE, about Proteus and pickit3  </t>
  </si>
  <si>
    <t xml:space="preserve">Cybersecurity Virtual Internship ( March - May 2022) Supported by paloalto, organized by AICTE and EduSkills.
Aneja Management Consultant (13/06/2022- 13/08/2022) </t>
  </si>
  <si>
    <t>An automatic extractive english text summarization</t>
  </si>
  <si>
    <t xml:space="preserve">1)  Participated in DATATHON 2022 - National Level Technical Event  organized by MITAOE PUNE under Equilibrium 2022
2) Participated in  Impetus , an International Level Technical Symposium organized by PICT PUNE
3) Robotics workshop organised by Robocon </t>
  </si>
  <si>
    <t>Zensar ESD training  organized by Zensar</t>
  </si>
  <si>
    <t xml:space="preserve"> Participated in Nakshtra 2022, as a  Hindi Formal Anchor. </t>
  </si>
  <si>
    <t>https://preskilet.com/watch?v=62976ace5545ea0004a92691</t>
  </si>
  <si>
    <t>https://drive.google.com/open?id=10ZTyF5AYNlMTvedJIz5JrkPzui4vNeVW</t>
  </si>
  <si>
    <t>https://drive.google.com/open?id=1znfvSsThOJ2WxTBnQybBOGoTqkMyH4-3</t>
  </si>
  <si>
    <t>https://drive.google.com/open?id=1TJtFXLcePxXdRrmSnCSzxjKKdoyF1fVX</t>
  </si>
  <si>
    <t>https://drive.google.com/open?id=1PQOROynMoAx26MIAghiEiRDt1uTHcZzU</t>
  </si>
  <si>
    <t>https://drive.google.com/open?id=12bPEMaD59pFPS-WApiltUP-HqiC-Mhyz</t>
  </si>
  <si>
    <t>https://drive.google.com/open?id=1S1RSU0iwS1oaOYFMlmtJdyUKHOwHSJux</t>
  </si>
  <si>
    <t>sy and ty amcat report</t>
  </si>
  <si>
    <t>0220200029</t>
  </si>
  <si>
    <t>SAUMYA</t>
  </si>
  <si>
    <t>BAND</t>
  </si>
  <si>
    <t>saumyaband18@gmail.com</t>
  </si>
  <si>
    <t>https://www.linkedin.com/in/saumy-band-1aa29a219/</t>
  </si>
  <si>
    <t>YASHODA NAGAR-1, AMRAVATI</t>
  </si>
  <si>
    <t>HINDAVI COLONY-1, DEHU PHATA, ALANDI</t>
  </si>
  <si>
    <t>VLSI SoC Design using Verilog HDL: Maven Silicon</t>
  </si>
  <si>
    <t>Coder's Python: Homeflic Wegrow
MATLAB Onramp: Mathworks</t>
  </si>
  <si>
    <t>SY Internship: NA;
SY Project: Smart Dustbin, a bin built on a microcontroller-based platform Arduino Uno board which is interfaced with Ultrasonic sensor and Servo motor by which the bin can open and close automatically &amp; gives the status of the waste present in the bin to the user.</t>
  </si>
  <si>
    <t>Internship: Geeta Technologies Pvt Ltd, Nigdi, Pimpri Chinchwad;
TY Project: Military Surveillance System Based on IoT - To monitor the intruder by using various sensors(gas, humidity, temperature &amp; ultrasonic) and to provide live streaming of video to Military Base.</t>
  </si>
  <si>
    <t>Diploma project: Controlling of electrical appliances using IoT, Using NodeMCU &amp; Relay Module, Controls are on cloud, Easy &amp; anyone (who has credentials) can control</t>
  </si>
  <si>
    <t>Python, C/C++, Embedded Programming Language, Microcontroller Language</t>
  </si>
  <si>
    <t>1. Participated in PICT's InC'22 event
2. Participated in Datathon'22 in MITAOE</t>
  </si>
  <si>
    <t>Bagged 1st Prize for Project Presentation in PICT's InC'22 (International level) event for "Military Surveillance System based on IoT" project</t>
  </si>
  <si>
    <t xml:space="preserve">1. Head of Icons' team in college magazine club, AjaanVriksha for 21-22
2. In CR coordinator committee </t>
  </si>
  <si>
    <t>https://preskilet.com/watch?v=62b4318230b280000452312a</t>
  </si>
  <si>
    <t>https://drive.google.com/open?id=11c35ZaPkrYq9_e8vTIvWdpxWxyCRgi17</t>
  </si>
  <si>
    <t>https://drive.google.com/open?id=1jzL_He5vxng2XvukxV5Ac_c7yLrn53Ln</t>
  </si>
  <si>
    <t>https://drive.google.com/open?id=1yGxmi9aUX0TouCCOkh1tvrqMZjoUxvMz</t>
  </si>
  <si>
    <t>https://drive.google.com/open?id=1E7yikK9M1MtADW5UR5i16SAAftRgh-zH</t>
  </si>
  <si>
    <t>Added Internship details</t>
  </si>
  <si>
    <t>0120190123</t>
  </si>
  <si>
    <t>PUNDLIK</t>
  </si>
  <si>
    <t>ganeshnaik152001@gmail.com</t>
  </si>
  <si>
    <t>https://www.linkedin.com/in/ganesh-naik-7b59271ba/</t>
  </si>
  <si>
    <t xml:space="preserve">PUNDLIK </t>
  </si>
  <si>
    <t>SHARMILA</t>
  </si>
  <si>
    <t>Sr. no. 84/1/1, Saipark, Dighi, Pune - 411015</t>
  </si>
  <si>
    <t xml:space="preserve">Palo Alto Cyber Security </t>
  </si>
  <si>
    <t>Maven Silicon Certificate</t>
  </si>
  <si>
    <t>I have done coursera Python programming internship.</t>
  </si>
  <si>
    <t>I have done internship from Texas Instruments. In which they taught and gave experienced me about the microcontrollers and about the electronics importance in todays world.</t>
  </si>
  <si>
    <t xml:space="preserve">I am currently doing my offline Internship from Intellect Process Solutions, in which I am working on ESP32 WROOM, MSP430, PIC32 and PIC16 Microcontrollers and also on Embedded C. In this Internship I have to design and state diagrams and requirements and based on this I have to develop documentation, classes and then proceed for the software development. </t>
  </si>
  <si>
    <t>Robust Estimation of SOC for Electric Vehicles</t>
  </si>
  <si>
    <t>Android Development (Java/Kotlin), Django (Python)</t>
  </si>
  <si>
    <t>AutoCAD, Fusion 360, Proteus, MATLAB, KiCad</t>
  </si>
  <si>
    <t>I have participated in Shutterbugs Photography events and I was also the member of Shutterbug Photography Club. And I also like reading books.</t>
  </si>
  <si>
    <t>https://preskilet.com/watch?v=6297b0635545ea0004a92a29</t>
  </si>
  <si>
    <t>https://drive.google.com/open?id=1OYpy6kcWNN2D2KtO4LPaD1j8kxUkmD0b</t>
  </si>
  <si>
    <t>https://drive.google.com/open?id=1BIn8TeO-9-ThZUcPdzTOqgNJITfi0X1I</t>
  </si>
  <si>
    <t>https://drive.google.com/open?id=1aTc78zp-tvPu0HnI48O46BRGIj7XaCfp</t>
  </si>
  <si>
    <t>https://drive.google.com/open?id=1MM9jc5zaSg0zDLlKjtTofVV_FQrngLUM</t>
  </si>
  <si>
    <t>https://drive.google.com/open?id=1PYFE1wiFXDFereoNYcJBOD6JLbGfe8dT</t>
  </si>
  <si>
    <t>By mistakenly I have uploaded wrong pdf's. I just uploaded the right pdf's.</t>
  </si>
  <si>
    <t>0120190259</t>
  </si>
  <si>
    <t>pratikkale152@gmail.com</t>
  </si>
  <si>
    <t>https://www.linkedin.com/in/pratik-kale-b5351a230</t>
  </si>
  <si>
    <t>At Post - Koparde Tal  Khandala Dist - Satara</t>
  </si>
  <si>
    <t>At Post - Alandi Tal - Khed Dist - Pune</t>
  </si>
  <si>
    <t>Cloud Infrastructure Foundations : Oracle University</t>
  </si>
  <si>
    <t>Programming for Everybody - Python</t>
  </si>
  <si>
    <t>Internship -Mastering in C++ (udemy)</t>
  </si>
  <si>
    <t>Internship - CopperCloud IOTech Pvt Ltd</t>
  </si>
  <si>
    <t>Hand Sanitizer Dispenser Integrated With Temperature And Oxygen Sensor</t>
  </si>
  <si>
    <t>https://preskilet.com/watch?v=6297b5ad5545ea0004a92a54</t>
  </si>
  <si>
    <t>https://drive.google.com/open?id=1lVGG-QbLF3K7Z_kYZXIetifm_wOev-KL</t>
  </si>
  <si>
    <t>https://drive.google.com/open?id=14_awr6TmnpqDis1o4Shk4qEDzzz1CCdO</t>
  </si>
  <si>
    <t>https://drive.google.com/open?id=1PC9wnEvwf3xO625k-eMEbd2U7fgHR1HT</t>
  </si>
  <si>
    <t>https://drive.google.com/open?id=1JokVsMcZt-1Ae5lHkEQymBKzK_xA2qfl</t>
  </si>
  <si>
    <t>https://drive.google.com/open?id=1aAD33sjkDbOvKpQxc8Gp8Wi-j2cDlxDp</t>
  </si>
  <si>
    <t>https://drive.google.com/open?id=1Mhb3meK-tX4AMhY48IcpPfLatRzq8Wbm</t>
  </si>
  <si>
    <t>0120190055</t>
  </si>
  <si>
    <t>LOKESH</t>
  </si>
  <si>
    <t>DHANRAJ</t>
  </si>
  <si>
    <t>BHANGALE</t>
  </si>
  <si>
    <t>lokeshbhangale89@gmail.com</t>
  </si>
  <si>
    <t>www.linkedin.com/in/lokesh-bhangale-327793217</t>
  </si>
  <si>
    <t>RITA</t>
  </si>
  <si>
    <t>SR. NO 133/1, PLOT NO, 32, YAMUNA NAGAR, JALGAON - 425001</t>
  </si>
  <si>
    <t>Palo Alto - Cybersecurity Virtual Internship</t>
  </si>
  <si>
    <t>Oracle Cloud Infrastructure Foundations 2021</t>
  </si>
  <si>
    <t>Zensar ESD Training Certification,
Microsoft AI-900: Microsoft Azure AI</t>
  </si>
  <si>
    <t>Completed Course on Fundamentals of Project Planning and
Management from Coursera</t>
  </si>
  <si>
    <t>Completed course on Web Development from Internshala</t>
  </si>
  <si>
    <t>Internship in Machine Learning &amp; Data Science at VIEH Group</t>
  </si>
  <si>
    <t>Smart Event Management Platform with Artificial Intelligence and Machine Learning</t>
  </si>
  <si>
    <t>Django (Python), Rasa (Python)</t>
  </si>
  <si>
    <t>MATLAB, Visual Studio, Pycharm, Intellij IDE</t>
  </si>
  <si>
    <t>1) Participated in “Technical Session on Software Foundation” conducted by e-Yantra IIT Bombay
2) Participated in "Build a face recognition application using python" as a part of AI-For-India Event 
3) Participated in State Level Project Competition M-EXHIBIT 2K22</t>
  </si>
  <si>
    <t>Zensar Employability Skill Development Program
Company Name - Zensar Technologies Pvt. Ltd
Machine Learning
Company Name - Simplilearn
Crash course on Python
Company Name - Coursera</t>
  </si>
  <si>
    <t>1) Participated in Online Chess Competition by Chess Club MITAOE
2) Attended "How Swiggy Chatbot Works" by TechLearn</t>
  </si>
  <si>
    <t>https://preskilet.com/watch?v=62987c111eda900004ec10ef</t>
  </si>
  <si>
    <t>https://drive.google.com/open?id=11rO10lAjWKETGeFNLvQGg_XRIuuW0slp</t>
  </si>
  <si>
    <t>https://drive.google.com/open?id=1F6y5K8LMaGZYuAV7UQVG_7u_w8sariUD</t>
  </si>
  <si>
    <t>https://drive.google.com/open?id=1H6zrokU629mUD1ZR1gtACJRs412iOJbY</t>
  </si>
  <si>
    <t>https://drive.google.com/open?id=1cexYdFuLDu5NvnEDyrjsnL9P-NFs34rm</t>
  </si>
  <si>
    <t>https://drive.google.com/open?id=1QisyaZRDDDMJjBLjIZfHLFKA1N_kfZFD</t>
  </si>
  <si>
    <t>https://drive.google.com/open?id=1tGDAD4RBSXSsInTkTp9tc-zRVGDBhOPo</t>
  </si>
  <si>
    <t>https://drive.google.com/open?id=1SALW-3vH5YukCoBWAJ3dxifRQJkKghZI</t>
  </si>
  <si>
    <t>https://drive.google.com/open?id=12ubOmldHue3YKOtOjI4bBf7Wa1Md5HHA</t>
  </si>
  <si>
    <t xml:space="preserve">I have updated branch, amcat reports and added few more certifications </t>
  </si>
  <si>
    <t>0120190378</t>
  </si>
  <si>
    <t>TRIVENI</t>
  </si>
  <si>
    <t xml:space="preserve">GAIDHANE </t>
  </si>
  <si>
    <t>trivenisuresh722@gmail.com</t>
  </si>
  <si>
    <t>https://www.linkedin.com/in/triveni-gaidhane-b8a0951ab/</t>
  </si>
  <si>
    <t>SONU</t>
  </si>
  <si>
    <t>Harikripa Sadan, Shioni, Taluka - Lakhani, District-Bhandara, Maharashtra 441809</t>
  </si>
  <si>
    <t>Shrushti Girls Hostel, Alandi</t>
  </si>
  <si>
    <t xml:space="preserve">AS105T- Calculus And Differential Equation
CV102T- Applied Mechanics </t>
  </si>
  <si>
    <t>MAVEN SILICON VLSI</t>
  </si>
  <si>
    <t>AWS Cloud Practitioner</t>
  </si>
  <si>
    <t>CISCO Python Basic</t>
  </si>
  <si>
    <t>Smriti Foundation as a Content Writer</t>
  </si>
  <si>
    <t xml:space="preserve">Anand Techno Creation in IoT Project Development using Industry Grade Microcontroller and to integrate it with AWS
Viral Fission as a campus ambassador
Bhanktivedanta as a Digital Marketer </t>
  </si>
  <si>
    <t>CoreOcean as a web developer</t>
  </si>
  <si>
    <t>Contagious Disease Control System</t>
  </si>
  <si>
    <t>Sanskrit, Marathi, Hindi</t>
  </si>
  <si>
    <t>Women Hackthon
IETE project Competition
IEEE project competition</t>
  </si>
  <si>
    <t xml:space="preserve">Best Speaker Award
Inspired Award and many more </t>
  </si>
  <si>
    <t xml:space="preserve">Python certification Training
Web development certification Training and many more </t>
  </si>
  <si>
    <t xml:space="preserve">CR and Placement Coordinator ENTC
Magazine Secretary AV MITAOE
member of Literary Club
Member of Spark Club
Section Head of Marathi Section 
Best Anchor award from MITAOE
And many more </t>
  </si>
  <si>
    <t>https://preskilet.com/tsgaidhane@mitaoe.ac.in</t>
  </si>
  <si>
    <t>https://drive.google.com/open?id=1h6nXQ8XxNkWtEdJ3ij1ehlT4z2FAQz3x</t>
  </si>
  <si>
    <t>https://drive.google.com/open?id=1n9WtyJiRtJBFxykiww_hj78_PdX6jbtD</t>
  </si>
  <si>
    <t>https://drive.google.com/open?id=1NcRqeufrJtvaR0Mh_EGArwndcnanLa7V</t>
  </si>
  <si>
    <t>https://drive.google.com/open?id=1xBCoh9YAYZyA2ZHzJ7yGP2ygogB8GHF6</t>
  </si>
  <si>
    <t>https://drive.google.com/open?id=1-tk1WOJL4IQnZYoaaXejfPvWqP3bcha_</t>
  </si>
  <si>
    <t>https://drive.google.com/open?id=1vrChHvLbToMtquQfyXz0rJ3YFu87R3LW</t>
  </si>
  <si>
    <t>0120190633</t>
  </si>
  <si>
    <t>AMIT</t>
  </si>
  <si>
    <t>amit0007anand@gmail.com</t>
  </si>
  <si>
    <t>https://www.linkedin.com/in/amit-anand-1262111a8/</t>
  </si>
  <si>
    <t>SUBHASH PRASAD BARANWAL</t>
  </si>
  <si>
    <t>REKHA KUMARI</t>
  </si>
  <si>
    <t>Mahuri Tola, Tarcha Gali, Post &amp; Dist. Sheikhpura  (Bihar) - 811105</t>
  </si>
  <si>
    <t>Flat no. 202, PremSai Apartment, Alandi-Moshi Road, Alandi, Pune - 412105</t>
  </si>
  <si>
    <t>Oracle Cloud Infrastructure Foundations Associate</t>
  </si>
  <si>
    <t>Microsoft AZ-900</t>
  </si>
  <si>
    <t>Done course on basics of python and data structures on python.</t>
  </si>
  <si>
    <t>Worked under The Sparks Foundations to develop a webpage using HTML,CSS and JavaScript and integrated payment gateway using Razor pay.</t>
  </si>
  <si>
    <t>Working as Machine Learning Intern, I will be responsible for the planning, organizing, and directing as well as managing and a thorough evaluation on a daily basis of the tasks within the company.</t>
  </si>
  <si>
    <t>Facial recognition based attendance system using machine learning.</t>
  </si>
  <si>
    <t>Completed Cloud Engineering Track and Data Science &amp; Machine Learning Track in 30 Days of Google Cloud Program 2021.</t>
  </si>
  <si>
    <t>Participated in "Code Bytes", a National Level Technical Event by Codechef MITAOE.</t>
  </si>
  <si>
    <t>https://preskilet.com/amitanand@mitaoe.ac.in</t>
  </si>
  <si>
    <t>https://drive.google.com/open?id=1EbSSSBxhZ9La9sRLPhR-nARkbxdp_35P</t>
  </si>
  <si>
    <t>https://drive.google.com/open?id=1aG3Z32lBfQY7SZuTQZOInNzz7--wa9Fe</t>
  </si>
  <si>
    <t>https://drive.google.com/open?id=121rSq88M70kLXf1v_FaznSyuuGMTsYC6</t>
  </si>
  <si>
    <t>https://drive.google.com/open?id=1qgwM3CRd_uvuGbBWiYF3tShkyxSZd-cv</t>
  </si>
  <si>
    <t>https://drive.google.com/open?id=1VJNFDRPlSYEDqCVy9yPzl8zoS43QrT8E</t>
  </si>
  <si>
    <t>https://drive.google.com/open?id=1h0XyVU1dJpHJaaDKaCvni0x_7UH9OTOY</t>
  </si>
  <si>
    <t>0120190058</t>
  </si>
  <si>
    <t>PRACHITI</t>
  </si>
  <si>
    <t>prachiti865@gmail.com</t>
  </si>
  <si>
    <t>https://www.linkedin.com/in/prachiti-raut-0993021ba/</t>
  </si>
  <si>
    <t>SANTOSH TUKARAM RAUT</t>
  </si>
  <si>
    <t>KALPANA SANTOSH RAUT</t>
  </si>
  <si>
    <t>Om boy's hostel, Near New MIT College of Arts, Commerce and science, Dehuphata, Alandi, Pune 412-105</t>
  </si>
  <si>
    <t>Python Data Structure: This course covered the core data structures of the Python programming language. In this course I have learned the basics of procedural programming and explore how we can use the Python built-in data structures such as lists, dictionaries, and tuples to perform increasingly complex data analysis. This course covers Python 3.</t>
  </si>
  <si>
    <t>Web Development: The Web Development Training by Internshala is a 6-weeks training program in the fields of HTML, CSS, Bootstrap, PHP, and MySQLi. In this training program, I have learn multiple web technologies that will enable me to create my own web projects. 
I learn through video tutorials. This training program is packed with assignments, assessment tests, code challenges, quizzes, and exercises.</t>
  </si>
  <si>
    <t>VIEH Group: It is a Cyber Security cum IT company which provides training in several Cybersecurity domains as well sever services like  WAPT, VAPT, red teaming , website development, software development. In this company Currently I'm doing "Phishing URL
Detection" project as a Data science Internship. It is 30 days online internship.</t>
  </si>
  <si>
    <t>Stress Detection using EEG Signal</t>
  </si>
  <si>
    <t>Python, Java, C/C++, MATLAB</t>
  </si>
  <si>
    <t>Kaggle Machine Learning Competition, Art competition, Photography competition</t>
  </si>
  <si>
    <t>https://preskilet.com/watch?v=62a302dea6956a00045ff67d</t>
  </si>
  <si>
    <t>https://drive.google.com/open?id=1mNzSTRCGbPmuCMm-KSouJfc-zkzQMBKA</t>
  </si>
  <si>
    <t>https://drive.google.com/open?id=1_DIRWIvm6h75lFxz5xA7_EGY_WNk-_ot</t>
  </si>
  <si>
    <t>https://drive.google.com/open?id=1rcqYFwDDd_3TQci7wAbIxQ9NxbkLPnbj</t>
  </si>
  <si>
    <t>https://drive.google.com/open?id=178_BqZ054XwQbnYBbshl3DYuGXTjCj3U</t>
  </si>
  <si>
    <t>https://drive.google.com/open?id=1ylOadL5VoacKH8S0ze0XVkcbvS3EeFnf</t>
  </si>
  <si>
    <t>https://drive.google.com/open?id=1G8GeeDDQUYD-ra3wRjeZbGQuZ6fGUvj8</t>
  </si>
  <si>
    <t>https://drive.google.com/open?id=1nLLuEtu34-5DMswtooBuAzIJBg73l-rM</t>
  </si>
  <si>
    <t>Technical Certifications: First time I have uploaded Machine learning for MATLAB as Industry Certifications because at that time I didn't had any Technical Certifications. After that I gave Microsoft AI 900 exam. So this Microsoft certificate I'm updating as a Technical Certifications.</t>
  </si>
  <si>
    <t>0120190544</t>
  </si>
  <si>
    <t>HARSH</t>
  </si>
  <si>
    <t>AGARWAL</t>
  </si>
  <si>
    <t>harshagarwal312@gmail.com</t>
  </si>
  <si>
    <t>www.linkedin.com/in/  harsh-agarwal-b33089227</t>
  </si>
  <si>
    <t xml:space="preserve">MANOJ MANOHARLAL AGARWAL </t>
  </si>
  <si>
    <t xml:space="preserve">SUMAN MANOJ AGARWAL </t>
  </si>
  <si>
    <t>Shri Sai row housing cooperative society,G-750, mhada colony</t>
  </si>
  <si>
    <t>https://drive.google.com/file/d/1M3yhQBy1W3-pP2ye7PuZyQBDG4yLQOci/view?usp=sharing</t>
  </si>
  <si>
    <t>Summer Internship by Techgyan Technologies</t>
  </si>
  <si>
    <t>Summer internship at Suzlon One Earth
Project: Book Recommendation System</t>
  </si>
  <si>
    <t>UG Project Exhibition Competition in Modern College</t>
  </si>
  <si>
    <t>Management and Coordinator of Annual fest - Nakhatra
Class coordinator
TnP student coordinator</t>
  </si>
  <si>
    <t>https://preskilet.com/watch?v=629b13ab7e67b10004ac2484</t>
  </si>
  <si>
    <t>https://drive.google.com/open?id=1aPsxAwu-Z-Kj_jDBQmLTIg9h_BFPppY0</t>
  </si>
  <si>
    <t>https://drive.google.com/open?id=16kHvbtrR6ddUxLcNvBpiIPvtAi8W4k1E</t>
  </si>
  <si>
    <t>https://drive.google.com/open?id=1pUbGbAyYFyvBk8gst0zxEHydhhohXrdw</t>
  </si>
  <si>
    <t>https://drive.google.com/open?id=1uUzHKQ6DvcrLti77-P12EqQcKJ_HT9Go</t>
  </si>
  <si>
    <t>https://drive.google.com/open?id=1Q44P4KIwUSm8fkiX1JzucXqci3-PdyH8</t>
  </si>
  <si>
    <t xml:space="preserve">i updated my AMCAT result </t>
  </si>
  <si>
    <t>0120190362</t>
  </si>
  <si>
    <t>ANSH</t>
  </si>
  <si>
    <t>SHRIWAS</t>
  </si>
  <si>
    <t>anshshriwas1600@gmail.com</t>
  </si>
  <si>
    <t>www.linkedin.com/in/ansh-shriwas</t>
  </si>
  <si>
    <t>ASHOK BAJRANGLAL SHRIWAS</t>
  </si>
  <si>
    <t>SANDHYA ASHOK SHRIWAS</t>
  </si>
  <si>
    <t>Vidarbh Housing Society,  Bajoriya Nagar, Yavatmal 445001.</t>
  </si>
  <si>
    <t>Hindavi Colony Rd number1, Vishweshwar Nagar, Dehu Phata, Maharashtra 412105.</t>
  </si>
  <si>
    <t>Microsoft AI-900
Microsoft DP-900</t>
  </si>
  <si>
    <t>Social Media Marketing at Humari Pahachan NGO
Fund Raising, Poster making and Digital Marketing</t>
  </si>
  <si>
    <t>Data Analytics at Younity.In 
Worked on a project where we, predicted bankruptcy of a company by applying data visualization
techniques &amp; various machine learning algorithms.</t>
  </si>
  <si>
    <t>Machine Learning Intern at Feynn Lab Services.
Working on AI based Project</t>
  </si>
  <si>
    <t>Sign Language Recognition System</t>
  </si>
  <si>
    <t>Python, C/C++, SQL</t>
  </si>
  <si>
    <t>1. Datathon 2K22
2. 30 Days Of Google Cloud
3. AWS Community Day South Asia 2021</t>
  </si>
  <si>
    <t>Secretary Of Art Club, Hosted Multiple College Fests</t>
  </si>
  <si>
    <t>https://preskilet.com/watch?v=629a5b42f2f4ce0004f459e3</t>
  </si>
  <si>
    <t>https://drive.google.com/open?id=1dBpm1hsvfZxzRNX-bH7gWwC0fup-6rQ9</t>
  </si>
  <si>
    <t>https://drive.google.com/open?id=1kFoySlGCSzWrO1l1FW6CUmaUvTnPySDg</t>
  </si>
  <si>
    <t>https://drive.google.com/open?id=1seQCFtQmXuVZ9X5Xlwc9RZnKWVRpTQ1O</t>
  </si>
  <si>
    <t>https://drive.google.com/open?id=1zT05jrhACGs_l2sSzMOyfKDsJ0VsHQ8s</t>
  </si>
  <si>
    <t>https://drive.google.com/open?id=1iJbGaC5QZwX_lh6RS-pQFXp4Zq2jTBx5</t>
  </si>
  <si>
    <t>https://drive.google.com/open?id=1xxFgk1z7tpFDV9BpWmwCcEav29n2rCTp</t>
  </si>
  <si>
    <t>https://drive.google.com/open?id=1LNXfTWy-9X3YyzkDhwATxCJKTC-zPX7u</t>
  </si>
  <si>
    <t>https://drive.google.com/open?id=1wDLxRDN4OlVwHyfPuSwUbTt5zvkyOkby</t>
  </si>
  <si>
    <t>SY AMCAT Results because report wasn't available earlier on AMCAT platform.</t>
  </si>
  <si>
    <t>0120190201</t>
  </si>
  <si>
    <t>SANKALP</t>
  </si>
  <si>
    <t>VIJAY</t>
  </si>
  <si>
    <t>GHODKE</t>
  </si>
  <si>
    <t>ghodkesankalp@gmail.com</t>
  </si>
  <si>
    <t>https://www.linkedin.com/in/sankalp-ghodke-327a91219</t>
  </si>
  <si>
    <t>VIJAY GHODKE</t>
  </si>
  <si>
    <t>SUVARNA GHODKE</t>
  </si>
  <si>
    <t>Lokmanya Nagar Parbhani</t>
  </si>
  <si>
    <t>CS101T LOGIC DEVELOPEMENT - C PROGRAMMING
CV102T APPLIED MECHANICS</t>
  </si>
  <si>
    <t>Company - GVL ELECTRO CONTROLS PVT LTD
Mentor - Akshay Hole Sir</t>
  </si>
  <si>
    <t>Intelligent Traffic Management System</t>
  </si>
  <si>
    <t>Active member of Robinhood Army</t>
  </si>
  <si>
    <t>https://preskilet.com/watch?v=62b4732930b280000452337d</t>
  </si>
  <si>
    <t>https://drive.google.com/open?id=1YEaNmVn6pOK8rPUfbUqbnRXXFtfysge3</t>
  </si>
  <si>
    <t>https://drive.google.com/open?id=1f3THgGDY9vj36EIpQBLYBaZ6gJ_hQbWy</t>
  </si>
  <si>
    <t>https://drive.google.com/open?id=12PBadRhz6BUuHAgyESapREWAZwEtBGbd</t>
  </si>
  <si>
    <t>https://drive.google.com/open?id=1PTcURyLHQHxtvpoPBXH8_xQYsyiAPyQz</t>
  </si>
  <si>
    <t>https://drive.google.com/open?id=1JZDepHeT9kT3Ec4bIWKeESWW-CHJC_7_</t>
  </si>
  <si>
    <t>0120190023</t>
  </si>
  <si>
    <t>CHATAK</t>
  </si>
  <si>
    <t>shindechatak11@gmail.com</t>
  </si>
  <si>
    <t>https://www.linkedin.com/in/chatak-shinde-8a211a1a6/</t>
  </si>
  <si>
    <t xml:space="preserve">VITTHAL </t>
  </si>
  <si>
    <t>ALAKA</t>
  </si>
  <si>
    <t>1378, Saptashrungi, Hou. Soa. Rupeenagar, Talawade,Pune - 411062.</t>
  </si>
  <si>
    <t>Microsoft AZ-900: Microsoft Azure Fundamentals
Microsoft DT-900: Microsoft Azure Data Fundamentals</t>
  </si>
  <si>
    <t>Python Data Structures by Coursera</t>
  </si>
  <si>
    <t>C++ For C Programmers by Coursera</t>
  </si>
  <si>
    <t>Intern at Feynn Labs,
Internship &amp; Research: Projects Assigned (under a Mentor)
1. AI Product/Services Prototyping (under Feynn Labs AI Incubator Program)
2. Large Scale Predictive Market Segmentation using Machine Learning &amp; Data Analysis (under Feynn Labs Consultancy Services)
3. AI Product/Service Business &amp; Financial Modelling using Machine Learning 
Consultancy Details:
IPCEB Building, Boragaon, Guwahati
Assam, India
Pin: 781011</t>
  </si>
  <si>
    <t xml:space="preserve">Touchless Doorbell
Sign Language to Audio Converter
Handwritten Text Recognition </t>
  </si>
  <si>
    <t>1. Class Representative (CR) of TY E&amp;TC at MIT Academy of Engineering for the academic year 2021-22.
2. Spark Club member at MIT Academy of engineering from the year 2021.
3. Participated in “IETE Intercollegiate Project Competition 2021” organized by “The Institute of Electronics and Telecommunication Engineers (IETE), Pune”.
4. Corporate Relation Student Coordinator for Electrical Department.</t>
  </si>
  <si>
    <t>https://preskilet.com/watch?v=629a1743f2f4ce0004f45956</t>
  </si>
  <si>
    <t>https://drive.google.com/open?id=1Vg9m8UNlhKh1gC60RRhHWwvwNCyubfZE</t>
  </si>
  <si>
    <t>https://drive.google.com/open?id=15ivt1rIsQFtnF0aLYP46hlZ1C9z__QCt</t>
  </si>
  <si>
    <t>https://drive.google.com/open?id=1ZFaYDU9Czyyp07or6DXihMw8LPmmLGhZ</t>
  </si>
  <si>
    <t>https://drive.google.com/open?id=1kdK6KwY-DANpY--4I8gLduaY3TLqEc2B</t>
  </si>
  <si>
    <t>https://drive.google.com/open?id=1d7G9N9KblmA50f7QL3L_JecLQ79CaHC0</t>
  </si>
  <si>
    <t>0120190025</t>
  </si>
  <si>
    <t>SAYALI</t>
  </si>
  <si>
    <t>MADKAR</t>
  </si>
  <si>
    <t>sayalimadkar12346@gmail.com</t>
  </si>
  <si>
    <t>https://www.linkedin.com/in/sayali-madkar</t>
  </si>
  <si>
    <t>Aadarsh Nagar Dighi Pune 411015</t>
  </si>
  <si>
    <t>1)593.33           2)613.33</t>
  </si>
  <si>
    <t>Result pending</t>
  </si>
  <si>
    <t>EX102T - ELECTRICAL AND ELECTRONICS ENGINEERING</t>
  </si>
  <si>
    <t>Maven silicon: VLSI SoC Design using Verilog HDL</t>
  </si>
  <si>
    <t>1) AI-900: Microsoft Azure AI Fundamentals
2) Programming for everybody
3) Simulink Onramp
4) MATLAB Onramp</t>
  </si>
  <si>
    <t>Coursera: The Technology of Music Production</t>
  </si>
  <si>
    <t>1) Internshala: Machine Learning
2) Design and development of Sellable Automatic Dispenser Sanitizer</t>
  </si>
  <si>
    <t>YBI Foundation - Ongoing</t>
  </si>
  <si>
    <t xml:space="preserve">Forest fire detection using remote sensing and deep learning </t>
  </si>
  <si>
    <t>Web Development (JAVA)</t>
  </si>
  <si>
    <t>1) National Level Online Quiz Competition (EBSB)
2) Electronics Quiz</t>
  </si>
  <si>
    <t>Runner up in “InC 2022 Project Exhibition” under “Machine Learning Domain”</t>
  </si>
  <si>
    <t>Zensar Technologies Training</t>
  </si>
  <si>
    <t>1) InC 2022 Project Exhibition
2) IEEE quiz contest
3) TenMinuteStudy.com - Object Oriented Programming</t>
  </si>
  <si>
    <t>https://preskilet.com/sgmadkar@mitaoe.ac.in</t>
  </si>
  <si>
    <t>https://drive.google.com/open?id=1UtGO55jkDsOnDFd1i2KJeA1uZPaVE1uw</t>
  </si>
  <si>
    <t>https://drive.google.com/open?id=1KMDh-NjN8O6d5TenYO1GUn0Q_Jtuo8Jr</t>
  </si>
  <si>
    <t>https://drive.google.com/open?id=167YEba1S8cGUBvJKqiKGUnXkiC2GyBVP</t>
  </si>
  <si>
    <t>https://drive.google.com/open?id=1JqEEtZIjJlEWGzsRXSX0pcqMy1mrh6k2</t>
  </si>
  <si>
    <t>https://drive.google.com/open?id=19HLxW4iKvpReaGQxijqYVxtqRsS6vv8P</t>
  </si>
  <si>
    <t>https://drive.google.com/open?id=1oS-rUpHGCjI39GF2BZI9FaKre6Kp8liu</t>
  </si>
  <si>
    <t>https://drive.google.com/open?id=17BzyueHOwILTekgTIoG2fwN_zGJppppc</t>
  </si>
  <si>
    <t xml:space="preserve">1)Technical certificate - because I have recently completed one certification.
3) SY AMCAT Result- to upload pdf file of results. 
2)  TY AMCAT result- Still I not get result. </t>
  </si>
  <si>
    <t>0120190383</t>
  </si>
  <si>
    <t>RACHANA</t>
  </si>
  <si>
    <t>RAVIKIRAN</t>
  </si>
  <si>
    <t>WASNIK</t>
  </si>
  <si>
    <t>rachanawasnik4@gmail.com</t>
  </si>
  <si>
    <t>https://www.linkedin.com/in/rachana-wasnik-8aa5a81a7</t>
  </si>
  <si>
    <t>RAVIKIRAN WASNIK</t>
  </si>
  <si>
    <t>JYOTI WASNIK</t>
  </si>
  <si>
    <t xml:space="preserve">Lumbini nagar pulgaon </t>
  </si>
  <si>
    <t xml:space="preserve">Asara apartment Alandi </t>
  </si>
  <si>
    <t>Palo Alto</t>
  </si>
  <si>
    <t>coursera</t>
  </si>
  <si>
    <t xml:space="preserve">INFOSYS SPRINGBOARD JAVA </t>
  </si>
  <si>
    <t>Programming for everybody(getting started with python)</t>
  </si>
  <si>
    <t>IOT Project Development Using industry Grade microcontrollers</t>
  </si>
  <si>
    <t xml:space="preserve">VIEH group, Data science internship </t>
  </si>
  <si>
    <t>Web Application for Multiple Disease Detection/Prediction
using Machine Learning Algorithms</t>
  </si>
  <si>
    <t>https://preskilet.com/watch?v=629deef348667000044129b5</t>
  </si>
  <si>
    <t>https://drive.google.com/open?id=1XUz0M7exnXQUH9QnxKOqbEPEp_ybuRCg</t>
  </si>
  <si>
    <t>https://drive.google.com/open?id=1hGYHWmZ9r39y769j5kqMDEBRW-YQCXLD</t>
  </si>
  <si>
    <t>https://drive.google.com/open?id=1tO0Sbo7O6mqv3-xXdVT_FvYQgl-vqB9_</t>
  </si>
  <si>
    <t>0120190332</t>
  </si>
  <si>
    <t>deshpande.aditi91@gmail.com</t>
  </si>
  <si>
    <t>https://www.linkedin.com/in/aditi271</t>
  </si>
  <si>
    <t>VINOD DESHPANDE</t>
  </si>
  <si>
    <t>MANISHA DESHPANDE</t>
  </si>
  <si>
    <t>Plot number 81, Gurukrupa Nagar ,Arni road Wadgaon , Yavatmal.</t>
  </si>
  <si>
    <t>Kate Patil Nagar , Dehuphata , Alandi Pune</t>
  </si>
  <si>
    <t>CV102T-Applied mechanics</t>
  </si>
  <si>
    <t>Microsoft DP : Microsoft Azure Data Fundamentals</t>
  </si>
  <si>
    <t>Google Data Analytics</t>
  </si>
  <si>
    <t>Machine learning intern at FeyynLAB</t>
  </si>
  <si>
    <t xml:space="preserve">Sign Language Recognition </t>
  </si>
  <si>
    <t>1.Datathon
2.eXemplar'22
3.Robotics Workshop</t>
  </si>
  <si>
    <t>https://preskilet.com/watch?v=629f8dd025bee30004dbc88e</t>
  </si>
  <si>
    <t>https://drive.google.com/open?id=1BLz8LW3_nKohfsSD3CcjQwQ3P0ffkBMD</t>
  </si>
  <si>
    <t>https://drive.google.com/open?id=1nu25YOMBGdYKVSTkOib_18S4tETKMiF_</t>
  </si>
  <si>
    <t>https://drive.google.com/open?id=1jZjdz3_KFzD6Dvcv0FcUNFknm8tRTGww</t>
  </si>
  <si>
    <t>https://drive.google.com/open?id=1ZylDlAJ22t_N-Tvnv_7iq1ikYgEalgZ6</t>
  </si>
  <si>
    <t>https://drive.google.com/open?id=1VSfZ-DxWHTIyovQRREkGsQxrZg7yLDWe</t>
  </si>
  <si>
    <t>https://drive.google.com/open?id=1lk8HQmhXGZkrmkG3gqQcOA7vFaIE7n6d</t>
  </si>
  <si>
    <t>https://drive.google.com/open?id=1rLWg6vWv7ZDw4PQgMlLfufu0Uw5bwyou</t>
  </si>
  <si>
    <t>https://drive.google.com/open?id=1xTVeV1aWcqs6e_W7QLmpwk4bwrZMf_iZ</t>
  </si>
  <si>
    <t>https://drive.google.com/open?id=1BuiuK4WsRes6qL1q10xoOh1RASxRyivd</t>
  </si>
  <si>
    <t xml:space="preserve">Amcat reports </t>
  </si>
  <si>
    <t>0120190373</t>
  </si>
  <si>
    <t>LAXMI</t>
  </si>
  <si>
    <t>shrutisharma.1877@gmail.com</t>
  </si>
  <si>
    <t>https://www.linkedin.com/in/shrutisharma-05/</t>
  </si>
  <si>
    <t>ARUN SHARMA</t>
  </si>
  <si>
    <t>ANURADHA SHARMA</t>
  </si>
  <si>
    <t>49M, Swinhoe lane, Kolkata, West Bengal, 700042</t>
  </si>
  <si>
    <t>C101, Dhyanyog appartment, Vishweshwar nagar, Pune, 412105</t>
  </si>
  <si>
    <t>PYTHON: ZENSAR</t>
  </si>
  <si>
    <t>SQL: ZENSAR</t>
  </si>
  <si>
    <t>HTML/CSS - COURSERA</t>
  </si>
  <si>
    <t>JAVASCRIPT - COURSERA</t>
  </si>
  <si>
    <t xml:space="preserve"> Marketing Intern, under amazon pay, Internshala Campus Ambassador </t>
  </si>
  <si>
    <t>Content Manager at Startup-201, The Spark Foundation, Sales marketer at Startup-201, IIT-Hyderabad Campus Ambassador.</t>
  </si>
  <si>
    <t>Dresma - Data Handling Intern</t>
  </si>
  <si>
    <t>The Bicycle Rental System</t>
  </si>
  <si>
    <t>Tailwind CSS</t>
  </si>
  <si>
    <t>Figma, Adobe XD, Proteus, MATLAB</t>
  </si>
  <si>
    <t>1. Research Paper
2. 87.5 percentile in AMCAT examination 2021
3. 96.66% score in TCS NQT 2020</t>
  </si>
  <si>
    <t>The Best Leader Award (2021-22)</t>
  </si>
  <si>
    <t xml:space="preserve">Sololearn (Web dev tutorials + live projects), Zensar Employability and Skill  development program </t>
  </si>
  <si>
    <t xml:space="preserve">E-cell - President, Hosted many Events as a Placement Coordinato,
Secretary, School of Electrical Engineering Department
</t>
  </si>
  <si>
    <t>https://preskilet.com/watch?v=62c5815eb75c3600049d9dec</t>
  </si>
  <si>
    <t>https://drive.google.com/open?id=1V4G3FlPhfsOMwxjO3_v-AyckBlEG133c</t>
  </si>
  <si>
    <t>https://drive.google.com/open?id=1u15Yib0Px_g_OYMh5UFs79CHuJRJ_U1M</t>
  </si>
  <si>
    <t>https://drive.google.com/open?id=1z7e15fucf1cBwSysuXwMzlv8i8rZvJkL</t>
  </si>
  <si>
    <t>https://drive.google.com/open?id=13RoS4f2R6UDHvrw_GVvqyC-qNTtmnczS</t>
  </si>
  <si>
    <t>https://drive.google.com/open?id=107RAudrFHxYGKI1diSp611iuIYzpUROp</t>
  </si>
  <si>
    <t>https://drive.google.com/open?id=1a1giWPx1BeSQrjA7hN9UYe9E6pbyYQT_</t>
  </si>
  <si>
    <t>https://drive.google.com/file/d/1GtuwaCgq1kGvZxJK-0g5ArF91zbF_OmF/view?usp=sharing</t>
  </si>
  <si>
    <t>https://drive.google.com/file/d/1h-2rE8Zuhw0Ym7FOoECvpEOoEaln7-Pk/view?usp=sharing</t>
  </si>
  <si>
    <t>Havent received certificate from zensar</t>
  </si>
  <si>
    <t>0120190439</t>
  </si>
  <si>
    <t>AVANISHKUMAR</t>
  </si>
  <si>
    <t>PRADEEPKUMAR</t>
  </si>
  <si>
    <t>PATHAK</t>
  </si>
  <si>
    <t>avnishpathak1206@gmail.com</t>
  </si>
  <si>
    <t>https://www.linkedin.com/in/avnish-pathak-07/</t>
  </si>
  <si>
    <t>MANDVIDEVI</t>
  </si>
  <si>
    <t>7TH LANE JAYSINGPUR,  TAL- SHIROL  DIS - KOLHAPUR</t>
  </si>
  <si>
    <t>ALANDI, PUNE</t>
  </si>
  <si>
    <t>"Microsoft SC-900: Security, Compliance, and Identity Fundamentals"</t>
  </si>
  <si>
    <t xml:space="preserve">"Palo Alto: The Fundamentals of SOC (Security Operations Center)"
"Cisco: Introduction to Cybersecurity"
"Cisco: Cybersecurity Essentials "
"Cisco: Introduction to Packet Tracer "
"ICSI: Cyber Security Essentials"
</t>
  </si>
  <si>
    <t xml:space="preserve">FRINZA Private Limited - Intern as a Content Writer 
Duration: 1 Month
tipend: Rs 2009 only </t>
  </si>
  <si>
    <t>1. Intern at Aneja Associates as a Cybersecirty Analyst 
2. Intern  at CyberVidyapeeth as a Cyber Defence Analyst</t>
  </si>
  <si>
    <t>Development of Secure Cloud Storage.</t>
  </si>
  <si>
    <t>Java, C/C++, HTML, CSS, JavaScript, TypeScript</t>
  </si>
  <si>
    <t>AutoCAD, Fusion 360, Figma, Adobe XD, Proteus, MATLAB</t>
  </si>
  <si>
    <t>1. TEDxMITAOE - Member of the Creativity Team
2. Member of CyberSecurity (HITCHHAKER) Club MITAOE
3. Social Work - Member of Puneploggers</t>
  </si>
  <si>
    <t>Participates in different CTFs, Workshops</t>
  </si>
  <si>
    <t>https://preskilet.com/watch?v=62966b1e716ac1000498198e</t>
  </si>
  <si>
    <t>https://drive.google.com/open?id=1utZn4Wz_Q4tml7GwrW152FIL0Csna-Al</t>
  </si>
  <si>
    <t>https://drive.google.com/open?id=1O1n-0puml6BxsqPLepkmKytUDi1aiuPA</t>
  </si>
  <si>
    <t>https://drive.google.com/open?id=1qbX_SEzWKE3K9mlBILcU01WyOU_2HuGW</t>
  </si>
  <si>
    <t>https://drive.google.com/open?id=16219pFoQuGjPOPNGJaNEttvwoDxuyUDs</t>
  </si>
  <si>
    <t>https://drive.google.com/open?id=1QdbKCdsyNE3o4bZc0KiyhofY47U488-w</t>
  </si>
  <si>
    <t>https://drive.google.com/open?id=1IX3uzjNqUalfm45qngGI09dMwE0w0Ys9</t>
  </si>
  <si>
    <t>0120190138</t>
  </si>
  <si>
    <t>MANORAMA</t>
  </si>
  <si>
    <t>JIVAJI</t>
  </si>
  <si>
    <t>MUDAGAL</t>
  </si>
  <si>
    <t>mudagalmanorama19@gmail.com</t>
  </si>
  <si>
    <t>www.linkedin.com/in/manorama-mudagal-4b9257230</t>
  </si>
  <si>
    <t>JIVAJI RAGHUNATH MUDAGAL</t>
  </si>
  <si>
    <t>JAYASHREE JIVAJI MUDAGAL</t>
  </si>
  <si>
    <t>16/1068, NEAR IGM HOSPITAL, ICHALKARANJI, MAHARASHTRA</t>
  </si>
  <si>
    <t>ALANDI,PUNE</t>
  </si>
  <si>
    <t>CV102T-APPLIED MECHANICS</t>
  </si>
  <si>
    <t>1.PALO ALTO CYBER SECURITY FOUNDATION
2.PYTHON PROGRAMMING BY MITAOE
3.MACHINE LEARNING ONRAMP BY MATHWORKS
4.INTRODUCTION TO 3D MODELLING BY AUTODESK
5. MATLAB ONRAMP BY MATHWORKS</t>
  </si>
  <si>
    <t>1.ANDRIOD APP DEVELOPMENT TRAINING - I HAVE COMPLETED  TRAINING OF 8 WEEKS LEARNED ABOUT ANDRIOD APP DEVELOPMENT , KOTLIN , CREATED 3 PROJECTS 
2. BUG TRACKER PROJECT- HERE I HAVE WORKED ON BUG TRCKER MINOR PROJECT WHERE IT TESTS FOR BUGS IN VARIOUS SOFTWARES</t>
  </si>
  <si>
    <t xml:space="preserve">1.INTERNSHIP AT YBI FOUNDATION - CURRENTLY INTERN AT YBI FOUNDATION IN FOUNDATION INTERNSHIP IN MACHINE LEARNING
2.INTERNSHIP AT BASKETHUNT.PVT.LTD-CURRENTLY  WEB DEVELOPMENT INTERN AT BASKETHUNT.
2. STRESS LEVEL DETECTION - CURRENTLY WORKING ON MAJOR PROJECT STRESS LEVEL DETECTION USING EEG SIGNAL .
</t>
  </si>
  <si>
    <t>Android Development (Java/Kotlin), MYSQL</t>
  </si>
  <si>
    <t>1.COMPLETED PYTHON PROGRAMMING COURSE PROVIDED BY MITAOE
2.PARTICIPATED IN NATIONAL LEVEL E-QUIZ IN PROGRAMMING IN JAVA AND SECURED 90 %</t>
  </si>
  <si>
    <t>AWARDED IN SAKSHAM NGO .</t>
  </si>
  <si>
    <t>ANDRIOD APP DEVELOPMENT - COMPLETED  TRAINING OF 8 WEEKS IN ANDRIOD APP DEVELOPMENT  BY INTERNSHALA</t>
  </si>
  <si>
    <t xml:space="preserve">PARTICIPATED IN COLLEGE LEVEL SOLO SONG PERFORMANCE.
</t>
  </si>
  <si>
    <t>https://drive.google.com/file/d/1hFyVqV_n9fNDODCvn_WvgTfxO6xhs9EH/view?usp=sharing</t>
  </si>
  <si>
    <t>https://drive.google.com/open?id=1n2VRxFGozUfJvwdng5xPTasJxt1gEnnf</t>
  </si>
  <si>
    <t>https://drive.google.com/open?id=1x5Z6C3LNDIL_NHJ_Ot1q_RafWSqibaNG</t>
  </si>
  <si>
    <t>https://drive.google.com/open?id=1XiP3LMvg7a9uxXdvS4WS3JvXX1MBqOTR</t>
  </si>
  <si>
    <t>https://drive.google.com/open?id=1aJKE-lwEhivMKlarpHMbC5IDhsM2h6QH</t>
  </si>
  <si>
    <t>nothing</t>
  </si>
  <si>
    <t>0120190078</t>
  </si>
  <si>
    <t>KOKATE</t>
  </si>
  <si>
    <t>rkokate2000@gmail.com</t>
  </si>
  <si>
    <t>https://www.linkedin.com/in/rutuja-kokate-69223b1aa</t>
  </si>
  <si>
    <t>At.,Tarade , Post:Mhatobachi Alandi,Tal:Haveli,Dist :Pune,412201</t>
  </si>
  <si>
    <t>MIT Girls Hostel,Dehuphata , Alandi, Pune,412105</t>
  </si>
  <si>
    <t xml:space="preserve">Certificate of Cybersecurity Foundation From Palo Alto Networks Cybersecurity Academy </t>
  </si>
  <si>
    <t>Cybersecurity Virtual Experience Program By Mastercard on Forage</t>
  </si>
  <si>
    <t>INFOSYS Ethical Hacking Certificate</t>
  </si>
  <si>
    <t>VIEH Group Cyber Security Internship</t>
  </si>
  <si>
    <t>Stress Level Detection By Using EEG Signal</t>
  </si>
  <si>
    <t>Member Of "ART ELATED "Club</t>
  </si>
  <si>
    <t>https://preskilet.com/watch?v=62a187fafed70c00042b6522</t>
  </si>
  <si>
    <t>https://drive.google.com/open?id=1iFYa6aTYDMxAtx7hPX907OmAF1J0IfyT</t>
  </si>
  <si>
    <t>https://drive.google.com/open?id=1Rw669YtjWVmdJArzUu-ORvf4D8r4zDrK</t>
  </si>
  <si>
    <t>https://drive.google.com/open?id=1YZ7S9rTZChCtU4rOA677UEd1GLkQ0gxK</t>
  </si>
  <si>
    <t>0120190558</t>
  </si>
  <si>
    <t>TANISHKA</t>
  </si>
  <si>
    <t>NAIR</t>
  </si>
  <si>
    <t>tanishkanair13@gmail.com</t>
  </si>
  <si>
    <t>linkedin.com/in/tanishka-nair</t>
  </si>
  <si>
    <t>ANIL KUMAR PADMANABHAN</t>
  </si>
  <si>
    <t>DEEPU NAIR</t>
  </si>
  <si>
    <t>Flat no. C1-15, Dreams Residency, Next to Uttam Townscapes, Vishrantwadi, Pune-411015</t>
  </si>
  <si>
    <t>Palo Alto- Network Security (Certificate not received yet)</t>
  </si>
  <si>
    <t>Infosys Springboard- Python</t>
  </si>
  <si>
    <t>Microsoft DP-900: Data Fundamentals</t>
  </si>
  <si>
    <t>Suzlon Energy Ltd.</t>
  </si>
  <si>
    <t>GPR for Detection of Plumbing System in a Wet Wall</t>
  </si>
  <si>
    <t>ANSYS, MATLAB, Cisco Packet Tracer</t>
  </si>
  <si>
    <t>Member of Under25@MITAOE, Member of Prakruti-The Life Club at MITAOE</t>
  </si>
  <si>
    <t>https://preskilet.com/watch?v=62a1cfcbfed70c00042b663a</t>
  </si>
  <si>
    <t>https://drive.google.com/open?id=1pKOBgqZCy7tmJlNzmh0zxx8-MhbVIFV8</t>
  </si>
  <si>
    <t>https://drive.google.com/open?id=15q9jWfY-gtl_JA2i1eSnsS50FAnq1PRo</t>
  </si>
  <si>
    <t>https://drive.google.com/open?id=11pRk8ubn1su0lHJUccPQhxMkoeZp7cYD</t>
  </si>
  <si>
    <t>https://drive.google.com/open?id=14fmIuZdUvaerFU32vTJaa2QT51d-EtHX</t>
  </si>
  <si>
    <t>https://drive.google.com/open?id=1nkjFCw94Z_vwiXbggGbAGr5GC6o6EjO6</t>
  </si>
  <si>
    <t>https://drive.google.com/open?id=1deaX6G5zlGLpCymr6jhlY_1E_8LP709u</t>
  </si>
  <si>
    <t>Technical certification, as Palo Alto certificate hasn't yet been received. 
AMCAT reports because they weren't downloading earlier.</t>
  </si>
  <si>
    <t>0120190062</t>
  </si>
  <si>
    <t>SOVIK</t>
  </si>
  <si>
    <t>sovikhbk@gmail.com</t>
  </si>
  <si>
    <t>https://www.linkedin.com/in/sovik-sharma-305511212/</t>
  </si>
  <si>
    <t>RAJIV SHARMA</t>
  </si>
  <si>
    <t>MADHU SHARMA</t>
  </si>
  <si>
    <t>H.no 262 Sector 9, Nanak Nagar, Gandhinagar, Jammu, Jammu-kashmir, 180004</t>
  </si>
  <si>
    <t>H.no 410 Aksha Vasant Park, Alandi, Pune Maharashtra</t>
  </si>
  <si>
    <t>Front End Developer at VIEH Group</t>
  </si>
  <si>
    <t>Btech</t>
  </si>
  <si>
    <t>https://preskilet.com/watch?v=62a1e3e1fed70c00042b66c9</t>
  </si>
  <si>
    <t>https://drive.google.com/open?id=19YZJs_50qFxlmnCN4Z8VI60dVZz4vNaj</t>
  </si>
  <si>
    <t>https://drive.google.com/open?id=1xEAaAm7ZQrl6POIWUhLxO3zH7XCUkxyK</t>
  </si>
  <si>
    <t>https://drive.google.com/open?id=1CHtILl2jFOP35jv2uc6tAKyf0rXarWN8</t>
  </si>
  <si>
    <t>https://drive.google.com/open?id=1GntCAQWTh2NBxxVWZpCXD933gcOf5NOs</t>
  </si>
  <si>
    <t>https://drive.google.com/open?id=1oRKWZMjMcJ7UfP9l9zZ_Aq6kSItYx-Yt</t>
  </si>
  <si>
    <t>https://drive.google.com/open?id=1rPRVCch8eTyTFmHNdccfvHuF_vXvFJt3</t>
  </si>
  <si>
    <t>https://drive.google.com/open?id=1sNZgNGnwOsWaEgcZDb-8dMv1cGlrkM84</t>
  </si>
  <si>
    <t>https://drive.google.com/open?id=1vE7-G70t8Mlj_KuMfvtWU4GKCRqh9k9Q</t>
  </si>
  <si>
    <t>https://drive.google.com/open?id=1QMSQtZYRTry01AEIfX36OnNIV1vO8eEV</t>
  </si>
  <si>
    <t>Updated my Amcat results and Technical Certification</t>
  </si>
  <si>
    <t>0120190098</t>
  </si>
  <si>
    <t>UMAKANT</t>
  </si>
  <si>
    <t>onkarkulkarni3107@gmail.com</t>
  </si>
  <si>
    <t>https://www.linkedin.com/in/onkar-kulkarni-a956b4194</t>
  </si>
  <si>
    <t>Flat no 7 , gurudev palace , kajbe wasti , bhistabhag road ,Savedi , Ahmadnagar.</t>
  </si>
  <si>
    <t>"Palo Alto network cyber security academy: Cyber security foundation"</t>
  </si>
  <si>
    <t>Completed a virtual internship at Anand Techno Creations on the design and development of automatic sanitizer dispenser and completed a Front End web development course.</t>
  </si>
  <si>
    <t>VIEH : Front-end Development internship</t>
  </si>
  <si>
    <t>Malicious Activity Detection Algorithm</t>
  </si>
  <si>
    <t xml:space="preserve">MATLAB, VS code , Intellij media , Atom , github  </t>
  </si>
  <si>
    <t>1. Hackerrank 10 days coding challenge: I have secured rank 4 in this coding challenge organized by Code-chef MITAOE. 
2. Virtual Internship in COVID Duration: I completed a virtual internship at Anand Techno Creations on the design and development of an automatic sanitizer dispenser.
3.Completed 30 days of code on Hackerrank in the Java programming language and earned a gold badge.</t>
  </si>
  <si>
    <t>Secured 3rd rank as an ENTC department in a cricket tournament in a Nakshatra sports event.</t>
  </si>
  <si>
    <t>https://drive.google.com/file/d/1t_IZa2QbkI6pfKpi3UieXFenC9fosrJX/view?usp=sharing</t>
  </si>
  <si>
    <t>https://drive.google.com/open?id=1gLUmMMnmh3TEUOMrxwbGVX_okGwj0A7_</t>
  </si>
  <si>
    <t>https://drive.google.com/open?id=1TLQ3Kgk5wk7XtxCbNUsTyDUUM8pdqSCk</t>
  </si>
  <si>
    <t>https://drive.google.com/open?id=11LCgV1E_-o01fmHL36ZWAFe_ah49_Sid</t>
  </si>
  <si>
    <t>https://drive.google.com/open?id=13Bwt8eRVLeLwKRpZIQpBB-qjMCKmv1WL</t>
  </si>
  <si>
    <t>https://drive.google.com/open?id=10l5-r0TZQ7ZRwziSQbi99dVHioEFc9Jh</t>
  </si>
  <si>
    <t>Educational Certification -= wrong document uploaded</t>
  </si>
  <si>
    <t>0120190420</t>
  </si>
  <si>
    <t>AMOL</t>
  </si>
  <si>
    <t>GOTHI</t>
  </si>
  <si>
    <t>amoljain953@gmail.com</t>
  </si>
  <si>
    <t>https://www.linkedin.com/in/amol-gothi-251a28221</t>
  </si>
  <si>
    <t>RAJIV GOTHI</t>
  </si>
  <si>
    <t>MADHU GOTHI</t>
  </si>
  <si>
    <t>2A, Type 4, Sector 6, Ordnance Factory Chanda Estate, Chandrapur, Maharashtra, 442501</t>
  </si>
  <si>
    <t>CH101T - Science of Nature
CV102T - Applied Mechanics</t>
  </si>
  <si>
    <t>Zensar - Employability Skill Development</t>
  </si>
  <si>
    <t>SY Project - Contactless Thermometer 
Description: It is a device that is used to measure the temperature of a human body without coming in contact.</t>
  </si>
  <si>
    <t>TY Summer Internship - Cubexcel Technologies Pvt. Ltd.</t>
  </si>
  <si>
    <t>To Develop an IoT Based System For Accessing e-Resources</t>
  </si>
  <si>
    <t>Python Programming - MSME Technology</t>
  </si>
  <si>
    <t>Won 2nd prize in inter-department badminton tournament organized by the institute.</t>
  </si>
  <si>
    <t>https://preskilet.com/watch?v=62a1ebc3fed70c00042b6701</t>
  </si>
  <si>
    <t>https://drive.google.com/open?id=1O50Rfc5yi5aCPBjoaREBKTFxGWmQJY10</t>
  </si>
  <si>
    <t>https://drive.google.com/open?id=1CaJe0Muz2Pp7DxYBriYF5RYvdP5rzu3K</t>
  </si>
  <si>
    <t>https://drive.google.com/open?id=1tDZwHivvBu9O0vA1BE2QAKUE_h3cp-Mw</t>
  </si>
  <si>
    <t>https://drive.google.com/open?id=1q81QZJoOcaRe9kuZjJcU8mtlzRYMcB07</t>
  </si>
  <si>
    <t>https://drive.google.com/open?id=13EQAesSRJXLw_fgzjufSkwtMIp6opAE9</t>
  </si>
  <si>
    <t>https://drive.google.com/open?id=1TRvcYBX9h892W05pI40GUJY2HQgucUWs</t>
  </si>
  <si>
    <t xml:space="preserve">Technical Certification- Zensar certification got delayed.  </t>
  </si>
  <si>
    <t>0120190429</t>
  </si>
  <si>
    <t>DEVASHISH</t>
  </si>
  <si>
    <t>ARVIND</t>
  </si>
  <si>
    <t>DANI</t>
  </si>
  <si>
    <t>devashishdani22@gmail.com</t>
  </si>
  <si>
    <t>https://www.linkedin.com/in/devashish-dani-931572234/</t>
  </si>
  <si>
    <t>ARVIND MANOHAR DANI</t>
  </si>
  <si>
    <t>MEENA ARVIND DANI</t>
  </si>
  <si>
    <t xml:space="preserve">71, Chhatrapati Nagar, Behind NIT Garden, Wardha Road, Nagpur-440015 </t>
  </si>
  <si>
    <t>Microsoft AZ-900:Microsoft Azure Fundamentals</t>
  </si>
  <si>
    <t>Oracle Certified Foundations Assosciate</t>
  </si>
  <si>
    <t>Course on SQL for Data Science (Coursera)</t>
  </si>
  <si>
    <t>Course on Getting started with AWS machine Learning (Coursera)</t>
  </si>
  <si>
    <t xml:space="preserve">Schlumberger India Technology Center Private limited  </t>
  </si>
  <si>
    <t>Automatic Extractive English Text Summarization</t>
  </si>
  <si>
    <t>Python, Java, C/C++, MySQL</t>
  </si>
  <si>
    <t>Proteus, MATLAB, Power BI</t>
  </si>
  <si>
    <t>1) Google 30 days of Cloud 
2) Project presentation organized by PICT (Impetus and Concepts)</t>
  </si>
  <si>
    <t>1) Represented the college at MIT Summit (Cricket)
2) Represented the college at COEP Zest (Cricket)</t>
  </si>
  <si>
    <t>https://preskilet.com/watch?v=62b32f73cd590700045fb63e</t>
  </si>
  <si>
    <t>https://drive.google.com/open?id=1BL1RI__FEIBNHgCsVcEhVUb3oBJ9oTuX</t>
  </si>
  <si>
    <t>https://drive.google.com/open?id=1rSWmjYAjVZUHgnJO-Uon-ZAdpxqxkCzT</t>
  </si>
  <si>
    <t>https://drive.google.com/open?id=1ub3YMeX4ibXZgM1unqYpqfReOLVC_wl4</t>
  </si>
  <si>
    <t>https://drive.google.com/open?id=109RWcak1LuUi8L1ryyZN4drUTx1WB2l6</t>
  </si>
  <si>
    <t>https://drive.google.com/open?id=18RtLDOp0Eui7TKi_YiA1cYQqNDRzdNsl</t>
  </si>
  <si>
    <t>0120190568</t>
  </si>
  <si>
    <t>LAUKIK</t>
  </si>
  <si>
    <t>PAWLE</t>
  </si>
  <si>
    <t>laukikpawle19@gmail.com</t>
  </si>
  <si>
    <t>https://www.linkedin.com/in/laukik-pawle-1a27181b3</t>
  </si>
  <si>
    <t>SANJAY NAMDEO PAWLE</t>
  </si>
  <si>
    <t>MANISHA SANJAY PAWLE</t>
  </si>
  <si>
    <t>Sr. no. 208/2/1, A-27,Om Sai colony, Sant Tukaramnagar, Bhosari, Pune - 39</t>
  </si>
  <si>
    <t>Sr. no. 208/2/1, A-27, Om Sai colony, Sant Tukaramnagar, Bhosari, Pune - 39</t>
  </si>
  <si>
    <t>Palo Alto: Fundamentals of Network Security</t>
  </si>
  <si>
    <t>Zensar RPG Certification</t>
  </si>
  <si>
    <t>Company Data Mining (MITAOE) (4 Weeks)
• Collected information from 304 Engineering and 227 Diploma colleges in Maharashtra.
• It included the college details like - Name of college, college address, official website, college email ID, college Principal (Name, Email, personal contact no.), Placement officer (Name, Email, personal contact no.), Head of Department (Computer, Mechanical, Electronics) (Name, Email, personal contact no.).</t>
  </si>
  <si>
    <t>Social Media Marketing Intern (UNSCHOOL) (6 Weeks)
• Promoted courses offered by UNSCHOOL on various social media platforms (WhatsApp, Facebook, Instagram, LinkedIn).
UNSCHOOL Community Leader (UNSCHOOL) (6 Weeks)
• Lead a team of 25 people to generate sales for the company.</t>
  </si>
  <si>
    <t>Business Analytics Intern (TGC Technologies PVT LTD)</t>
  </si>
  <si>
    <t>ARWAY App for Navigation (In Progress)
• Creating an app to navigate through MITAOE campus.</t>
  </si>
  <si>
    <t>AutoCAD, Fusion 360, Figma, Proteus, MATLAB, Google Colab, Power BI, Tableau, Excel, Word, PowerPoint, etc.</t>
  </si>
  <si>
    <t>DataThon</t>
  </si>
  <si>
    <t>Data Analyst Training (Shape Ai)
Zensar RPG Training - (Zensar)</t>
  </si>
  <si>
    <t>Volunteered at Nakshatra 2022</t>
  </si>
  <si>
    <t>https://drive.google.com/file/d/1MYWFg3Ml4a-3ehMFv8TSvRFxxVx9y7Cf/view?usp=sharing</t>
  </si>
  <si>
    <t>https://drive.google.com/open?id=1jok2LIR7KSZznCYY5eHFMrCN6XJ9_9Fw</t>
  </si>
  <si>
    <t>https://drive.google.com/open?id=15ZU-W9UakXm_SlDHlJfYlEj4z_s3iF92</t>
  </si>
  <si>
    <t>https://drive.google.com/open?id=1JNsYVXgNvuyiSiexPB1bO-HEmPU_dHf_</t>
  </si>
  <si>
    <t>https://drive.google.com/open?id=1cLqgOD7mmi2nFXSPd8BK8nevcOuYoFGu</t>
  </si>
  <si>
    <t>https://drive.google.com/open?id=1Gefjgg5z2l3Mv1KfP5iDPsQoi1CmidrT</t>
  </si>
  <si>
    <t>https://drive.google.com/open?id=1e_3M2quLW8OG3RWSiCUufeKGjQzXJAeh</t>
  </si>
  <si>
    <t>0120190427</t>
  </si>
  <si>
    <t>RUCHI</t>
  </si>
  <si>
    <t>MESHRAM</t>
  </si>
  <si>
    <t>ruchimeshram26@gmail.com</t>
  </si>
  <si>
    <t>https://www.linkedin.com/in/ruchi-meshram-08095a210</t>
  </si>
  <si>
    <t>VIJAYKUMAR MESHRAM</t>
  </si>
  <si>
    <t>VARSHA MESHRAM</t>
  </si>
  <si>
    <t>Plot no 10, Chaitanya Nagar, Nari Road, Nagpur - 440026</t>
  </si>
  <si>
    <t>Flat no.510, Aksha Vasant Park, Talekar Nagar, Dudulgaon, Alandi, Pune-412105</t>
  </si>
  <si>
    <t xml:space="preserve">
Exam AZ-900: Microsoft Azure Fundamentals</t>
  </si>
  <si>
    <t>Web Development Intern at The Sparks Foundation</t>
  </si>
  <si>
    <t>Dish Positioning System</t>
  </si>
  <si>
    <t>https://preskilet.com/watch?v=62a394d2a6956a0004600959</t>
  </si>
  <si>
    <t>https://drive.google.com/open?id=12CWmNNL_yPIkjMxwDxWNhhhpxze_6LH8</t>
  </si>
  <si>
    <t>https://drive.google.com/open?id=1U_coPwjUGrzpasqe8EcmvPlU3dv0Rk6q</t>
  </si>
  <si>
    <t>https://drive.google.com/open?id=1Oqs38vsEbGu5Z5m4UUSKFhRKJvLhT6jB</t>
  </si>
  <si>
    <t>https://drive.google.com/open?id=17efCWNmBGoBg9InNlUwo3CwKMgfn1wtk</t>
  </si>
  <si>
    <t>https://drive.google.com/open?id=1PViamT8eaLPdvWiznEvq8ag29M94IZwV</t>
  </si>
  <si>
    <t>https://drive.google.com/open?id=1HNI6x1k8tF42N82PaoIu4GX5Fn7b6nip</t>
  </si>
  <si>
    <t>https://drive.google.com/open?id=1H7cujRxoRtGIt0hwvK3zAONErmtGg2j3</t>
  </si>
  <si>
    <t>https://drive.google.com/open?id=1yQACqQMNBw7_Tw2C4s9JcVCiY3AAnQGk</t>
  </si>
  <si>
    <t>https://drive.google.com/open?id=1zevn3AlmvVMnquGpone36FLrS9qxqt0H</t>
  </si>
  <si>
    <t>https://drive.google.com/open?id=1cdLj11PoHfX_4M-spSEiqHYl7I-KkT23</t>
  </si>
  <si>
    <t>Amcat Report</t>
  </si>
  <si>
    <t>0120190377</t>
  </si>
  <si>
    <t>AKARSH</t>
  </si>
  <si>
    <t>SHARAT</t>
  </si>
  <si>
    <t>akarshsharat123@gmail.com</t>
  </si>
  <si>
    <t>https://www.linkedin.com/in/akarsh-sharat-0883111b7/</t>
  </si>
  <si>
    <t>ASHOK KUMAR</t>
  </si>
  <si>
    <t>SUCHITRA KUMARI</t>
  </si>
  <si>
    <t>Qtr No. A-43(T), Dhurwa, Ranchi, Jharkhand - 834004</t>
  </si>
  <si>
    <t>105, Premsai Apartments, Alandi-Moshi Road, Pune, Maharastra - 412104</t>
  </si>
  <si>
    <t>Oracle OCI (7853478OCIBF2021)</t>
  </si>
  <si>
    <t>Web Dev for Krishigati
Web Dev for Spark Foundation</t>
  </si>
  <si>
    <t>Bi-Cycle Rental System</t>
  </si>
  <si>
    <t>https://preskilet.com/asharat@mitaoe.ac.in</t>
  </si>
  <si>
    <t>https://drive.google.com/open?id=1UU7Q9_hhs7Jphm77OqVMf-AsIWzChQ76</t>
  </si>
  <si>
    <t>https://drive.google.com/open?id=12ZHGWgMhTldiOUW354va_dlTjbZvO-T5</t>
  </si>
  <si>
    <t>https://drive.google.com/open?id=1jAfC-WDZZEEujnZevENe2tkJlym8AGNC</t>
  </si>
  <si>
    <t>https://drive.google.com/open?id=1-4YhGsuNMdaBrBZilU20EUIreZQaS4h4</t>
  </si>
  <si>
    <t>Nil</t>
  </si>
  <si>
    <t>0120190112</t>
  </si>
  <si>
    <t>ANIKET</t>
  </si>
  <si>
    <t>aniketrox677@gmail.com</t>
  </si>
  <si>
    <t>https://www.linkedin.com/in/aniket-singh-842509214/</t>
  </si>
  <si>
    <t>AMARJEET SINGH</t>
  </si>
  <si>
    <t>SHALU SINGH</t>
  </si>
  <si>
    <t>near Masjid gali,Mainpura,Danapur cantt,Patna 801503</t>
  </si>
  <si>
    <t xml:space="preserve">Prem sai Apartments ,flat no.501, Alandi,Pune </t>
  </si>
  <si>
    <t>1. Matlab Onramp
2. Udemy : The Web developer Bootcamp
3. Coursera : Introduction to Game Development</t>
  </si>
  <si>
    <t>Summer Internship in Critical AI .pvt .ltd in Domain of  Machine learning
Project : Violence detection through surveillance videos using Machine learning</t>
  </si>
  <si>
    <t xml:space="preserve">Datathon : a Datascience/ML event  </t>
  </si>
  <si>
    <t>https://drive.google.com/file/d/1NKkfGqCjEwViA7r5p6a5mtSCktDjECnb/view?usp=sharing</t>
  </si>
  <si>
    <t>https://drive.google.com/open?id=1xv1sHHFW3sMoOrxj3K9LYsuhAnvEvYCO</t>
  </si>
  <si>
    <t>https://drive.google.com/open?id=1fDbAA8VA4BF5_Jbn3idvfJeJTHfjPGyj</t>
  </si>
  <si>
    <t>https://drive.google.com/open?id=1N03VOGOgCLyac8tDIrmW36JEhm9c99tm</t>
  </si>
  <si>
    <t>https://drive.google.com/open?id=1iVv4JfQzz-UUZjgo8nqa8a7PtF8Ibrro</t>
  </si>
  <si>
    <t>https://drive.google.com/open?id=1wSQ62mTwy27lkWRnPNdtmnH4Gium_o6Y</t>
  </si>
  <si>
    <t>Updated Amcat result for both SY and TY as it was not downloadable before.</t>
  </si>
  <si>
    <t>0120190019</t>
  </si>
  <si>
    <t>KRISHNAKANT</t>
  </si>
  <si>
    <t>https://www.linkedin.com/in/krishnakant-kumar-188465208</t>
  </si>
  <si>
    <t>RAM SUBHAG SINGH</t>
  </si>
  <si>
    <t>ANU DEVI</t>
  </si>
  <si>
    <t>Vill- Painal, Dist- Patna, State- Bihar, Pin- 801111</t>
  </si>
  <si>
    <t>MITAOE, alandi, Pune, Maharashtra</t>
  </si>
  <si>
    <t>VOIS: Cloud computing 101</t>
  </si>
  <si>
    <t>Maven Silicon: VLSI System On Chip Design</t>
  </si>
  <si>
    <t>Microsoft Build: Azure Developer Challenge</t>
  </si>
  <si>
    <t xml:space="preserve">Cursera: Programming for every body( Getting started with Python) </t>
  </si>
  <si>
    <t>Internshala: Android App Development, Project- Automatic Street light Control System</t>
  </si>
  <si>
    <t>DRDO(NPOL): Machine Learning</t>
  </si>
  <si>
    <t>BE (UAV for low payload capacity)</t>
  </si>
  <si>
    <t>React.js (JavaScript/Typescript), Flask (Python)</t>
  </si>
  <si>
    <t>Matlab Onramp, Pre requisite Quiz Signal and Systems, Quiz on Even Odd and Some basic Signals.</t>
  </si>
  <si>
    <t>Internshala: Android development</t>
  </si>
  <si>
    <t>Held a position of “Social Media Handler” at “Literacy Club – MITAOE, Pune” in the year 2020-21.
I am in the team of management for organizing very popular fest in our college that is known as "Nakshatra".</t>
  </si>
  <si>
    <t>https://preskilet.com/watch?v=62b4d64930b28000045239b0</t>
  </si>
  <si>
    <t>https://drive.google.com/open?id=1liEpeIkup53gh2mzEKvOM7qtVVqpZfAT</t>
  </si>
  <si>
    <t>https://drive.google.com/open?id=1dp1TQQ6AqF8oD1Iu_-sNUYMzp4XGgKjM</t>
  </si>
  <si>
    <t>https://drive.google.com/open?id=13oUOHbEbFue1Wofdl7K4qyxL9jECO0Cx</t>
  </si>
  <si>
    <t>0120190087</t>
  </si>
  <si>
    <t>SURABHI</t>
  </si>
  <si>
    <t>GHOGARE</t>
  </si>
  <si>
    <t>surabhighogare@gmail.com</t>
  </si>
  <si>
    <t>https://www.linkedin.com/in/surabhi-ghogare-39a491236/</t>
  </si>
  <si>
    <t>Chinmay Villa Chatrapati Chowk, Nanded</t>
  </si>
  <si>
    <t>Heritage complex, dehu phata ,Alandi</t>
  </si>
  <si>
    <t>AS105T calculus and differential equations
CV102T Science of nature
CS101T logistic development- C programming
CV102T applied mechanics
ET221 Electronic device and circuits
ET343T Embedded system and design</t>
  </si>
  <si>
    <t>MSME TECHNOLOGY</t>
  </si>
  <si>
    <t xml:space="preserve">VOIS For Tech Learn
</t>
  </si>
  <si>
    <t>Microsoft Azure</t>
  </si>
  <si>
    <t>Python Programming</t>
  </si>
  <si>
    <t xml:space="preserve">Pragati enterprises
</t>
  </si>
  <si>
    <t xml:space="preserve"> Circuit design in proteus For PCB designing</t>
  </si>
  <si>
    <t>To develop IOT based system for accessing e resources</t>
  </si>
  <si>
    <t>I'm an active member and secretary of dance club. I've written script of maharashtrian act and energitically choreographed dance for School of Electrical Engineering for that we got second prize. Arrenged many dance events and manage it.
E-SPORTS - I was in the core committee and an active member of the " Team Chakravyuh ". Where we have organized an intra college E-sport event of BGMI.</t>
  </si>
  <si>
    <t>https://preskilet.com/watch?v=62a24466fed70c00042b6979</t>
  </si>
  <si>
    <t>https://drive.google.com/open?id=1qrdrP8e40DGL8cOrnWXkKbHVPMveQLwE</t>
  </si>
  <si>
    <t>https://drive.google.com/open?id=1ff_UKHk_ByoI_SlqKlXTSVU4GWdp56Ci</t>
  </si>
  <si>
    <t>https://drive.google.com/open?id=1os3pIfA4ewK5pfNsT915aUBBtJvysY6y</t>
  </si>
  <si>
    <t>https://drive.google.com/open?id=1jVACfZiftT2qExkwuOYw1HEWq6-0VFnK</t>
  </si>
  <si>
    <t>https://drive.google.com/open?id=1nuI164nxMUsrcoENqiLXXEw17JxtwxeD</t>
  </si>
  <si>
    <t>https://drive.google.com/open?id=1rvCJQSZeaF_sh5m4XBcKXDFnldNBm5lz</t>
  </si>
  <si>
    <t>https://drive.google.com/open?id=17FXG19RRGu_DGEivCgvuA3NvF5dPklry</t>
  </si>
  <si>
    <t>SY AMCAT SCORE AND TY AMCAT SCORE 
BECAUSE LAST TIME UPDATES SCORE WAS NOT AVAILABLE</t>
  </si>
  <si>
    <t>0120190140</t>
  </si>
  <si>
    <t>SAWANT</t>
  </si>
  <si>
    <t>prathameshs7810@gmail.com</t>
  </si>
  <si>
    <t>https://www.linkedin.com/in/prathamesh-sawant-54b78121b</t>
  </si>
  <si>
    <t>RAJENDRA SAWANT</t>
  </si>
  <si>
    <t>SAVITA SAWANT</t>
  </si>
  <si>
    <t>Tara ishwar bunglow, korane mala, Lakshtirt vasahat, Kolhapur, 416010</t>
  </si>
  <si>
    <t>At-Savatwadi, Post-mhasurli, Tal-Radhanagari, Kolhapur, 416205</t>
  </si>
  <si>
    <t>CS101T- C programming     ME104T- Engineering Graphics</t>
  </si>
  <si>
    <t>Maven Silicon: VLSI Soc design using Verilog HDL</t>
  </si>
  <si>
    <t xml:space="preserve">AWS Certified Cloud Practitioner </t>
  </si>
  <si>
    <t>Web Development from Codekul</t>
  </si>
  <si>
    <t>VIEH Machine Learning</t>
  </si>
  <si>
    <t>Face Mask Detection</t>
  </si>
  <si>
    <t>Python, C#, HTML, CSS, JavaScript</t>
  </si>
  <si>
    <t>30 days of Google cloud Programme,   Aws Foundational Certification,  Energy Conservation by mit academy of Engineering</t>
  </si>
  <si>
    <t>Sports: Kabaddi</t>
  </si>
  <si>
    <t>https://preskilet.com/watch?v=62a21a0dfed70c00042b6864</t>
  </si>
  <si>
    <t>https://drive.google.com/open?id=1r0i47222I7ENmN-NFgcALM6ec6LLLSDl</t>
  </si>
  <si>
    <t>https://drive.google.com/open?id=1t3IJHFtQnZ8S3qknzjuKmQXbt4_LkvgV</t>
  </si>
  <si>
    <t>https://drive.google.com/open?id=1J6Hw7o5N1SwN6vGV8vixrPb3Mov4NUKx</t>
  </si>
  <si>
    <t>https://drive.google.com/open?id=1zK-jXTZ7ROokMl4cctuR0QU_P0HYYjWS</t>
  </si>
  <si>
    <t>0120190472</t>
  </si>
  <si>
    <t>VEDANTIKA</t>
  </si>
  <si>
    <t>VISHWAS</t>
  </si>
  <si>
    <t>WAGAJ</t>
  </si>
  <si>
    <t>vedantikawagaj@gmail.com</t>
  </si>
  <si>
    <t>linkedin.com/in/vedantika-wagaj-8379041aa</t>
  </si>
  <si>
    <t>VISHWAS WAGAJ</t>
  </si>
  <si>
    <t>SUJATHA WAGAJ</t>
  </si>
  <si>
    <t>Flat No T-3, Rishabh Apartment ,Sanjay Park, Pune- 411032</t>
  </si>
  <si>
    <t>660/900</t>
  </si>
  <si>
    <t>681.6/900</t>
  </si>
  <si>
    <t>University Of Michigan(Coursera): Programming For Everybody(Getting Started with Python)</t>
  </si>
  <si>
    <t>Palo Alto: Network Security Fundamentals</t>
  </si>
  <si>
    <t>Minor Project (SY):
Our group developed a mobile application called Gradeasy using flutter,Django REST Framework for semantically analyzing the similarity between two documents. We used Natural Language Processing techniques like LSA (latent semantic analysis) and BLEU (Bilingual evaluation understudy) to compare the documents and Fuzzy Logic to map the result of the two algorithms and generate the final score.
SY Summer Internship:
I worked in Kalpas Innovations Pvt. Ltd. as a Flutter Developer where I developed the front-end of LetsLiink which is a networking/dating application for iOS and Android. I worked on the design, user interface and API integration.</t>
  </si>
  <si>
    <t>Major Project (TY):
My group developed a web application Proctoror which is an AI Based Smart Proctoring System using React JS,Node JS and Python which monitors the activities carried out by the students during the online examination,detects any malpractices used and generates a detailed report for the instructor to view.
TY Summer Internship:
I am currently working as a Backend Developer with OneAll Digital where I'm developing the backend and database of Saratthi mobile app which is a driver booking application and its admin panel using Node.js and MongoDB.</t>
  </si>
  <si>
    <t>React.js (JavaScript/Typescript), Django (Python), Flutter, Node.js</t>
  </si>
  <si>
    <t>AutoCAD, Fusion 360, Proteus, MATLAB, Postman, MongoDB Compass,Android Studios,VS code</t>
  </si>
  <si>
    <t>2nd Academic topper of E&amp;TC in second Year (2020-2021)
Was the female topper in Online Coding Contest conducted by 
CodeChef MITAOE Chapter club.
Was in top-10 of Pair Programming coding contest which was conducted by CodeChef MITAOE Chapter club.</t>
  </si>
  <si>
    <t>https://preskilet.com/watch?v=6298c2e61eda900004ec124a</t>
  </si>
  <si>
    <t>https://drive.google.com/open?id=1F3M6EixwWe22h_Pz2Pe_cAztQRcEq2Kg</t>
  </si>
  <si>
    <t>https://drive.google.com/open?id=1FT2BCa2Bl2iPq0dw81lowAvAcEG0Ethf</t>
  </si>
  <si>
    <t>https://drive.google.com/open?id=1vYpIL-i2OAcsF6ot26H29IH5fS1wN-c0</t>
  </si>
  <si>
    <t>https://drive.google.com/open?id=1sIxT-1wwzzF6lZAtrHmxeUqWirv_Eh3d</t>
  </si>
  <si>
    <t>https://drive.google.com/open?id=1C9p3qND74qmrO_0joLguAizq7-Mye6h5</t>
  </si>
  <si>
    <t>https://drive.google.com/open?id=1gxXecLl78QIu6yxK97E70tXwzAzf7VMK</t>
  </si>
  <si>
    <t>https://drive.google.com/open?id=1OyNqU2CdiebJUs3XRRpjqiYTBpPODImN</t>
  </si>
  <si>
    <t>https://drive.google.com/open?id=1fWwTI5sxviIVQGEIiKxDsX0LSJ3oPhK_</t>
  </si>
  <si>
    <t>https://drive.google.com/open?id=1a0CA2MvJj4P9X9wT9GoYJ70xgP5eL5hB</t>
  </si>
  <si>
    <t>https://drive.google.com/open?id=1TQWoXe4Ckb5IRizb8LTEP1tqoEDsh9MI</t>
  </si>
  <si>
    <t>https://drive.google.com/open?id=1PJ5NmKfE2nmay7q6-Rf8V_LY3hQcDspj</t>
  </si>
  <si>
    <t>AMCAT had some issue while downloading the report, therefore I had uploaded screenshots of the report.But now the reports are being downloaded so I had to update the uplaoded documents.</t>
  </si>
  <si>
    <t>0120190293</t>
  </si>
  <si>
    <t>YASHRAJ</t>
  </si>
  <si>
    <t>KHARADE</t>
  </si>
  <si>
    <t>yashrajkharade671@gmail.com</t>
  </si>
  <si>
    <t>https://www.linkedin.com/in/yashraj-kharade/</t>
  </si>
  <si>
    <t>PRAMOD KHARADE</t>
  </si>
  <si>
    <t>SHUBHANGI KHARADE</t>
  </si>
  <si>
    <t>At Post Umbraj, Tal Karad, Dist Satara, Maharashtra</t>
  </si>
  <si>
    <t>Maven Silicon : VLSI SoC Design Using Verilog HDL</t>
  </si>
  <si>
    <t>AWS Cloud Practitioner Essentials</t>
  </si>
  <si>
    <t>Zensar Employability Skill Development Program</t>
  </si>
  <si>
    <t>Blueprism Robotic Process Automation
Eduskills Foundation
1.Blueprism Foundation Training
2.Blueprism Associate developer
3.Developing a small scale RPA model using Blueprism technologies</t>
  </si>
  <si>
    <t>Web Development
Fate Technologies
1. Create simulations of a given customer application
2. Create screen designs with CSS/HTML/jQuery of the given screens
3. Write validations of screen inputs as required for functionality &amp; create simulation packages
4. Test the simulation package &amp; deploy it in LMS</t>
  </si>
  <si>
    <t>Brain Tumor Detection and Classification Using Deep Learning</t>
  </si>
  <si>
    <t>React.js (JavaScript/Typescript), Bootstrap,Express.js, Node.js</t>
  </si>
  <si>
    <t>AutoCAD, Fusion 360, Proteus, MATLAB, Cisco Packet Tracer, Keil, MPLABx</t>
  </si>
  <si>
    <t>*The coding competition of ChemKriti (CH++ ) organised by National Institute of
Technology (NIT), Durgapur
*Poster Presentation on “A secure Cloud storage system for storing IoT data by
applying role based encryption” organized by MIT Pune.
*GK quiz competition organized by Rayat Shikshan Sanstha Satara.</t>
  </si>
  <si>
    <t>• AIR 57 at National Engineering Olympiad 2021.
• Winner of Taluka level Essay Writing Competition 2020.</t>
  </si>
  <si>
    <t xml:space="preserve">*Python for Everybody : University of Michigan
*Linux and Data Analytics : Vodafone Idea Foundation
</t>
  </si>
  <si>
    <t>*Participant of District level Kho-Kho Championship.
*College Chess Competition</t>
  </si>
  <si>
    <t>https://preskilet.com/watch?v=62b4724e30b2800004523363</t>
  </si>
  <si>
    <t>https://drive.google.com/open?id=1GfzG-QgjPbAgs_h6yFVEINN5QqkdrgnV</t>
  </si>
  <si>
    <t>https://drive.google.com/open?id=1fdrpA3X9ODwpCfRsiG2BasHp6npxZ-_R</t>
  </si>
  <si>
    <t>https://drive.google.com/open?id=107P3sBl5xTYrrp8ZBbnRTpaaXTFEZNDv</t>
  </si>
  <si>
    <t>https://drive.google.com/open?id=1ML1VIfmc4skkE78ANPWdGVE0ljIhXWaB</t>
  </si>
  <si>
    <t>https://drive.google.com/open?id=1LkMcJAD4XRW993_9QVLchJ0KrOTPAEOB</t>
  </si>
  <si>
    <t>https://drive.google.com/open?id=1HfriN4sF_13_l-3GZu6SBhxCjiMcadKg</t>
  </si>
  <si>
    <t>0120190548</t>
  </si>
  <si>
    <t>shruti03102001@gmail.com</t>
  </si>
  <si>
    <t>https://www.linkedin.com/in/shruti-pawar-0901911aa/</t>
  </si>
  <si>
    <t>NITIN PAWAR</t>
  </si>
  <si>
    <t>VANDANA PAWAR</t>
  </si>
  <si>
    <t>E_903, S3 Lifestyle Apt, Pimple Saudagar, Pune</t>
  </si>
  <si>
    <t>Oracle Certified Foundations Associate: Oracle</t>
  </si>
  <si>
    <t>AWS Telemetry: AWS
AWS Graduate: AWS
INTRODUCTION TO IBM CLOUD: IBM
QWIKLABS: GOOGLE CLOUD PLATFORM</t>
  </si>
  <si>
    <t xml:space="preserve">Zensar
Microsoft AZ-900: Microsoft Azure
Cloud Practitioner: AWS </t>
  </si>
  <si>
    <t>Company- In house (MIT-AERO)
Project- RC Plane design, Design of Quad-copter, Use of ANSYS software and its application
Role- Intern</t>
  </si>
  <si>
    <t>Company- Sparks Foundation
Project- Web D
Role- Intern</t>
  </si>
  <si>
    <t>Company- Hexaware Technologies
Project- AutoML
Role- Intern</t>
  </si>
  <si>
    <t>BOOK RECOMMENDATION SYSTEM ALONG WITH CHAT BOT</t>
  </si>
  <si>
    <t>Secured First prize in M-exhibit state level UG technical project competition.
Secured First prize in Placement Experia by Bose.</t>
  </si>
  <si>
    <t xml:space="preserve">Secured First prize in M-exhibit state level UG technical project competition.
</t>
  </si>
  <si>
    <t>Title- DBMS, JAVA and PYTHON
FREE TRAINING
COMPANY- ZENSAR</t>
  </si>
  <si>
    <t xml:space="preserve">Public Speaking in MUNs, Like to do Rowing,  participated in 32 DAE All India Online Essay Contest on Nuclear Science &amp; Technology”
</t>
  </si>
  <si>
    <t>https://preskilet.com/watch?v=62a3141fa6956a00045ff867</t>
  </si>
  <si>
    <t>https://drive.google.com/open?id=1mD_dZcJfTDWIi_G5jqfXKuLcgxQOnsQS</t>
  </si>
  <si>
    <t>https://drive.google.com/open?id=1x2yl9U5yjR_gQWqPLvrUK0xlNZZQWCrc</t>
  </si>
  <si>
    <t>https://drive.google.com/open?id=1flWBhhpQXe_BWdaCKtsfVQdAmG_e35Y9</t>
  </si>
  <si>
    <t>https://drive.google.com/open?id=1dW9e2lwVfPbvcK2KTr4UmZYKwMpi39_U</t>
  </si>
  <si>
    <t>https://drive.google.com/open?id=1sBTWjNJIHU3lNzO3ioVu9WD8QsPoN1Ag</t>
  </si>
  <si>
    <t>https://drive.google.com/open?id=1S1kgESLGIK2_mbnFPGbEAdcJ3fAAoSyM</t>
  </si>
  <si>
    <t>https://drive.google.com/open?id=1InOJ2oKwuW7i-A2KeS6KziDPpCm2BI29</t>
  </si>
  <si>
    <t>https://drive.google.com/open?id=1J0dPUnxSuxcIfQoQE2pgwQBc2-amkXSe</t>
  </si>
  <si>
    <t>SY AMCAT Result and TY AMCAT Result because the report was not available.</t>
  </si>
  <si>
    <t>0120190026</t>
  </si>
  <si>
    <t>AQSA</t>
  </si>
  <si>
    <t xml:space="preserve">MAHEMOOD </t>
  </si>
  <si>
    <t>TADVI</t>
  </si>
  <si>
    <t>aqsatadvi214@gmail.com</t>
  </si>
  <si>
    <t>https://www.linkedin.com/in/aqsa-tadvi-175b40217</t>
  </si>
  <si>
    <t>MAHEMOOD TADVI</t>
  </si>
  <si>
    <t xml:space="preserve">ANNU </t>
  </si>
  <si>
    <t>1051 POH colony, 15th block, Railway Quater, bhusawal</t>
  </si>
  <si>
    <t>ET362T - principles of communication systems</t>
  </si>
  <si>
    <t xml:space="preserve">AS105T - CALCULUS AND DIFFERENTIAL EQUATIONS
CV102L APPLIED MECHANICS
CH101T SCIENCE OF NATURE
</t>
  </si>
  <si>
    <t xml:space="preserve">PCB design training </t>
  </si>
  <si>
    <t xml:space="preserve">Autocad certificate 
Python certificate
MATLAB onramp certificate 
Google certificate </t>
  </si>
  <si>
    <t xml:space="preserve">The fundamentals of digital marketing and iot based microcontroller </t>
  </si>
  <si>
    <t>Signal and Telecommunication Department in railway
Learning about how communication is done</t>
  </si>
  <si>
    <t>Smart trolley</t>
  </si>
  <si>
    <t xml:space="preserve">FY I was the team member of our college magazine
In TY I was the coordinator of our college feast informal Anchoring team 
In Fy and in Ty I was the volunteer of blood donation camp
And now TY and btech I am the member of NSS </t>
  </si>
  <si>
    <t>https://preskilet.com/watch?v=62b4b41030b2800004523858</t>
  </si>
  <si>
    <t>https://drive.google.com/open?id=1PbEGg8vBO6LfgvE-zm86cfQEohBccpw0</t>
  </si>
  <si>
    <t>https://drive.google.com/open?id=1ENmmIVv0AduppjEECozEnHrPijwC2ACh</t>
  </si>
  <si>
    <t>https://drive.google.com/open?id=1eWU00FCGtDmScUjKSGZ04868qjt34zVd</t>
  </si>
  <si>
    <t>0120190225</t>
  </si>
  <si>
    <t>AKSHAY</t>
  </si>
  <si>
    <t>KAPASE</t>
  </si>
  <si>
    <t>akapse998@gmail.com</t>
  </si>
  <si>
    <t>https://www.linkedin.com/in/akshay-kapase</t>
  </si>
  <si>
    <t>BAJIRAO DAYARAM KAPASE</t>
  </si>
  <si>
    <t>PRATIBHA BAJIRAO KAPASE</t>
  </si>
  <si>
    <t>Changdev Nagar , Waki Road, Jamner, Dist. Jalgaon, Maharashtra</t>
  </si>
  <si>
    <t>Embedded System Design - ET343L</t>
  </si>
  <si>
    <t>MAVEN SILICON: VLSI SoC Design using Verilog HDL</t>
  </si>
  <si>
    <t>AICTE: Cybersecurity Virtual Internship by Paloalto</t>
  </si>
  <si>
    <t>Zensar Employability skill Development Program</t>
  </si>
  <si>
    <t>Embedded systems and IoT by IIT Varanasi</t>
  </si>
  <si>
    <t>Android app Development by Internshala</t>
  </si>
  <si>
    <t xml:space="preserve">Project : Unmanned Aerial Vehicle </t>
  </si>
  <si>
    <t>Python, Java, HTML, CSS, JavaScript, Rust, PHP, Kotlin</t>
  </si>
  <si>
    <t>Android Development (Java/Kotlin), React.js (JavaScript/Typescript), Spring &amp; Hibernate (Java)</t>
  </si>
  <si>
    <t>1. Participated in SAEINDIA AERO DESIGN CHALLENGE 2021</t>
  </si>
  <si>
    <t>https://preskilet.com/abkapse@mitaoe.ac.in</t>
  </si>
  <si>
    <t>https://drive.google.com/open?id=13DT_rxjPwvpCvnAWoaP5hBlEIQASK5KS</t>
  </si>
  <si>
    <t>https://drive.google.com/open?id=1G0S64yRwx26r-UopZrbH8nr41XGk06aP</t>
  </si>
  <si>
    <t>https://drive.google.com/open?id=1Lz5WBSL24lvC1tlLVvMGBVAfINPQ5rfO</t>
  </si>
  <si>
    <t>https://drive.google.com/open?id=16QFW8eqKqDV-i0BCyEcDOaRMG0Fv9oL2</t>
  </si>
  <si>
    <t>https://drive.google.com/open?id=1pILX3-HGjUAqA0viJHOJniXhFqjMvv6q</t>
  </si>
  <si>
    <t>https://drive.google.com/open?id=1cTYB0ehcmIhaDqOuo0fnJTXnjmSzmuFs</t>
  </si>
  <si>
    <t>I haven't submitted the SY AMCAT result so I have updated it now.</t>
  </si>
  <si>
    <t>0120190182</t>
  </si>
  <si>
    <t>DIWATE</t>
  </si>
  <si>
    <t>shrutidiwate555@gmail.com</t>
  </si>
  <si>
    <t>www.linkedin.com/in/shruti-diwate-66b030201</t>
  </si>
  <si>
    <t>MANISH SHANTARAM DIWATE</t>
  </si>
  <si>
    <t>VAISHALI MANISH DIWATE</t>
  </si>
  <si>
    <t>Near Trilium Mall, Anuradha Colony, Sainagar, Amravati</t>
  </si>
  <si>
    <t xml:space="preserve">Near Trilium Mall, Anuradha Colony, Sainagar, Amravati
</t>
  </si>
  <si>
    <t>English - 635 , Logical - 650, Quantitative- 475, Average- 586.66</t>
  </si>
  <si>
    <t>Zensar ESD Programme</t>
  </si>
  <si>
    <t>Microsoft DP-900: Microsoft Data Fundamentals, Microsoft Azure AZ-900:
Fundamentals</t>
  </si>
  <si>
    <t>Project: Smart Parking System for Autonomous Vehicle - Created an interface that will store data about the parking systems at various places through which the vehicle would be able to track and allot it a slot.
Internship on IoT - Ennovate Skills</t>
  </si>
  <si>
    <t>Project: Smart Grading and Feedback System - To develop a system that can automatically analyze digital answers written by students and grade them according to fixed specific
rubrics and also suggest them with required feedback.
Internship: IOT Project Development using Industry Grade Microcontroller</t>
  </si>
  <si>
    <t>,Project: Smart Grading and Feedback System - To develop a system that can automatically analyze digital answers written by students and grade them according to fixed specific
rubrics and also suggest them with required feedback.</t>
  </si>
  <si>
    <t xml:space="preserve">Proteus, MATLAB, Jupyter, Google Colab </t>
  </si>
  <si>
    <t>Datathon
Rural Hackathon 
Coding Club MITAOE</t>
  </si>
  <si>
    <t xml:space="preserve">Zensar ESD Training Programme
Machine Learning Training - Internshala
Machine Learning by YBI </t>
  </si>
  <si>
    <t>Informal Anchoring in Nakshatra 2019 - 2020</t>
  </si>
  <si>
    <t>https://preskilet.com/shrutidiwate555@gmail.com</t>
  </si>
  <si>
    <t>https://drive.google.com/open?id=1dZ0koeExq1ykeAy1Wg0JONI4P_ci8FRZ</t>
  </si>
  <si>
    <t>https://drive.google.com/open?id=1qwyKX16xnD0VYUyrl4lyg4r5A1vuu2cu</t>
  </si>
  <si>
    <t>https://drive.google.com/open?id=1HR_3GT6iBv4B608w1KMJrZYY46ADIgzA</t>
  </si>
  <si>
    <t>https://drive.google.com/open?id=1QfQWyvSGZRuyQKOVpT7_UO6wfWdvSXAk</t>
  </si>
  <si>
    <t>https://drive.google.com/open?id=1yWbGwak4k6LZxtnW8AVma5dyuRTnPZKF</t>
  </si>
  <si>
    <t>https://drive.google.com/open?id=1P_RRnktfcsBBQZRBGDLuqBkzafVSfFos</t>
  </si>
  <si>
    <t>https://drive.google.com/open?id=1YUlZhtiSZJ0c-TfcuCzeT7xnAdNfsD0Q</t>
  </si>
  <si>
    <t>https://drive.google.com/open?id=1Xmd1BjxUCOEsXf2jUynBYjLxXxH6U9IX</t>
  </si>
  <si>
    <t>https://drive.google.com/open?id=1HHBJIQbfRPGV0L1dGg7dTsDlhgSGKEfh</t>
  </si>
  <si>
    <t>To upload report</t>
  </si>
  <si>
    <t>0120190005</t>
  </si>
  <si>
    <t>PHUTANE</t>
  </si>
  <si>
    <t>komalphutane0904@gmail.com</t>
  </si>
  <si>
    <t>https://www.linkedin.com/in/komal-phutane</t>
  </si>
  <si>
    <t>Dhanore gaon ,alandi devachi</t>
  </si>
  <si>
    <t>Dhanore gaon,alandi devachi</t>
  </si>
  <si>
    <t>Microsoft Certified: Azure Al Fundamentals  AI -900</t>
  </si>
  <si>
    <t>1)Microsoft Certified: Azure Data Fundamentals
2)oracle cloud certification
3)machine learning with Matlab</t>
  </si>
  <si>
    <t>(Research Base) under doctorate faculty inhouse MITAOE.</t>
  </si>
  <si>
    <t>forest fire using deep learning and remote sensing.</t>
  </si>
  <si>
    <t>appear for infy-tq exam</t>
  </si>
  <si>
    <t>Runner up in “Inc 2022 Project Exhibition” under “Machine Learning 
Domain.</t>
  </si>
  <si>
    <t>1) participated in kho-Kho</t>
  </si>
  <si>
    <t>https://preskilet.com/kaphutane@mitaoe.ac.in</t>
  </si>
  <si>
    <t>https://drive.google.com/open?id=1XimBY8ZREA09-pZATEyi2ROUVPV-kr2x</t>
  </si>
  <si>
    <t>https://drive.google.com/open?id=19OuqkP-4b-5aVwr9L9hijBUL-j2WD_f7</t>
  </si>
  <si>
    <t>https://drive.google.com/open?id=1h-nM6Dz4UZr7kQuJqdcvPHmzPv8gO4xb</t>
  </si>
  <si>
    <t>https://drive.google.com/open?id=1R0ea6sIr1w5SIv4wuX-XZrv4rKd6bFA8</t>
  </si>
  <si>
    <t>https://drive.google.com/open?id=1rNM-jTr1iE482Z_8N3Sie2CI0YhjAzQt</t>
  </si>
  <si>
    <t>https://drive.google.com/open?id=1aCJd4j0bARGqFw8wfHoc-BzCgetsQC0P</t>
  </si>
  <si>
    <t xml:space="preserve">1)Microsoft Certified : Azure AI Fundamentals AI-900 
2)Microsoft Certified: Azure Data Fundamentals
3)oracle cloud certification
4)machine learning with Matlab
Updated technical certification </t>
  </si>
  <si>
    <t>0120190218</t>
  </si>
  <si>
    <t>KISHOR</t>
  </si>
  <si>
    <t>BAWKAR</t>
  </si>
  <si>
    <t>rushikeshbawkar2126@gmail.com</t>
  </si>
  <si>
    <t>https://www.linkedin.com/in/rushikesh-bawkar-874a931ba/</t>
  </si>
  <si>
    <t>KISHOR SHANKARRAO BAWKAR</t>
  </si>
  <si>
    <t>SAVITA KISHOR BAWKAR</t>
  </si>
  <si>
    <t>Flat No.:9, Akshay Terrace, Lokseva Maruti Mandir Road, Next to the Shiv Srushti Building, Gadital, Hadapsar, Pune:411028</t>
  </si>
  <si>
    <t>1. AS105T - CALCULUS AND DIFFERENTIAL EQUATIONS
2. CV102T - APPLIED MECHANICS</t>
  </si>
  <si>
    <t>OCI-[1Z0-1085-21]- Oracle Cloud Infrastructure Foundations 2021 Associate</t>
  </si>
  <si>
    <t xml:space="preserve">Internships - 
1.Electric Vehicle Intern, Elite Techno Group Aug 2021 - Sep 2021
•	Did research based project on EV market
•      Modeled various battery parameters in Matlab software
•	Completed mini project on Ather EBike battery parameters
2.Industrial Automation Intern, AMT	Jul 2021 - Aug 2021
•	Implemented PLC Programming along with RSLogix 500 software.
•	Successfully implemented project on "Home Automation System".
•	Responsible for doing various projects along with PLC programming.
3.Embedded Systems Intern, Anand Techno Creations &amp; IETE In Collaboration With NRIT	Mar 2021 - Apr 2021
•	Virtual Internship on the topic "Design and Development of Sellable Automatic Dispenser".
•	Learnt designing of highly reliable obstacle sensing circuit using IR for Liquid dispensers.
Project:-  Automatic Chocolate Vending Machine (ACVM) using RFID and Arduino
* Project gives solution to the saving time of a user and integration of RFID module is quite necessary for minimum contact and safety during Covid-19.
•	Successfully Arduino code implemented for the ACVM hardware.
•	Created 3D Modeling (Cabinet) in Catia software.
•	Simulated circuit diagram in Proteus Design Suite.
</t>
  </si>
  <si>
    <t xml:space="preserve">Projects
 i) Console based Gun-Shooter Game using Java
 A Simple game to understand how oops works in real software development.
 A wonderful game uses oops concepts like encapsulation, inheritance, and method 
overriding respectively.
 A game plays between two players having weapons and armors to shoot and protect 
from each other and accordingly health calculation done.
ii) Design of a Vending Machine using Java
 A simple text-based program which interact with the vending machine using the 
console and entering text.
 A vending machine dispenses a product to the users based on the amount of coins
inserted and selection of the product.
 Project uses oops concepts like encapsulation, interfaces, method overriding, and 
inheritance respectively.
 Unlike a canteen, project is a cost-effective way to provide food and drink on site
Internship: 
 Zplus Cyber Secure Technologies Pvt. Ltd. 
 Software Intern: Java Intern(June 2022 – August 2022) 
 Currently pursuing training in spring boot framework and will be doing java project 
using spring boot framework. 
</t>
  </si>
  <si>
    <t>Proteus, MATLAB, Eclipse</t>
  </si>
  <si>
    <t>1.Python Add-On Course
2. Interdisciplinary Technical Quiz by Srujan Club
3.Electronics Quiz organized by MIT Arts, Commerce, Science</t>
  </si>
  <si>
    <t>1. Infosys: Programming using Java training (113hrs)
2.Pantech Solutions: 1 month Master Class on Embedded Systems and IoT
3. Coding Ninjas: Nasscom Java course training</t>
  </si>
  <si>
    <t>1.COEP Mindspark's event</t>
  </si>
  <si>
    <t xml:space="preserve"> https://preskilet.com/62a2da79a6956a00045ff355</t>
  </si>
  <si>
    <t>https://drive.google.com/open?id=17WJyZTf_ds0iFxR9VfUvygmYt5Bzd9cR</t>
  </si>
  <si>
    <t>https://drive.google.com/open?id=1Tm49AeMW7u8uJKC1ZCmeX3ECIFNPIQzR</t>
  </si>
  <si>
    <t>https://drive.google.com/open?id=1pRF8-F3FebfQoPxaPjs0Uk3adWAuNfzF</t>
  </si>
  <si>
    <t>https://drive.google.com/open?id=1EQ1iaIgixKVkuKSwEOcnQSCuCmgK8OC7</t>
  </si>
  <si>
    <t>https://drive.google.com/open?id=1s84hQ4d0AKMrxQm7o9GipjauAerLnG1Z</t>
  </si>
  <si>
    <t>https://drive.google.com/open?id=11jayFrAZUUnmibQS2p3WDpcAewfe7qKl</t>
  </si>
  <si>
    <t>0120190606</t>
  </si>
  <si>
    <t>NIRANJAN</t>
  </si>
  <si>
    <t>BALAJI</t>
  </si>
  <si>
    <t>KHANDAGALE</t>
  </si>
  <si>
    <t>nirnjankhandagle2@gmail.com</t>
  </si>
  <si>
    <t xml:space="preserve">nbkhandagale@mitaoe.ac.in </t>
  </si>
  <si>
    <t>https://www.linkedin.com/in/niranjan-khandagale-1b9a4a214</t>
  </si>
  <si>
    <t>At/p Chimbali bargewasti near R engineering company, tal- khed dist pune 412105</t>
  </si>
  <si>
    <t xml:space="preserve">ELQ 630, 565, 520 respectively </t>
  </si>
  <si>
    <t xml:space="preserve">
ET341T DIGITAL SIGNAL PROCESSING
ET342T CONTROL SYSTEM
</t>
  </si>
  <si>
    <t>Infosys: Data science foundation</t>
  </si>
  <si>
    <t xml:space="preserve">UDEMY: MASTERING C++
COURSERA: PYTHON FOR EVERYBODY
</t>
  </si>
  <si>
    <t xml:space="preserve">Udemy: web development </t>
  </si>
  <si>
    <t xml:space="preserve">COURSE: PYTHON FOR EVERYBODY </t>
  </si>
  <si>
    <t xml:space="preserve">COURSE: C PLUS PLUS </t>
  </si>
  <si>
    <t xml:space="preserve">ONGOING </t>
  </si>
  <si>
    <t xml:space="preserve">SMART RESTAURANT MENU ORDERING SYSTEM </t>
  </si>
  <si>
    <t>Automobile Engineering</t>
  </si>
  <si>
    <t xml:space="preserve">Inter school kabbadi champion </t>
  </si>
  <si>
    <t xml:space="preserve">WORKING WITH HELPING HAND NGO
SAVE ENVIRONMENT PROGRAMME
</t>
  </si>
  <si>
    <t>https://preskilet.com/watch?v=62b55338af4f2700045cdc55</t>
  </si>
  <si>
    <t>https://drive.google.com/open?id=1NuTDd_-Mo8x3QEZGf81OX7o7AR4LKiGg</t>
  </si>
  <si>
    <t>https://drive.google.com/open?id=1C3IATobPz_s-NRqLQjh5rX73JOOtuE5T</t>
  </si>
  <si>
    <t>https://drive.google.com/open?id=1EQBYrHBYSTOLrSHZc0tOTSYSKju7pkl0</t>
  </si>
  <si>
    <t>https://drive.google.com/open?id=17KGNeVWgobuShguwavvjQRQrXGmOwyVk</t>
  </si>
  <si>
    <t>0120190228</t>
  </si>
  <si>
    <t>HARSHWARDHAN</t>
  </si>
  <si>
    <t>BARGE</t>
  </si>
  <si>
    <t>bargeh22122000@gmail.com</t>
  </si>
  <si>
    <t>https://www.linkedin.com/in/harshwardhan-barge-988749175</t>
  </si>
  <si>
    <t>Arfal Colony, Koregaon (415501)</t>
  </si>
  <si>
    <t>Dehu Phata, Alandi (412105)</t>
  </si>
  <si>
    <t>ET221L - Electronic Devices And Circuits
ET343T - Embedded System Design</t>
  </si>
  <si>
    <t xml:space="preserve">Getting Started with Azure DevOps Boards - Coursera
Use Canva to Design Course Collateral - Coursera
Introduction to Digital Transformation with Google Cloud - Coursera
Build a Business Presence with Facebook Marketing - Coursera
Introduction to Basic Game Development using Scratch - Coursera
TCS iON Career Edge - Young Professional
MATLAB Onramp - MathWorks
 </t>
  </si>
  <si>
    <t>Cyber Security Fundamentals - VOIS
Japanese Language Proficiency Test - N5</t>
  </si>
  <si>
    <t>Service Intern - Lifeline Global Solutions Pvt. Ltd.</t>
  </si>
  <si>
    <t>Designing and Analysis of ATV - Autosports club in MITAOE, Alandi</t>
  </si>
  <si>
    <t>Designing &amp; manufacturing UAV's - Droneium Aerial Solutions Pvt. Ltd. 
Website development and Social Media Marketing - Droneium Aerial Solutions Pvt. Ltd. 
Designing, Analysis and Fabrication of RC Planes - Aeromodelling club in MITAOE, Alandi</t>
  </si>
  <si>
    <t>Robust Estimation of SOC and SOH Parameters of Li-ion Battery - Nexzu Mobility Pvt. Ltd.</t>
  </si>
  <si>
    <t>AutoCAD, Fusion 360, SolidWorks, CATIA, ANSYS, MATLAB, CorelDraw, Autodesk Inventor Pro, Blender</t>
  </si>
  <si>
    <t>SAE India Southern Section - m-Baja 2021 
SAE India Southern Section – Aero Design Challenge 2022</t>
  </si>
  <si>
    <t xml:space="preserve">AIR 02 -  Go Green, SAE India Southern Section - m-Baja 2021 
AIR 15 - Overall, SAE India Southern Section - m-Baja 2021 
</t>
  </si>
  <si>
    <t xml:space="preserve">NCC Air Wing - 3 Maharashtra Air Squadron NCC
All India Vayu Sainik Camp - 3 Maharashtra Air Squadron NCC
Swimming - State Level
Yogasan &amp; Mallakhamb - Division level </t>
  </si>
  <si>
    <t>https://preskilet.com/watch?v=62ba6ae54b848a00046627f2</t>
  </si>
  <si>
    <t>https://drive.google.com/open?id=1f5aHG-RTg8mqWdBt1-Hl4_ajDFMioimm</t>
  </si>
  <si>
    <t>https://drive.google.com/open?id=1Tah9jxE04wVxuqD2wA7IP8hnD7QZ2FO1</t>
  </si>
  <si>
    <t>https://drive.google.com/open?id=1ks57Hw4-nq1E_S_Me3jCbnaEx2_SVno_</t>
  </si>
  <si>
    <t>https://drive.google.com/open?id=1JwT2c3JIv4IZotS2ru3Wegj_Wdi2UhKg</t>
  </si>
  <si>
    <t>https://drive.google.com/open?id=1ja3RUvhLOGBPo9YD8RxzBn7OTi4HelwO</t>
  </si>
  <si>
    <t>https://drive.google.com/open?id=1mLqFuROBJ5kpv6aLom1W_wuClk4XOlPK</t>
  </si>
  <si>
    <t xml:space="preserve">Amcat report because it was not available before. </t>
  </si>
  <si>
    <t>0120190567</t>
  </si>
  <si>
    <t>SARTH</t>
  </si>
  <si>
    <t>km.sarth@gmail.com</t>
  </si>
  <si>
    <t>https://www.linkedin.com/in/sarth-kumar-9987191b7/</t>
  </si>
  <si>
    <t xml:space="preserve">VIRENDRA KUMAR </t>
  </si>
  <si>
    <t xml:space="preserve">BABITA SHARMA </t>
  </si>
  <si>
    <t>B-4,Mahakali Colliery Near G.M. office, Chandrapur, Maharashtra</t>
  </si>
  <si>
    <t>automatic hand sanitizer with temperature sensor</t>
  </si>
  <si>
    <t>Cycle Rental System</t>
  </si>
  <si>
    <t>Bicycle Rental System</t>
  </si>
  <si>
    <t>Python, C/C++, Dart</t>
  </si>
  <si>
    <t>Proteus</t>
  </si>
  <si>
    <t>E-Submit 2021</t>
  </si>
  <si>
    <t>https://preskilet.com/watch?v=62bde6809535010004fd2be8</t>
  </si>
  <si>
    <t>https://drive.google.com/open?id=1zHPYtQkmcvUxm3qR_3fbNsfPEsLBFPuc</t>
  </si>
  <si>
    <t>https://drive.google.com/open?id=1zS6y7tQ8Ics1u4SgIb_Gh4tMxnEioDRp</t>
  </si>
  <si>
    <t>https://drive.google.com/open?id=1wxt4MVGXrjUDajvLRWeX6zmpojph5mo1</t>
  </si>
  <si>
    <t>0120190172</t>
  </si>
  <si>
    <t>ABHINAV</t>
  </si>
  <si>
    <t>singhabhinav3194@gmail.com</t>
  </si>
  <si>
    <t>https://www.linkedin.com/in/abhinav-singh-8933b5214/</t>
  </si>
  <si>
    <t>MANISH KUMAR SINGH</t>
  </si>
  <si>
    <t>BABITA SINGH</t>
  </si>
  <si>
    <t>Flat 103, Building B, Ganraj Residency, Lane 13 J, Tingre Nagar, Pune- 411032</t>
  </si>
  <si>
    <t xml:space="preserve">Palo Alto -  Network Security Fundamentals </t>
  </si>
  <si>
    <t xml:space="preserve">LabVIEW </t>
  </si>
  <si>
    <t>Online course on Electronics from Coursera</t>
  </si>
  <si>
    <t>LabVIEW Training from Internshala</t>
  </si>
  <si>
    <t>Suzlon Energy Limited</t>
  </si>
  <si>
    <t>GPR for detection of Plumbing system in a wet wall</t>
  </si>
  <si>
    <t>ANSYS, Proteus, MATLAB, CST Studio Suite</t>
  </si>
  <si>
    <t>Badminton</t>
  </si>
  <si>
    <t>https://preskilet.com/watch?v=62a365cda6956a0004600011</t>
  </si>
  <si>
    <t>https://drive.google.com/open?id=1fYHHYYViQ6Bpavp5wipGymFC7CfbAQ9n</t>
  </si>
  <si>
    <t>https://drive.google.com/open?id=1UyWxseFwcVfUVMguTsy5GK2CZY5b9xjH</t>
  </si>
  <si>
    <t>https://drive.google.com/open?id=1Up7hskVR8TbrEqvRNA06CqxSHVuPK6NU</t>
  </si>
  <si>
    <t>https://drive.google.com/open?id=1wCdxwq7Lz50lozg5OMYyUy3ZYQzuakZd</t>
  </si>
  <si>
    <t>https://drive.google.com/open?id=1sdrl0dudKPrDmwSQqB8vux-Loj_LQlz5</t>
  </si>
  <si>
    <t>https://drive.google.com/open?id=1CkPxLnUfyUXQVZp6lpmXkzBIVSv1k_76</t>
  </si>
  <si>
    <t>Didnt receive palo alto certificate</t>
  </si>
  <si>
    <t>0120190073</t>
  </si>
  <si>
    <t>UDYANRAJE</t>
  </si>
  <si>
    <t>BHASKAR</t>
  </si>
  <si>
    <t>amar10bhosale7@gmail.com</t>
  </si>
  <si>
    <t>linkedin.com/in/udyanraje-bhosale-77089b241</t>
  </si>
  <si>
    <t>Sr no.4, Plot no.25, Samarth Nagar, Alandi Road Dighi, Pune-411015.</t>
  </si>
  <si>
    <t>Microsoft AZ-900: Microsoft Azure Fundamentals Az.</t>
  </si>
  <si>
    <t>1.Full stack web development by internshala.
2.Angular by internshala.</t>
  </si>
  <si>
    <t>Not yet Found.</t>
  </si>
  <si>
    <t>Real time attendance monitoring system using RFID.</t>
  </si>
  <si>
    <t>Android Development (Java/Kotlin), Angular, Django (Python)</t>
  </si>
  <si>
    <t>1.Bagged Runners Up in 2019-20 nakshatra inter-department football.
2.Bagged Runners Up in 2021-22 nakshatra inter-department football.
3.Bagged Third Place in 2021-22 Red Bull football tornament.
4.Participated in Farewell of 2023 batch and nakshatra as guitarist.</t>
  </si>
  <si>
    <t>https://preskilet.com/watch?v=62bda8879535010004fd27b1</t>
  </si>
  <si>
    <t>https://drive.google.com/open?id=19Q1wThECa03BIo6qAUEo_tKB_2PmRng9</t>
  </si>
  <si>
    <t>https://drive.google.com/open?id=16paxBCcV2mQd_AI8R92THO6-qABD81Si</t>
  </si>
  <si>
    <t>https://drive.google.com/open?id=1llY8kTvrQv__rKh-R1jF-eaz5yx2hP5X</t>
  </si>
  <si>
    <t>https://drive.google.com/open?id=1ffgldzNJv-oGFWxBFRydog5BaDlB71Ef</t>
  </si>
  <si>
    <t>https://drive.google.com/open?id=1WsLZ-hDLDJQ-XY2-7lRGjWfiN7AsxD6z</t>
  </si>
  <si>
    <t>Technical certification,Amcat SY result, Preskillet link.</t>
  </si>
  <si>
    <t>0120190502</t>
  </si>
  <si>
    <t>MEET</t>
  </si>
  <si>
    <t>GAUTAM</t>
  </si>
  <si>
    <t>BEDMUTHA</t>
  </si>
  <si>
    <t>meetbedmutha@gmail.com</t>
  </si>
  <si>
    <t>https://www.linkedin.com/in/meet-bedmutha-687243230/</t>
  </si>
  <si>
    <t xml:space="preserve">GAUTAM BEDMUTHA </t>
  </si>
  <si>
    <t xml:space="preserve">CHITRA BEDMUTHA </t>
  </si>
  <si>
    <t>Maruti road near jain bhawan,Manmad</t>
  </si>
  <si>
    <t xml:space="preserve">Dehu phata, Alandi </t>
  </si>
  <si>
    <t>Zensar-ESD</t>
  </si>
  <si>
    <t>Pantech Solution</t>
  </si>
  <si>
    <t>Feynn Labs- Machine Learning</t>
  </si>
  <si>
    <t>Python, Java, C/C++, HTML, CSS, JavaScript, VHDL</t>
  </si>
  <si>
    <t>AutoCAD, Proteus, MATLAB, XILINX</t>
  </si>
  <si>
    <t>Datathon-2022 
Code Bytes-2022
Impetus-2022</t>
  </si>
  <si>
    <t xml:space="preserve">Secured 6 th rank in Datathon held at MITAOE under equilibrium 
Secured 81st rank globally n code chef October 2021 long challenge 
Secured All india rank in JEE advance 2019 in top 10 percent   </t>
  </si>
  <si>
    <t>Data Analytics Virtual Experience - Accenture</t>
  </si>
  <si>
    <t>https://preskilet.com/watch?v=629f12fdfbc1b50004e59d72</t>
  </si>
  <si>
    <t>https://drive.google.com/open?id=1RnHo964jNlGHELwVvMcOkRihZ5dwzopR</t>
  </si>
  <si>
    <t>https://drive.google.com/open?id=14C35uHQO1gU-eNRXjhLWtnc8fDUe8I6L</t>
  </si>
  <si>
    <t>https://drive.google.com/open?id=1UN__OpTgPvL8e5tphEcJr4UaFzXm8rz4</t>
  </si>
  <si>
    <t>https://drive.google.com/open?id=1jSipjTo_HD3asZUkgFGPVxHMRafhGHTq</t>
  </si>
  <si>
    <t>https://drive.google.com/open?id=18plhXVKoEDZwXEy57w8QXxhUswRMm1XQ</t>
  </si>
  <si>
    <t>https://drive.google.com/open?id=1jzASLrwacrq7uKaSmFfDbHA3zS6Qa0hy</t>
  </si>
  <si>
    <t>Internship details and AMCAT Results for SY and TY</t>
  </si>
  <si>
    <t>0120190487</t>
  </si>
  <si>
    <t>KSHITIJ</t>
  </si>
  <si>
    <t>BANGDE</t>
  </si>
  <si>
    <t>kvbangde7@gmail.com</t>
  </si>
  <si>
    <t>www.linkedin.com/in/kshitij-bangde-91b736220</t>
  </si>
  <si>
    <t>VIJAY  MAHADEORAO BANGDE</t>
  </si>
  <si>
    <t>KAVITA VIJAY BANGDE</t>
  </si>
  <si>
    <t>Exotica 2, Wing A, Green city, near podar international school, gotal panjri, nagpur</t>
  </si>
  <si>
    <t xml:space="preserve">Destinantion  Osiyan B-703, charhoil budruk, near tanish orchid, pune  </t>
  </si>
  <si>
    <t>ZENSAR EMPLOYBILITY TRAINING</t>
  </si>
  <si>
    <t xml:space="preserve">MSME PYTHON TRANING </t>
  </si>
  <si>
    <t xml:space="preserve">MSME BHIWADI TRANING CUM INTERNSHIP </t>
  </si>
  <si>
    <t>CUBEXCEL TECHNOLOGIES PVT LTD</t>
  </si>
  <si>
    <t>To Develop an IoT Based System for Accessing e-Resources</t>
  </si>
  <si>
    <t>https://preskilet.com/watch?v=62b2bea0cd590700045fb2a1</t>
  </si>
  <si>
    <t>https://drive.google.com/open?id=12S-KIond1HcB8ASO1VMmbr3gH0uIDzbo</t>
  </si>
  <si>
    <t>https://drive.google.com/open?id=1-yL9nAGLfrUHK6QkQ1iDqOu9_EyKzumT</t>
  </si>
  <si>
    <t>https://drive.google.com/open?id=1OBSehv7q1-renDCSlYTxeQEbSwd-Wq7q</t>
  </si>
  <si>
    <t>https://drive.google.com/open?id=1SqMSHyM34r6jU6syJcHoOnGGCNpUxrKQ</t>
  </si>
  <si>
    <t>https://drive.google.com/open?id=1kfBF9iSMCMfTEDDIKm_ayZDSP6Itik48</t>
  </si>
  <si>
    <t>https://drive.google.com/open?id=11wRJcGgqTPtevGo_aW9GT9Y1wXjZjLHb</t>
  </si>
  <si>
    <t xml:space="preserve">I have updated the Technical certificate because I haven't received the document where I have done the certification. </t>
  </si>
  <si>
    <t>0120190375</t>
  </si>
  <si>
    <t>dmpatil4546@gmail.com</t>
  </si>
  <si>
    <t>https://www.linkedin.com/in/dhiraj-patil-3830b5215</t>
  </si>
  <si>
    <t>MANGAL PATIL</t>
  </si>
  <si>
    <t>VIDYABAI</t>
  </si>
  <si>
    <t>AT POST VARDI Taluka Chopda district Jalgaon-425107, Maharashtra.</t>
  </si>
  <si>
    <t>Dehu Phata Alandi, Pune-412105</t>
  </si>
  <si>
    <t xml:space="preserve"> 601.66/900</t>
  </si>
  <si>
    <t>656.66/900</t>
  </si>
  <si>
    <t>Palo Alto: Networks Security Fundamentals</t>
  </si>
  <si>
    <t>Zensar Technologies: Zensar skill development program 2022,</t>
  </si>
  <si>
    <t>Coursera: Programming for Everybody (Getting started with Python) was done in which Python fundamentals gets cleared.</t>
  </si>
  <si>
    <t>Digital IR Thermometer and oximeter is our SY minor project which is implemented successfully in difficult COVID situation. By doing the project I learnt programming Arduino and sensors. And much more about embedded systems.  And I had done Cisco: Introduction to IOT course as SY summer internship in which I learnt all fundamentals of IOT.</t>
  </si>
  <si>
    <t>UAV for low payload delivery is the title of project. As mentioned in the title itself we had designed the UAV(Unmmaned Aerial Vehicle) to deliver the low payload objects.</t>
  </si>
  <si>
    <t>UAV for low payload delivery</t>
  </si>
  <si>
    <t>Django (Python), Flask (Python), Robot Framework</t>
  </si>
  <si>
    <t>1. Anand Techno Creations: To design and develop sellable automatic dispenser (internship)
2. Udemy: Crazy for Arduino(course)
3. Matlab: Matlab Onramp</t>
  </si>
  <si>
    <t>https://preskilet.com/62a36b66a6956a00046000bb</t>
  </si>
  <si>
    <t>https://drive.google.com/open?id=1YhNMSuC7mTCuAUG8ReTUnvZQNJy0iyzJ</t>
  </si>
  <si>
    <t>https://drive.google.com/open?id=1lp3I17Mi_Grw432vMz25bZ_MnB8sv7Ep</t>
  </si>
  <si>
    <t>https://drive.google.com/open?id=1PcuHb4HnTJt-jlw88CB5w8IK2V88yPjA</t>
  </si>
  <si>
    <t>https://drive.google.com/open?id=16O72XNbYL4FKHUGYAs7SjaclPTuXBLsr</t>
  </si>
  <si>
    <t>https://drive.google.com/open?id=1vReU20fqCrlPpWwhX1NzEQ_8JtUlfInK</t>
  </si>
  <si>
    <t>0120190402</t>
  </si>
  <si>
    <t>NISARG</t>
  </si>
  <si>
    <t>SHAHAJI</t>
  </si>
  <si>
    <t>KUTWAL</t>
  </si>
  <si>
    <t>kutwalnisarg@gmail.com</t>
  </si>
  <si>
    <t>https://www.linkedin.com/in/nisarg-kutwal-0509521a0/</t>
  </si>
  <si>
    <t>SHAHAJI KUTWAL</t>
  </si>
  <si>
    <t>MINAKSHI KUTWAL</t>
  </si>
  <si>
    <t>Shahaji Kutwal,Bhondwe wadi, Supe,Baramati,Pune,Maharashtra,412204</t>
  </si>
  <si>
    <t xml:space="preserve">A402 ,Dnyanayog society , Opposite to BOI ,Alandi Branch, Alandi , Pune  ,Maharashtra,412105 </t>
  </si>
  <si>
    <t xml:space="preserve">CV102T - APPLIED MECHANICS
ET230L -  MINOR PROJECT DESIGN
</t>
  </si>
  <si>
    <t>Cybersecurity Foundation - Palo alto</t>
  </si>
  <si>
    <t>In house (MITAOE) - Design and develop an application for monitoring soil nutrients</t>
  </si>
  <si>
    <t>3 factor authentication for secure login.</t>
  </si>
  <si>
    <t>https://preskilet.com/watch?v=62bd7a1b9535010004fd25f0</t>
  </si>
  <si>
    <t>https://drive.google.com/open?id=1IMj7H5u4RWtQAxObweDD-4XsOlBcIzSG</t>
  </si>
  <si>
    <t>https://drive.google.com/open?id=1xHFFRm0Ta2GBzRHpbWAvtPIWz4VNXBSi</t>
  </si>
  <si>
    <t>https://drive.google.com/open?id=1tQ_FCitnGeX_zI9hpBYj8ECUk_-uKy9B</t>
  </si>
  <si>
    <t>https://drive.google.com/open?id=1GwKY3uRvM0lxSHfT6R7BMrJu5MWBeT1M</t>
  </si>
  <si>
    <t>https://drive.google.com/open?id=1RR_Z6UoutJADkatYtXat9cL0OyXCZgmH</t>
  </si>
  <si>
    <t>https://drive.google.com/open?id=1MN09F3PD5Uqu7a7F9-Noo_TuNj0kes-d</t>
  </si>
  <si>
    <t>https://drive.google.com/open?id=1tzZgKc0WZkgVOjWOjB2o5k69MFY2b0_j</t>
  </si>
  <si>
    <t>https://drive.google.com/open?id=1a5k69x5xBsr0_42LGVihwiGBzPc5SrTj</t>
  </si>
  <si>
    <t>SY &amp; TY AMCAT RESULT (earlier it was not downloading )</t>
  </si>
  <si>
    <t>0120190294</t>
  </si>
  <si>
    <t>UJWALKUMAR</t>
  </si>
  <si>
    <t>maneamit349@gmail.com</t>
  </si>
  <si>
    <t>https://www.linkedin.com/in/amit-mane-933b71209/</t>
  </si>
  <si>
    <t>UJWALKUMAR BABAN MANE</t>
  </si>
  <si>
    <t>RAJSHRI UJWALKUMAR  MANE</t>
  </si>
  <si>
    <t>Flat no. D-602, 6th floor. Wing 'D', Flora Casa Apartment, Jule Solapur- 413004</t>
  </si>
  <si>
    <t xml:space="preserve">Parave niwas, near Nikhil Grocery mall, dehu phata, pimpari Chinchavad, Maharashtra-412105 </t>
  </si>
  <si>
    <t>"Industrial Training By Zensar Technologies"</t>
  </si>
  <si>
    <t>Virtual internship at Google pay by gigindia</t>
  </si>
  <si>
    <t>WEB DEVELOPMENT BY VIEH GROUP</t>
  </si>
  <si>
    <t>YourBusinessMaker.com: An e-commerce website(We are designing a website which is combination of 3 platforms like E-commerce, Blogs and videos for who are willing to do start up or beginner in business and Consultancy platform for users in one platform)</t>
  </si>
  <si>
    <t>1. participated in the hackathon named INFITIQ organised by INFOSYS
2.participated in the Juspay Hiring Challenge 2022 organised
by Juspay</t>
  </si>
  <si>
    <t>Industrial Training Offered by Zensar Technologies</t>
  </si>
  <si>
    <t xml:space="preserve">Taken Part in cultural program and won the runner up Departmental Cultural shield
Also in Sports week won the silver medal in Basketball  </t>
  </si>
  <si>
    <t>https://preskilet.com/watch?v=62a37930a6956a000460035a</t>
  </si>
  <si>
    <t>https://drive.google.com/open?id=1ZrdGXbdwmJsNUZKS2FkaUejW8yAP9Lef</t>
  </si>
  <si>
    <t>https://drive.google.com/open?id=14of9h1mEHXBNdv3_Y1pj4Vdk_t3awqBj</t>
  </si>
  <si>
    <t>https://drive.google.com/open?id=1CiHxLTdCPYlbAJ1hXa6SzNwo7gKfzPEX</t>
  </si>
  <si>
    <t>https://drive.google.com/open?id=1ZSJwlECfFp-BgJiL-4Y-cAmVOEBbdRx_</t>
  </si>
  <si>
    <t>https://drive.google.com/open?id=13IcywjwBLv7_jf4q5xWCjFyB71NCOvQY</t>
  </si>
  <si>
    <t>https://drive.google.com/open?id=1YR3fGPTvZ7GjUachPXdfz48L4FuIc2Nz</t>
  </si>
  <si>
    <t>Updated Technical Certifications
1)Oracle Cloud Infrastructure Foundations
2)Machine Learning with MATLAB
3)Industrial Training By Zensar Technologies</t>
  </si>
  <si>
    <t>0120190367</t>
  </si>
  <si>
    <t>VISHWASRAO</t>
  </si>
  <si>
    <t>MUKUND</t>
  </si>
  <si>
    <t>adityamukund9604@gmail.com</t>
  </si>
  <si>
    <t>https://www.linkdin.com/in/adityamukund</t>
  </si>
  <si>
    <t>At post shelgaon mukund, ta nandura, dist buldhana, 443404</t>
  </si>
  <si>
    <t>Tapkir nager, near gajanan maharaj temple, Alandi, Pune -412105</t>
  </si>
  <si>
    <t>HP202L-PROFESSIONAL COMMUNICATION
IT221L-ENGINEERING INFORMATICS
HP203L-LIBERAL LEARNING
IT221T-ENGINEERING INFORMATICS</t>
  </si>
  <si>
    <t>Oracle</t>
  </si>
  <si>
    <t>Paloalto</t>
  </si>
  <si>
    <t xml:space="preserve">Automatic Chocolate Vending Machine </t>
  </si>
  <si>
    <t>rfid based attendance monitoring system</t>
  </si>
  <si>
    <t>AutoCAD, Proteus, MATLAB, cisco packet tracer</t>
  </si>
  <si>
    <t>Anand techno creations</t>
  </si>
  <si>
    <t>Nakshatra2022</t>
  </si>
  <si>
    <t>https://preskilet.com/avmukund@mitaoe.ac.in</t>
  </si>
  <si>
    <t>https://drive.google.com/open?id=1xHDHC5MzohLbl4dvWjPK2vr1LVrPZ7HI</t>
  </si>
  <si>
    <t>https://drive.google.com/open?id=1gzyQIHA8Flk_EGlQt3uT2iExNSnfLG4d</t>
  </si>
  <si>
    <t>https://drive.google.com/open?id=1fw-Ou5NfLmLhTOtuCprbmUKHiZnILA8u</t>
  </si>
  <si>
    <t>https://drive.google.com/open?id=1TAiw8vqjvF7HgpPz31kCTss19sviKT5c</t>
  </si>
  <si>
    <t>https://drive.google.com/open?id=1yZ8hHJ1M57wzhGFpR2OReqH4c3jBtMJw</t>
  </si>
  <si>
    <t>0120190236</t>
  </si>
  <si>
    <t>vaishnavig3001@gmail.com</t>
  </si>
  <si>
    <t>https://www.linkedin.com/in/vaishnavi-gaikwad-51157a1bb</t>
  </si>
  <si>
    <t>DNYANESHWAR SHIVRAM GAIKWAD</t>
  </si>
  <si>
    <t>SUMAN DNYANESHWAR GAIKWAD</t>
  </si>
  <si>
    <t>House no.395, near Vithal temple, Lahavit(bajgira), Devlali, Nashik, Maharashtra,422401</t>
  </si>
  <si>
    <t>Air force campus, VimanNagar, Pune</t>
  </si>
  <si>
    <t>Zensar Technology</t>
  </si>
  <si>
    <t xml:space="preserve">Intern as full Stack developer at Codekul pvt Ltd. </t>
  </si>
  <si>
    <t>intern at Tork Motors in the field of AI-ML</t>
  </si>
  <si>
    <t xml:space="preserve">AI based human following robot </t>
  </si>
  <si>
    <t>1.Club member of shutterbugs Mitaoe and ecell,  2.Datathon, 3.CodeBytes</t>
  </si>
  <si>
    <t>https://drive.google.com/drive/folders/1TD03k_l-2lw6yLAmZj2wmzq4-GK9FUsF?usp=sharing</t>
  </si>
  <si>
    <t>https://drive.google.com/open?id=1aYgMasRWiqV1PCWr8vp6OsNxk2cXyFWG</t>
  </si>
  <si>
    <t>https://drive.google.com/open?id=17q-7x9oos-6cNOEis6ofZdk44rhNkws0</t>
  </si>
  <si>
    <t>https://drive.google.com/open?id=1LiLmlqYaOiXQPNShiVH9qZ4m1eAAHhj7</t>
  </si>
  <si>
    <t>https://drive.google.com/open?id=10aZBxjYiQrvwAAgQEuqkDwsWn_-3YGW2</t>
  </si>
  <si>
    <t>Technical Certification</t>
  </si>
  <si>
    <t>0120190624</t>
  </si>
  <si>
    <t>harshsharma.rsh@gmail.com</t>
  </si>
  <si>
    <t>https://www.linkedin.com/in/harsh-sharma81</t>
  </si>
  <si>
    <t>SANSAR BABU SHARMA</t>
  </si>
  <si>
    <t>SUMAN SHARMA</t>
  </si>
  <si>
    <t>Flat no. 4,salkar apts,down mangor, mangor hill, Vasco-Da-Gama,Goa(403802)</t>
  </si>
  <si>
    <t>AS105T- Calculus and Differential Equations
AS106T- Engineering Physics
CS101T- Logical Development - C programming
EX102T- Electrical and Electronics Engineering 
ME104T- Engineering Graphics
ET341L- Control System</t>
  </si>
  <si>
    <t xml:space="preserve">Getting Started with Python- University Of Michigan </t>
  </si>
  <si>
    <t xml:space="preserve">Web Development-Sparks Foundation </t>
  </si>
  <si>
    <t>Face Recognition Based Attendance System Using Machine Learning</t>
  </si>
  <si>
    <t xml:space="preserve">Website for villagers to get information on government schemes </t>
  </si>
  <si>
    <t>Datathon
Rural Development Hackathon
E-Summit'22</t>
  </si>
  <si>
    <t>Represented NCS(GOA) at CBSE Football Nationals, NCS Goa (2016-17)</t>
  </si>
  <si>
    <t xml:space="preserve"> Sub head of Operations and Relations team at  Entrepreneurship Cell (E-cell)
Runner up in Intra College football tournament Nakshatra (2019 &amp; 2022) </t>
  </si>
  <si>
    <t>https://preskilet.com/watch?v=62a3835ca6956a000460055b</t>
  </si>
  <si>
    <t>https://drive.google.com/open?id=1Y68WwE-PtK1oFDqUN3pWARFoLoR9cPaI</t>
  </si>
  <si>
    <t>https://drive.google.com/open?id=16zYO2aMoMT5fZKYjCjdHIuFtqlo1-18M</t>
  </si>
  <si>
    <t>https://drive.google.com/open?id=1qSXmFLyvi2xm27OKD6nnS4n4U1ZAedew</t>
  </si>
  <si>
    <t>https://drive.google.com/open?id=1ZfBjFSA8SWzB_bGFYlvSy8iNkapCbZDj</t>
  </si>
  <si>
    <t>https://drive.google.com/open?id=1m-4ZWBQ5oJ6pJlM8gK8541Tp5Pi90Ffs</t>
  </si>
  <si>
    <t xml:space="preserve">Updated Technical Certification </t>
  </si>
  <si>
    <t>0120190231</t>
  </si>
  <si>
    <t>JAGADALE</t>
  </si>
  <si>
    <t>omkarsjagadale54@gmail.com</t>
  </si>
  <si>
    <t>https://www.linkedin.com/in/omkar-jagadale-639599197</t>
  </si>
  <si>
    <t>Datta Nagar bypass road kurduwadi</t>
  </si>
  <si>
    <t>Delotile</t>
  </si>
  <si>
    <t>Testometer</t>
  </si>
  <si>
    <t>Object Detection using deep learing</t>
  </si>
  <si>
    <t>https://drive.google.com/drive/folders/1Cmmj2nD4Hm_S40_aewbZ1Zmhi6c-eQec?usp=sharing</t>
  </si>
  <si>
    <t>https://drive.google.com/open?id=1jr6uiKnMgWC5YdZG23TscWhUxMdXhIMB</t>
  </si>
  <si>
    <t>https://drive.google.com/open?id=1REGDJGlt3U8I14Ty664bf9W0VTG-YM2Y</t>
  </si>
  <si>
    <t>https://drive.google.com/open?id=1F1SAjCYLVLsQE0u521imKnNpMwJxcyLc</t>
  </si>
  <si>
    <t>https://drive.google.com/open?id=1c63XUdX_MGckYNAIGMBNINkk9CZgiqkx</t>
  </si>
  <si>
    <t>https://drive.google.com/open?id=1KEbxNSNtcE2k-4lcIupbIrhAOVh8EmYg</t>
  </si>
  <si>
    <t>0120190480</t>
  </si>
  <si>
    <t>SHRIHARI</t>
  </si>
  <si>
    <t>EKNATHE</t>
  </si>
  <si>
    <t>shriharieknathe999@gmail.com</t>
  </si>
  <si>
    <t>www.linkedin.com/in/shrihari-eknathe-5902861a7</t>
  </si>
  <si>
    <t>SUNIL SUDHAKAR EKNATHE</t>
  </si>
  <si>
    <t>MEGHA SUNIL EKNATHE</t>
  </si>
  <si>
    <t>New Laxmi Nagar Manohar chowk ward no .1 ,Beside Dr Doe clinic Gondia</t>
  </si>
  <si>
    <t>Dehu road near by Vaghai Mandir, Alandi, Tal-khed Pune</t>
  </si>
  <si>
    <t>AS106T -  Engineering Physics
EX102T - Electrical and Electronics Engineering
ME104T - Engineering Graphics</t>
  </si>
  <si>
    <t>PALO ALTO : Fundamental of Network Security</t>
  </si>
  <si>
    <t>PrimaThink Technologies Private limited</t>
  </si>
  <si>
    <t>Unmanned Aerial Vehicle with Low payload delivery</t>
  </si>
  <si>
    <t xml:space="preserve">1) JUSPAY </t>
  </si>
  <si>
    <t>https://preskilet.com/watch?v=62a38857a6956a0004600683</t>
  </si>
  <si>
    <t>https://drive.google.com/open?id=1tsZyBiPZfRwS_Q-i7wB_FbK06A93UCIg</t>
  </si>
  <si>
    <t>https://drive.google.com/open?id=1JgVhpcdY7Gb7pwF17vLcfAoiax5K6s8I</t>
  </si>
  <si>
    <t>https://drive.google.com/open?id=1ObF4p3-w_HTSj2GfMvs0FG05gK9Lcmw4</t>
  </si>
  <si>
    <t>https://drive.google.com/open?id=1ZWDrzove3alcCV5VxkgxZzXZ8tQ_y56M</t>
  </si>
  <si>
    <t>https://drive.google.com/open?id=1u2sGsRlbdXfSZ7S4BHhun8kymYvhE-_O</t>
  </si>
  <si>
    <t>0120190205</t>
  </si>
  <si>
    <t>AKSHATA</t>
  </si>
  <si>
    <t>NURSHIMHASARASWATI</t>
  </si>
  <si>
    <t>BHOSLE</t>
  </si>
  <si>
    <t>akshatabhosle05@gmail.com</t>
  </si>
  <si>
    <t>www.linkedin.com/in/akshata-bhosle-a82a52235</t>
  </si>
  <si>
    <t>NURSHIMHASARASWATI VITTHALRAO BHOSLE</t>
  </si>
  <si>
    <t>SUSHMA NURSHIMHASARASWATI BHOSLE</t>
  </si>
  <si>
    <t>Plot no. 185, Harihar Niwas, Vatslya Nagar Society, Cidco, Kautha, Nanded, Maharashtra - 431603</t>
  </si>
  <si>
    <t>Painganga building, Government Quarter, Dr. Shankarrao Chavan Medical College, Vishnupuri, Nanded, Maharashtra</t>
  </si>
  <si>
    <t>Oracle Cloud Infrastructure Foundation Certification</t>
  </si>
  <si>
    <t>Microsoft Azure: AI Fundamentals</t>
  </si>
  <si>
    <t>C++ For C Programmers</t>
  </si>
  <si>
    <t>Python For Everybody</t>
  </si>
  <si>
    <t>Internship is related about creating multiple landing pages for different situations.</t>
  </si>
  <si>
    <t>1) SY Project - Personalized Application of Government Services For Women
2) TY Project - Emotion Detection Using Deep Learning</t>
  </si>
  <si>
    <t>Java, HTML, CSS, JavaScript, PHP</t>
  </si>
  <si>
    <t xml:space="preserve">Android Development (Java/Kotlin), Laravel (PHP), Web development in frontend and backend </t>
  </si>
  <si>
    <t>Proteus, MATLAB, VS code, Apache NetBeans</t>
  </si>
  <si>
    <t>1) Certified with International Level Competition which is called as IYMC(International Youth Math Competition)
2) Won first prize at college in Badminton and Carrom Competition.</t>
  </si>
  <si>
    <t>1) Rajarshi Chhatrapati Shahu Maharaj Shikshan Shulkh Shishyavrutti Yojna. 2) Dr Panjabrao Deshmukh Vastigruh Nirvah Bhatta Yojna.</t>
  </si>
  <si>
    <t>1) Participeted in Sports like Carrom and Badminton.
2) Active member of two clubs they are Aalekh Art elated club and The AXES Maths Clube.</t>
  </si>
  <si>
    <t>https://preskilet.com/watch?v=62b540edaf4f2700045cda15</t>
  </si>
  <si>
    <t>https://drive.google.com/open?id=1R6QREU_1oG0nmZCpvj2Fs_bWwpfnfNQf</t>
  </si>
  <si>
    <t>https://drive.google.com/open?id=1hPnee9mZKN8EZbdR_Cm41QScN-9tdFsJ</t>
  </si>
  <si>
    <t>https://drive.google.com/open?id=19OGhrrsN12-sjG4M8BgL6OhPvmzyb-Y4</t>
  </si>
  <si>
    <t>https://drive.google.com/open?id=1vbI7EJj7YNosbc9pM9Lev1Rq7Oj8DBbR</t>
  </si>
  <si>
    <t>https://drive.google.com/open?id=1TjGKuUG9eczVQVcfqARidO9KO7730lLk</t>
  </si>
  <si>
    <t>0120190389</t>
  </si>
  <si>
    <t>PIYUSH</t>
  </si>
  <si>
    <t>WALDE</t>
  </si>
  <si>
    <t>ppwalde30@gmail.com</t>
  </si>
  <si>
    <t>https://www.linkedin.com/in/piyush-walde-429850241</t>
  </si>
  <si>
    <t>PALAKRAM WALDE</t>
  </si>
  <si>
    <t>LALITA WALDE</t>
  </si>
  <si>
    <t>Dattraya nagar,kidangipar road, Amgaon
Gondia
Pin:441902</t>
  </si>
  <si>
    <t>HP202L- PROFESSIONAL COMMUNICATION</t>
  </si>
  <si>
    <t>Udemy: Mastering C++ Programming-From Zero t o Hero</t>
  </si>
  <si>
    <t>1. Coursera: Introduction to HTMLs
2. Cisco: Introduction to Packet Tracer
3. Coursera: Machine Learning for All
4. MATLAB: Matlab Onramp
5. Autodesk Design Academy: Introduction to 3D Modeling
6. Infosys Springboard: Python Programmer Certification</t>
  </si>
  <si>
    <t>Oracle: Introduction to Cloud infrastructure</t>
  </si>
  <si>
    <t>Fire Extinguisher Robot: Fire Extinguisher Robot is a Hardware based model used to automatically extinguish the fire during fire accidents. A Robot has been developed which features to move in the direction with respect to the fire intensity.</t>
  </si>
  <si>
    <t>Non-intrusive Speech Quality Assessment: 
In non-intrusive algorithms only the received speech signal is used to estimate the speech quality and then after using SVM method the speech quality score is predicted.</t>
  </si>
  <si>
    <t xml:space="preserve">Non-intrusive Speech Quality Assessment </t>
  </si>
  <si>
    <t>1. Seminar on Electric Vehicles
2. Verious Technical courses like C++, python
3. Guest lecture: Introduction to VLSI/HDL Design</t>
  </si>
  <si>
    <t xml:space="preserve">Played Regional level Table tennis and vollyball
</t>
  </si>
  <si>
    <t>https://preskilet.com/watch?v=62a38acba6956a000460070e</t>
  </si>
  <si>
    <t>https://drive.google.com/open?id=1I-RVvKLZeGh24bf-1fuiWY3VLzUNkLdh</t>
  </si>
  <si>
    <t>https://drive.google.com/open?id=1twnFz2hSu6GE5UJ6ohiKCXEu056fxZTm</t>
  </si>
  <si>
    <t>https://drive.google.com/open?id=1Xhp-Dd3ffE6DmCj5tSRNsDZPXnkt3CLN</t>
  </si>
  <si>
    <t>https://drive.google.com/open?id=1ufEn9csr3gE_QbUBvYmzaKDKNdvs-vTG</t>
  </si>
  <si>
    <t>https://drive.google.com/open?id=1Qadvw5ZSlDXMsmkLkuMcavrxQNbXLV8M</t>
  </si>
  <si>
    <t>https://drive.google.com/open?id=10HeXKNEWMHui2gOYekqTBTcnKyBnLYRu</t>
  </si>
  <si>
    <t>https://drive.google.com/open?id=1RAuVoGDYuC-TDWc21iw1BgRuhep9pdly</t>
  </si>
  <si>
    <t>https://drive.google.com/open?id=1Zfu37x-LJC1mj6l84Lzz0mC-fa26WrwT</t>
  </si>
  <si>
    <t>https://drive.google.com/open?id=1YLmxoEzOlaEcjFNMZxenmfm5bZtOmHj_</t>
  </si>
  <si>
    <t>https://drive.google.com/open?id=1W3QfP7sUjknPjcZ3GjTphjkBHMb0pUgn</t>
  </si>
  <si>
    <t>https://drive.google.com/open?id=1xS9hNVNAA9186EuB5fIK_9q1BdTadBBE</t>
  </si>
  <si>
    <t xml:space="preserve">Internship certificate </t>
  </si>
  <si>
    <t>0120190309</t>
  </si>
  <si>
    <t>aniketdhote26@gmail.com</t>
  </si>
  <si>
    <t>https://www.linkedin.com/in/aniket-dhote-5067a1241</t>
  </si>
  <si>
    <t>URMILA</t>
  </si>
  <si>
    <t>Delanwadi Ward, near samrat lawn, Brahmapuri</t>
  </si>
  <si>
    <t>Flat 203, Morya hills, kate colony, Vishweshwar nagar, Pune</t>
  </si>
  <si>
    <t>Oracle certification Foundations Associate</t>
  </si>
  <si>
    <t>Zensar</t>
  </si>
  <si>
    <t>Interactive Learning App using Augmented Reality</t>
  </si>
  <si>
    <t>Web developer at Bisjintus privated limited</t>
  </si>
  <si>
    <t>Emotion Recognition App</t>
  </si>
  <si>
    <t>Employability skills Development Program (Zensar)</t>
  </si>
  <si>
    <t>Participated in 30 days Google Cloud Program, Participated in IUCEE competition of Sustainable Development Goals</t>
  </si>
  <si>
    <t>https://preskilet.com/watch?v=62a38c7fa6956a00046007b1</t>
  </si>
  <si>
    <t>https://drive.google.com/open?id=1CmcFpAmccfQ0iJpDBuy0H_UQQODLwO2p</t>
  </si>
  <si>
    <t>https://drive.google.com/open?id=1hl9QQ0cKPgQjv-RPhgK96VYMhtPmovEk</t>
  </si>
  <si>
    <t>https://drive.google.com/open?id=1CJZJR-0PBE3-GAhZnc6A8KxntfBp2nXN</t>
  </si>
  <si>
    <t>https://drive.google.com/open?id=1clHmXA83Mnzxt2pT7n3sZLvO5iHx2ZJ3</t>
  </si>
  <si>
    <t>https://drive.google.com/open?id=1y6jmcwbAVzrj7RXXDK7et65eVwQLE8f7</t>
  </si>
  <si>
    <t>https://drive.google.com/open?id=1I6OchFodM88EV3JrDAdeqYQMAtlsdX-k</t>
  </si>
  <si>
    <t>https://drive.google.com/open?id=1TvErzqSoCKX_rIVTFWYJOAm8T0r_CzK3</t>
  </si>
  <si>
    <t>I have updated the amcat results as during the first time of filling this form those results were not available.</t>
  </si>
  <si>
    <t>0120190217</t>
  </si>
  <si>
    <t>SANGALE</t>
  </si>
  <si>
    <t>tejassangale2@gmail.com</t>
  </si>
  <si>
    <t>https://www.linkedin.com/in/tejas-sangale-9b735b1a6</t>
  </si>
  <si>
    <t>RAJENDRA SANGALE</t>
  </si>
  <si>
    <t>JYOTI SANGALE</t>
  </si>
  <si>
    <t>Hs no.21, gurukul colony, chipade mala, sarasnagar, Ahmednagar, Maharashtra, pincode 414001</t>
  </si>
  <si>
    <t>Flat no. 402 , Gokuldham society, behind kachre hospital, alandi, pune</t>
  </si>
  <si>
    <t>Oracle cloud foundations</t>
  </si>
  <si>
    <t xml:space="preserve">aws academy graduate
IBM cloud certification
</t>
  </si>
  <si>
    <t>Microsoft AI-900
AWS Practitioner</t>
  </si>
  <si>
    <t>AWS Devops</t>
  </si>
  <si>
    <t>web developer intern at The Sparks Foundation</t>
  </si>
  <si>
    <t>Intern at Glogic private limited
Email- admin@glogic.co.in</t>
  </si>
  <si>
    <t>none</t>
  </si>
  <si>
    <t>Book recommendation using ML</t>
  </si>
  <si>
    <t>1)Secured First prize in M-exhibit state level UG technical project competition.</t>
  </si>
  <si>
    <t>Winner at state level project competition conducted by modern college of engineering</t>
  </si>
  <si>
    <t>training by university of michigan for python</t>
  </si>
  <si>
    <t>part of pune ploggers
part of robinhood army</t>
  </si>
  <si>
    <t>https://preskilet.com/watch?v=62a398bca6956a00046009c2</t>
  </si>
  <si>
    <t>https://drive.google.com/open?id=1vM1ArhMelZ9bYtAhR64JcytYuMkhq0gU</t>
  </si>
  <si>
    <t>https://drive.google.com/open?id=1WvhbjeO1RNP2ap527D1Z4uQHrElK3AHq</t>
  </si>
  <si>
    <t>https://drive.google.com/open?id=1sBaQ2I6jPXEVjDye17qe_xvOm60gdDTh</t>
  </si>
  <si>
    <t>https://drive.google.com/open?id=17HsrJj-QkD7g-HQeKQA5PvGXt4gpNt6F</t>
  </si>
  <si>
    <t>https://drive.google.com/open?id=1DWcQxkZqJG83-dPa3_X0za4RV9QwvFlg</t>
  </si>
  <si>
    <t>https://drive.google.com/open?id=1z2mwAkAGqPL83Akj3YpAq7xoiKRLVPpb</t>
  </si>
  <si>
    <t>https://drive.google.com/open?id=1fCR8CiwfS_LU8ZnVafEE1pzNM8f_ArYx</t>
  </si>
  <si>
    <t xml:space="preserve">Educational certificate </t>
  </si>
  <si>
    <t>0120190385</t>
  </si>
  <si>
    <t>ANUP</t>
  </si>
  <si>
    <t>ANANT</t>
  </si>
  <si>
    <t>NARKHEDE</t>
  </si>
  <si>
    <t>anup.narkhede871@gmail.com</t>
  </si>
  <si>
    <t>https://www.linkedin.com/in/anup-narkhede-3291211ab/</t>
  </si>
  <si>
    <t>MANDA</t>
  </si>
  <si>
    <t>Behind Bank Of India, Near Satsang Vihar, Chakan-410501, Tal- Khed, Dist- Pune</t>
  </si>
  <si>
    <t>Behind Bank Of India, Near Satsang Vihar, Chakan, Tal- Khed, Dist- Pune</t>
  </si>
  <si>
    <t>Microsoft Certified : Azure Fundamentals (AZ-900)</t>
  </si>
  <si>
    <t>AWS Certified: Solutions Architect Associate</t>
  </si>
  <si>
    <t>Project: Infrastructure Monitoring - LogicMonitor
Internship: Codekul Private Limited ( deployed web on aws)</t>
  </si>
  <si>
    <t>Workfall- cloud computing intern</t>
  </si>
  <si>
    <t>Deployment of Serverless Web Application on AWS</t>
  </si>
  <si>
    <t>Docker, Terraform, Jenkins, LogicMonitor, GitHub, Git, Cisco Packet Tracer</t>
  </si>
  <si>
    <t>- Attended AWS Builders Series
- Attended GitHub and Azure Workshop
- Conducted Workshop on AWS</t>
  </si>
  <si>
    <t>- As a part of NGO, helped flood affected area for rehabilitation.
- Volunteer of Drug de-addiction, environment protection, clean India and youth development drives of YPPS organization.</t>
  </si>
  <si>
    <t>https://preskilet.com/watch?v=62a38eb1a6956a0004600835</t>
  </si>
  <si>
    <t>https://drive.google.com/open?id=1oXX7DgLhOwKD5h87dZKh_Zm4bPd8VOk9</t>
  </si>
  <si>
    <t>https://drive.google.com/open?id=1WTBFoREeuxVlmNPqycjJYPzLfWLXsLp6</t>
  </si>
  <si>
    <t>https://drive.google.com/open?id=1jAOhOchRmjbtp1Q3r2xT1W2z-cfJZxcj</t>
  </si>
  <si>
    <t>https://drive.google.com/open?id=1JkG7krQoKxBs2g_vMu7UJBiVk8l2SSeT</t>
  </si>
  <si>
    <t>https://drive.google.com/open?id=1dc3RCh8qybyBZaFpgnnWgrbhJbV8bQxk</t>
  </si>
  <si>
    <t>0120190469</t>
  </si>
  <si>
    <t>DHIREN</t>
  </si>
  <si>
    <t>MANDAL</t>
  </si>
  <si>
    <t>dhirajmandal2202@gmail.com</t>
  </si>
  <si>
    <t>https://www.linkedin.com/in/dhiraj-mandal-573950241</t>
  </si>
  <si>
    <t>ANIMA</t>
  </si>
  <si>
    <t>AT POST ASHTI , BALAJI NAGAR , DIST-GADCHIROLI</t>
  </si>
  <si>
    <t>PRAGATI APARTMENT , ALANDI - PUNE</t>
  </si>
  <si>
    <t>AI-900:Microsoft Azure AI Fundamentals</t>
  </si>
  <si>
    <t>Not done any internship in FY</t>
  </si>
  <si>
    <t>Internship done in MSME Technology centre Bhiwadi and Done hand on project on wap to create a game of guessing number using python</t>
  </si>
  <si>
    <t>Doing internship in web development</t>
  </si>
  <si>
    <t xml:space="preserve">CUBEXCEL TECHNOLOGY PVT LTD
</t>
  </si>
  <si>
    <t>To develop an IOT Based System for Accessing E-Resources</t>
  </si>
  <si>
    <t>Technophillia event</t>
  </si>
  <si>
    <t>Coordinator of technophillia events
Participated in Club mela</t>
  </si>
  <si>
    <t>https://preskilet.com/watch?v=62a4be11589aee0004d985cf</t>
  </si>
  <si>
    <t>https://drive.google.com/open?id=1SQRk2tf1W-4QgcKueMIdm0H9kORNr5DY</t>
  </si>
  <si>
    <t>https://drive.google.com/open?id=1X2Py4P1M0J67KxzLyek26n0kt8aE0nIz</t>
  </si>
  <si>
    <t>https://drive.google.com/open?id=12t_GvimuV9k6Od4jZQlpiGmwOX-dOL84</t>
  </si>
  <si>
    <t>https://drive.google.com/open?id=1PJ67BTiX6IGlhhDENSasa4da0u5Yt9cI</t>
  </si>
  <si>
    <t>https://drive.google.com/open?id=1zmUyB_MmSUjVenkLqBVbmKmRnvsbtUWF</t>
  </si>
  <si>
    <t>https://drive.google.com/open?id=1iHwdMfqCQ6r-6VayRUX4BJFyHuIUk6UN</t>
  </si>
  <si>
    <t>https://drive.google.com/open?id=1T9YehY40795_trVAqdR-fZG_47OaYH3m</t>
  </si>
  <si>
    <t>https://drive.google.com/open?id=1Wf7fXCJ1yq91XfPnTKYOHwT6KsUIvs_T</t>
  </si>
  <si>
    <t>0120190424</t>
  </si>
  <si>
    <t>ASHWINI</t>
  </si>
  <si>
    <t>CHAVAN</t>
  </si>
  <si>
    <t>ashwinichavan83538@gmail.com</t>
  </si>
  <si>
    <t>linkedin.com/in/ashwini-chavan-9ba617234</t>
  </si>
  <si>
    <t>NILESH BALWANT CHAVAN</t>
  </si>
  <si>
    <t>VAISHALI NLESH CHAVAN</t>
  </si>
  <si>
    <t>Holi Chouk,At/Post-Surur,Tal-Wai,Dist-Satara,415517</t>
  </si>
  <si>
    <t>96 percentile</t>
  </si>
  <si>
    <t>97 percentile</t>
  </si>
  <si>
    <t>No any live/pending backlog</t>
  </si>
  <si>
    <t>ME104T-Engineering Graphics</t>
  </si>
  <si>
    <t>Employability Skill Development : Zensar</t>
  </si>
  <si>
    <t>Project : 
Unmanned Aerial Vehicle Model - The foremost objective of this project was to make a UAV which would include the most punctual conceivable location of the fire event, the right categorization of the fire and fast response to help the fire fighting departments with the help of drone technology.</t>
  </si>
  <si>
    <t>TY Summer Internship : Working as a Machine Learning Intern at Feynn Lab Services.
Major Project : Touchless Hand Sanitizer Dispenser Integrated with temperature and oxygen detection.</t>
  </si>
  <si>
    <t>Touchless Hand Sanitizer Dispenser Integrated with temperature and oxygen detection.</t>
  </si>
  <si>
    <t>AutoCAD, Fusion 360, Proteus, MATLAB, MPLAB,CISCO PACKET TRACER</t>
  </si>
  <si>
    <t xml:space="preserve">DATATHON </t>
  </si>
  <si>
    <t>https://preskilet.com/watch?v=62a38e30a6956a0004600809</t>
  </si>
  <si>
    <t>https://drive.google.com/open?id=19BDRJIRyuHrmjdJOPMsS_6WW6a9winxZ</t>
  </si>
  <si>
    <t>https://drive.google.com/open?id=1dgbUy6FZgrNUvR0QRRtuNXLKbCD9cz9F</t>
  </si>
  <si>
    <t>https://drive.google.com/open?id=1KiXLWCmDmiBPAu8nBB3SbGY0dllCoVXE</t>
  </si>
  <si>
    <t>https://drive.google.com/open?id=1-5GTBX-Lr5inQXisPPBDpMoGFcGWcaMa</t>
  </si>
  <si>
    <t>https://drive.google.com/open?id=14wnVt359GFRx3z46vbA6_VO788lrU7Al</t>
  </si>
  <si>
    <t>https://drive.google.com/open?id=1kLlEwax-Rx0u_OSU42Lb7oH7W93kPH9s</t>
  </si>
  <si>
    <t>https://drive.google.com/open?id=13h7jrTo-rcgQIvPoVdGBWVVPCieq-oMc</t>
  </si>
  <si>
    <t>https://drive.google.com/open?id=1OwMIR_YnllhUMZk-8cTQfxP17a6NnF-F</t>
  </si>
  <si>
    <t>https://drive.google.com/open?id=1e1qvJrqVI8M-bafXMpVtuSye4WVXE4pX</t>
  </si>
  <si>
    <t>I have updated the form as I haven't uploaded the Technical Certificate since I haven't received it from the Organization. But now I have received it and I have uploaded it.</t>
  </si>
  <si>
    <t>0120190141</t>
  </si>
  <si>
    <t xml:space="preserve">AYUSH </t>
  </si>
  <si>
    <t>CHOUDHARY</t>
  </si>
  <si>
    <t>ayushchoudhary5090@gmail.com</t>
  </si>
  <si>
    <t>https://www.linkedin.com/in/ayush-choudhary-5445081b8</t>
  </si>
  <si>
    <t>ANIL CHOUDHARY</t>
  </si>
  <si>
    <t>LATA CHOUDHARY</t>
  </si>
  <si>
    <t>Ward no.32 Badwan Colony Chhindwara (M.P) 480001</t>
  </si>
  <si>
    <t xml:space="preserve">AZ-900 Microsoft Azure Fundamentals </t>
  </si>
  <si>
    <t>Data Anaylasis with pyhton coursea IBM</t>
  </si>
  <si>
    <t xml:space="preserve">Cloud Computing Microsoft </t>
  </si>
  <si>
    <t>AMT skill enhancement institute</t>
  </si>
  <si>
    <t>Celeble Technologies</t>
  </si>
  <si>
    <t>Esamayk Softwares PVT LTD</t>
  </si>
  <si>
    <t>ERP(Enterprice Resource Planning) Software Development</t>
  </si>
  <si>
    <t>AutoCAD, Fusion 360, SolidWorks, Proteus, MATLAB</t>
  </si>
  <si>
    <t>Technical event of CodeBytes</t>
  </si>
  <si>
    <t>1.Web development Training at smartknowers
2.Data anaylasis training from Infyspringboard</t>
  </si>
  <si>
    <t xml:space="preserve">1. Travel
2. Sketching
3. Reading Books </t>
  </si>
  <si>
    <t>https://preskilet.com/watch?v=62a387fea6956a000460065c</t>
  </si>
  <si>
    <t>https://drive.google.com/open?id=1zQn8xOosmPdB1PyQD6pa95qp8wcqc1ko</t>
  </si>
  <si>
    <t>https://drive.google.com/open?id=1brW6B44Qh84h6GCdihmmoMJEynSjdv_I</t>
  </si>
  <si>
    <t>https://drive.google.com/open?id=1THrzHydszHGCA1WF4tdiAXUK8w0euWtI</t>
  </si>
  <si>
    <t>https://drive.google.com/open?id=1jgYehPwc3vMEdylaRVvHQBAz-U8R7IDQ</t>
  </si>
  <si>
    <t>https://drive.google.com/open?id=1W5ecD9QNwW3iit25Xeu5OvBZrw62Yobg</t>
  </si>
  <si>
    <t>https://drive.google.com/open?id=13fliJFoi-BEAzMZnwXd10dIuupfTmR4V</t>
  </si>
  <si>
    <t xml:space="preserve">Edited my pdfs </t>
  </si>
  <si>
    <t>0120190623</t>
  </si>
  <si>
    <t>CHAUBE</t>
  </si>
  <si>
    <t>yashchaube2001@gmail.com</t>
  </si>
  <si>
    <t>https://www.linkedin.com/in/yashchaube/</t>
  </si>
  <si>
    <t>KANCHAN</t>
  </si>
  <si>
    <t>A 603 Periwinkle, Near PVR Cinemas, Beverly Park, Mira Road East</t>
  </si>
  <si>
    <t>Infosys Springboard - Programming Fundamentals with Python</t>
  </si>
  <si>
    <t>30 days of google cloud platform, MATLAB onramp, Coursera - Python Programming</t>
  </si>
  <si>
    <t>Microsoft DP-900: Microsoft Data Fundamentals</t>
  </si>
  <si>
    <t>Krishigati - Web Development, Spark Foundations - Web Development</t>
  </si>
  <si>
    <t>Automated Dish Positioning System</t>
  </si>
  <si>
    <t>Python, C/C++, HTML, CSS, JavaScript, MATLAB</t>
  </si>
  <si>
    <t>AutoCAD, Fusion 360, ANSYS, Figma, Proteus, MATLAB</t>
  </si>
  <si>
    <t>Core member at E-Cell MITAoE organizing multiple events at college levels and national levels. E-Cell MITAoE came 6th at NEC nationwide competition held by E-Cell IITB</t>
  </si>
  <si>
    <t>https://preskilet.com/watch?v=62bdec2b9535010004fd2ccb</t>
  </si>
  <si>
    <t>https://drive.google.com/open?id=1Vsfz6Y5aTj_ZpklTjebXwR4sxld0zT_R</t>
  </si>
  <si>
    <t>https://drive.google.com/open?id=10lMhgLTjVr4q8I7xaWO969KJdQFPRzfu</t>
  </si>
  <si>
    <t>https://drive.google.com/open?id=1N7Q38sqU8-Y9aUb2LhVmcgf0IHsfDQhO</t>
  </si>
  <si>
    <t>https://drive.google.com/open?id=1fkiIWJ5UXmHQ23b069XgtoCGBmj2oVpm</t>
  </si>
  <si>
    <t>https://drive.google.com/open?id=1AlmEpRsxkUSXLOV1fWyHBEc_Ip03UL_B</t>
  </si>
  <si>
    <t>0120190271</t>
  </si>
  <si>
    <t>AMEY</t>
  </si>
  <si>
    <t>UTTAM</t>
  </si>
  <si>
    <t>ameypatil882001@gmail.com</t>
  </si>
  <si>
    <t>www.linkedin.com/in/amey-patil-7200b4213</t>
  </si>
  <si>
    <t xml:space="preserve">UTTAM </t>
  </si>
  <si>
    <t xml:space="preserve">NIRMALA </t>
  </si>
  <si>
    <t>A/P Shirgaon(V) ,Tal. - Tasgaon, Dist. - Sangli.</t>
  </si>
  <si>
    <t>Nivrutti Nivas, Pasaydan colony, near SP college dudulgaon.</t>
  </si>
  <si>
    <t xml:space="preserve">AICTE Eduskills (Palo Alto)- Cyber security virtual internship.              </t>
  </si>
  <si>
    <t>Internshala- Android Application Development.
Coursera- Python for everybody.
Mathwork- Matlab Onramp</t>
  </si>
  <si>
    <t xml:space="preserve">Internshala - Core Java
Udemy - web development </t>
  </si>
  <si>
    <t xml:space="preserve">Coursera-Python for everybody </t>
  </si>
  <si>
    <t xml:space="preserve">Internshala- Android Application Development </t>
  </si>
  <si>
    <t>VEIH Group - Front End Development.</t>
  </si>
  <si>
    <t xml:space="preserve">Intelligent Traffic Management System </t>
  </si>
  <si>
    <t>Java, HTML, CSS, JavaScript, Dart, Kotlin</t>
  </si>
  <si>
    <t>https://preskilet.com/watch?v=62a6f5334150fe000457c1f0</t>
  </si>
  <si>
    <t>https://drive.google.com/open?id=193zqdnxYw1IddXevBaZ9BKjMEZLQI2VV</t>
  </si>
  <si>
    <t>https://drive.google.com/open?id=1_W6oOG9JncD2XwsVTgp6aUb93cd99sY9</t>
  </si>
  <si>
    <t>https://drive.google.com/open?id=1Zrsk8dBu791NMTfUuJawQIxI1nO3vUDb</t>
  </si>
  <si>
    <t>0120190256</t>
  </si>
  <si>
    <t>sls</t>
  </si>
  <si>
    <t>SHARDUL</t>
  </si>
  <si>
    <t>BABHULKAR</t>
  </si>
  <si>
    <t>shardulbabhulkar003@gmail.com</t>
  </si>
  <si>
    <t>https://www.linkedin.com/in/shardulbabhulkar321/</t>
  </si>
  <si>
    <t>NITIN BABHULKAR</t>
  </si>
  <si>
    <t>RUTUJA BABHULKAR</t>
  </si>
  <si>
    <t>PL: 54, Kotwal Nagar, Nagpur - 440022</t>
  </si>
  <si>
    <t>Kale Colony, Kate estate, Dehu Road, 412105</t>
  </si>
  <si>
    <t>Campus Ambassador at IMUN, IIT - Guwahati. Sales marketer at Unacademy</t>
  </si>
  <si>
    <t xml:space="preserve">The Spark Foundation (Web dev), NGO, Content Creator at startup 201 </t>
  </si>
  <si>
    <t>Workqhat (Web Dev real life projects ), Atlas Copco.Ltd</t>
  </si>
  <si>
    <t>Figma, Proteus, MATLAB</t>
  </si>
  <si>
    <t xml:space="preserve">1. Research Paper
2. 66.5 percentile in AMCAT examination 2021
3. 96.66% score in TCS NQT 2020
</t>
  </si>
  <si>
    <t>Football (2nd position inter college)</t>
  </si>
  <si>
    <t>Tuition Fees and Examination Fees to OBC Students</t>
  </si>
  <si>
    <t>Internship studio (Web dev tutorials + live projects)</t>
  </si>
  <si>
    <t xml:space="preserve">Anchoring in various events
Event manager at E-cell.
Secretary, School of Electrical Engineering Department
</t>
  </si>
  <si>
    <t>https://preskilet.com/watch?v=62a38236a6956a0004600537</t>
  </si>
  <si>
    <t>https://drive.google.com/open?id=1OikRKtrSAEiGZWCfyX76DCN5bFcZAZL4</t>
  </si>
  <si>
    <t>https://drive.google.com/open?id=1wWvUeOGXIDXv820nDt4LNNuQoN3PG-uu</t>
  </si>
  <si>
    <t>https://drive.google.com/open?id=1oSaJR6N-1htGwebKZyho_S8RSxAoQMjm</t>
  </si>
  <si>
    <t>https://drive.google.com/open?id=1ZgiFt9UelT40nhGrwc8Q6kNxu2N8exQS</t>
  </si>
  <si>
    <t>https://drive.google.com/open?id=1gf_9yTQ7R7gURsuuOPgz0yVqe9e2fupw</t>
  </si>
  <si>
    <t>https://drive.google.com/open?id=16g2UcHdOJ5IqnsbjwNbpRm5joiGwfOat</t>
  </si>
  <si>
    <t>https://drive.google.com/file/d/1jiPKysYs8mAxh3ymgNfc-kfm9F_WIJGE/view?usp=sharing</t>
  </si>
  <si>
    <t>vaibhav.kale@mitaoe.ac.in</t>
  </si>
  <si>
    <t>0220200135</t>
  </si>
  <si>
    <t>ANILRAO</t>
  </si>
  <si>
    <t>https://www.linkedin.com/in/vaibhav-kale-81212a222/</t>
  </si>
  <si>
    <t>ANIL KALE</t>
  </si>
  <si>
    <t>JAYSHREE KALE</t>
  </si>
  <si>
    <t>Anjani Apartment near Shirbhate Mangal karyalai Moti nagar, Amravati</t>
  </si>
  <si>
    <t xml:space="preserve">Near MITAOE Aalandi </t>
  </si>
  <si>
    <t>"CS351T - Data Science"  "ET341T - Data Science"</t>
  </si>
  <si>
    <t>"VLSID course from Maven Silicon"</t>
  </si>
  <si>
    <t>"Coders Python from Homeflic Wegrow"</t>
  </si>
  <si>
    <t>Military Survilliance Car Using IOT</t>
  </si>
  <si>
    <t>Android Development (Java/Kotlin), Robot Framework</t>
  </si>
  <si>
    <t>Fusion 360, CATIA, Proteus, MATLAB</t>
  </si>
  <si>
    <t xml:space="preserve"> Bagged first prize in international event “PICT InC’22”, for “Military Surveillance System 
 Using Iot“ 
 first prize in Robo Race Competition
 first prize in Quiz Competition
 first prize in Poster Making Competition
</t>
  </si>
  <si>
    <t xml:space="preserve"> Bagged first prize in international event “PICT InC’22”, for “Military Surveillance System 
 Using Iot“ </t>
  </si>
  <si>
    <t xml:space="preserve">Experience - 
Green Energy Solutions, Amravati 
Technical Engineer
Installing and Testing of Solar Panels. 
</t>
  </si>
  <si>
    <t xml:space="preserve">Technical Section Member at College Official Magzine </t>
  </si>
  <si>
    <t>https://drive.google.com/file/d/1XYb8pa9FobTkOMRp6E45skd-SskVQxik/view?usp=sharing</t>
  </si>
  <si>
    <t>https://drive.google.com/open?id=1Nb_2Uhzke0qGDbCvCuNoqrOcZJAXq-oE</t>
  </si>
  <si>
    <t>https://drive.google.com/open?id=1t7YuxhJcgvB0k9p8NF3hcRwY0RgiDsrS</t>
  </si>
  <si>
    <t>https://drive.google.com/open?id=182WsdZ2wVhBMCDO0GX7Db-7N649ficBI</t>
  </si>
  <si>
    <t>https://drive.google.com/open?id=1FN3UL5GBvnj0nIwq-Au-QErYcYywvrar</t>
  </si>
  <si>
    <t>https://drive.google.com/open?id=1fkJyr6HxRh-QYIYaEhOGaqzkQ2rVzMVr</t>
  </si>
  <si>
    <t>megha.jadhav@mitaoe.ac.in</t>
  </si>
  <si>
    <t>MEGHA</t>
  </si>
  <si>
    <t>RAM</t>
  </si>
  <si>
    <t>mrjadhav298@gmail.com</t>
  </si>
  <si>
    <t xml:space="preserve">megha.jadhav@mitaoe.ac.in </t>
  </si>
  <si>
    <t>https://www.linkedin.com/in/megha-jadhav-845a70230/</t>
  </si>
  <si>
    <t>RAM JADHAV</t>
  </si>
  <si>
    <t>NILAM JADHAV</t>
  </si>
  <si>
    <t>BOMBLE HANUMAN CHOWK,PIWALI TAKI, OSMANABAD 413501</t>
  </si>
  <si>
    <t>"Maven Silicon: VLSI SoC Design using Verilog HDL"</t>
  </si>
  <si>
    <t>"Cyber Security Fundamental"
"Cloud Computing 101"
"Linux and Data analytics"
"Artificial Intelligent and Machine Learning"</t>
  </si>
  <si>
    <t>"Summer Internship got at Accolade Electronics Pvt Ltd, Warje"
"Major Project- Regenerative system for Mountain E-Bicycle"</t>
  </si>
  <si>
    <t>"Regenerative System for Mountain E-Bicycle- Nexzu Mobility"</t>
  </si>
  <si>
    <t xml:space="preserve">"Diploma project-Gas Detection System", "B.Tech Project- Regenerative system for Mountain E-Bicycle" </t>
  </si>
  <si>
    <t>Python, Java, HTML, CSS, JavaScript, TypeScript</t>
  </si>
  <si>
    <t>Adobe XD, Proteus, MATLAB, Coral Draw, Canva, Adobe Illustration</t>
  </si>
  <si>
    <t>Spanish, NONE</t>
  </si>
  <si>
    <t>" Bootcamp: Electric Vehicle Battery Management System"
" Workshop: Internet of Things"
" Power Python"</t>
  </si>
  <si>
    <t xml:space="preserve">" Worked as volunteer at state level - 2nd Pupils Olympic games"
</t>
  </si>
  <si>
    <t>" Digital Marketing"
" Graphics Designing"</t>
  </si>
  <si>
    <t>https://preskilet.com/watch?v=629cc7cc300eb1000471f2f3</t>
  </si>
  <si>
    <t>https://drive.google.com/open?id=15UWx3O95WN4D_n65VwXBwIeautMxQX_Q</t>
  </si>
  <si>
    <t>https://drive.google.com/open?id=1N9KgfLWB9a3IJheg9XC_ZJF5f52uUzm3</t>
  </si>
  <si>
    <t>https://drive.google.com/open?id=1g1alpCZrco-k5IjYOQMes-DEyzEAOe1A</t>
  </si>
  <si>
    <t>https://drive.google.com/open?id=1px9SQgynRzrF6s3zIQDU-UPuMlKoktks</t>
  </si>
  <si>
    <t>sayali.pawar@mitaoe.ac.in</t>
  </si>
  <si>
    <t>0220200176</t>
  </si>
  <si>
    <t>Sayali.pawar@mitaoe.ac.in</t>
  </si>
  <si>
    <t>www.linkedin.com/in/sayali-pawar-80120b241</t>
  </si>
  <si>
    <t>INDRAYANI</t>
  </si>
  <si>
    <t>Islampur,Tal.walwa,Dist.Sangli</t>
  </si>
  <si>
    <t>Mauli Hostel, aalandi.tal.khed,dist.Pune</t>
  </si>
  <si>
    <t>Oracal cloud Foundation</t>
  </si>
  <si>
    <t>Mathswork</t>
  </si>
  <si>
    <t>Java</t>
  </si>
  <si>
    <t>Project - Design and Implement Health Monitoring System for E-Bicycle</t>
  </si>
  <si>
    <t>Wireless LED Display using Arduino.</t>
  </si>
  <si>
    <t>Sports, Carrom
InfyTQ</t>
  </si>
  <si>
    <t>State</t>
  </si>
  <si>
    <t>Sports,Appear in MPSC Exam.(Selected for Pri-exam in MPSE Exam)</t>
  </si>
  <si>
    <t>https://preskilet.com/watch?v=62bc9e225493430004e5f080</t>
  </si>
  <si>
    <t>https://drive.google.com/open?id=110pn6xgC_A5MXpq_zJ3RrfenWIXPwwBn</t>
  </si>
  <si>
    <t>https://drive.google.com/open?id=1re3fj79tUjWJ9s1yRHhiyUEWDkGm4H_V</t>
  </si>
  <si>
    <t>https://drive.google.com/open?id=1lUNnv8XUWajUGw3fWdaup4Nhv4e6hbgt</t>
  </si>
  <si>
    <t>https://drive.google.com/open?id=14UV8H5jf-gDNKt3FUyeWdzK-QhhoWk_p</t>
  </si>
  <si>
    <t>https://drive.google.com/open?id=1B7kLRgsSyfSY7CD6c9AO_3z8SKknBCVc</t>
  </si>
  <si>
    <t>https://drive.google.com/open?id=14s2fy0w2gXM9Jn2bqLZ8E6fKCKXgtSmi</t>
  </si>
  <si>
    <t>Amcat Result</t>
  </si>
  <si>
    <t>avbhingare@mitaoe.ac.in</t>
  </si>
  <si>
    <t>0120190261</t>
  </si>
  <si>
    <t>BHINGARE</t>
  </si>
  <si>
    <t>aakashbhingare@gmail.com</t>
  </si>
  <si>
    <t>https://www.linkedin.com/in/akash-bhingare-738245234/</t>
  </si>
  <si>
    <t>VINAYAK BHINGARE</t>
  </si>
  <si>
    <t>SUCHITA BHINGARE</t>
  </si>
  <si>
    <t xml:space="preserve">14, Shreyas Society, Jawahar Nagar, Akola </t>
  </si>
  <si>
    <t xml:space="preserve">Padmavati Building, Flat 401, Hindavi Colony No.2, Near MIT AOE, Alandi </t>
  </si>
  <si>
    <t>92 %  (626.66)</t>
  </si>
  <si>
    <t>Oracle Cloud Infrastructure Foundations 2021 Associate</t>
  </si>
  <si>
    <t xml:space="preserve">AWS Cloud Technical Essentials (Coursera)
Programming for Everybody (Getting Started with Python) (Coursera)
Responsive Web Design - (https://freecodecamp.org/certification/akash-bhingare/responsive-web-design)
Data Analysis with Python - (https://freecodecamp.org/certification/akash-bhingare/data-analysis-with-python-v7)
2022 Complete Python Bootcamp From Zero to Hero in Python (UDEMY)
Linux Administration Bootcamp: Go from Beginner to Advanced (UDEMY)
</t>
  </si>
  <si>
    <t xml:space="preserve">AWS Certified Cloud Practitioner (Amazon)
Introduction to Git and GitHub (Coursera )
Machine Learning with Python (FreeCodeCamp)
The Complete 2022 Web Development Bootcamp (UDEMY)
</t>
  </si>
  <si>
    <t>Responsive Web Designing - FreeCodeCamp.org</t>
  </si>
  <si>
    <t>ALTIMAX Technology, Mumbai</t>
  </si>
  <si>
    <t>SMART APPLICATION TO TRACK
&amp; EVALUATE ASSESSMENTS USING ML</t>
  </si>
  <si>
    <t>https://preskilet.com/watch?v=62c6ec90ad18420004a73548</t>
  </si>
  <si>
    <t>https://drive.google.com/open?id=1q7qCUPP2rABOq0EFV_mhmMw9q40wkmzx</t>
  </si>
  <si>
    <t>https://drive.google.com/open?id=1M8mJ_vN-0XsCFqEXM4k4qf7BaZ8YNwdW</t>
  </si>
  <si>
    <t>https://drive.google.com/open?id=1ViA8pmSRIY-qFTg1b7exoBwGy7f4YEYF</t>
  </si>
  <si>
    <t>https://drive.google.com/open?id=1mET6dKr34HXcuNAT_UhperNF7tV1vx5A</t>
  </si>
  <si>
    <t>https://drive.google.com/open?id=1obLeaTA5SZwU363eRUwLbYYdxzXbRUyq</t>
  </si>
  <si>
    <t>https://drive.google.com/open?id=1Zshtk2fwtplX9TwXv5-MNNVU_XWO5eTf</t>
  </si>
  <si>
    <t>Preskillet Video - Given google drive link previously
AMCAT REPORT  == did not recieve earlier
Certification Merged - Compiled previously Ongoing certification</t>
  </si>
  <si>
    <t>prachi.shinkar@mitaoe.ac.in</t>
  </si>
  <si>
    <t>0220200166</t>
  </si>
  <si>
    <t>SHINKAR</t>
  </si>
  <si>
    <t>linkedin.com/in/Linkedin.com/in/prachi shinkar</t>
  </si>
  <si>
    <t>At post Khedgaon khurd tal.Bhadgaon dist.Jalgaon</t>
  </si>
  <si>
    <t>Mit academy of engineering Alandi</t>
  </si>
  <si>
    <t xml:space="preserve">AWS cloud practitioner </t>
  </si>
  <si>
    <t>Company name= Instron technologies
Project name- swati pentose
Details- this project was retalted to the pharma industry. In this project detailed data monitoring of hazardous zone reactors temperatures were shown on web application (web app name: Planton ) . In this project sql, angular js,bootstrap, html and c# were used with the help of asp.net using MVC.</t>
  </si>
  <si>
    <t>swati pentose</t>
  </si>
  <si>
    <t>Hospital management system</t>
  </si>
  <si>
    <t>NONE, Marathi, Hindi, English</t>
  </si>
  <si>
    <t>Secured State level rank in NMMS examination (scholarship)</t>
  </si>
  <si>
    <t>SPPU</t>
  </si>
  <si>
    <t xml:space="preserve">Zensar company </t>
  </si>
  <si>
    <t>https://drive.google.com/drive/folders/1LwjQRy4XKJVs6MAtSN2h6sEOCGK7Lk5t</t>
  </si>
  <si>
    <t>https://drive.google.com/open?id=12OkiiHIA5oY_e1Ihq6jORGmDoWF0un-0</t>
  </si>
  <si>
    <t>https://drive.google.com/open?id=10S-8bYZgEEnk2PqrSGQ6-AZE3grjUVN-</t>
  </si>
  <si>
    <t>https://drive.google.com/open?id=1njrl0OdoaPS1Hsq1CsRBE-AyTiYYgQ-Z</t>
  </si>
  <si>
    <t>https://drive.google.com/open?id=16Y0nhUzHPnPxAmsAZkrfA9CdOL9nN6GZ</t>
  </si>
  <si>
    <t>https://drive.google.com/open?id=1uRWyBSoXz3VDFhYptVa-8jRt2AtZkZur</t>
  </si>
  <si>
    <t>https://drive.google.com/open?id=14BSabV8FufJiVPo0ZNXm_Ir0KVr7Pm4F</t>
  </si>
  <si>
    <t>https://drive.google.com/open?id=11iDR-lbbuCJ1LVgvriOmh4q-ZtoEG6Z0</t>
  </si>
  <si>
    <t>https://drive.google.com/open?id=1p7JS_diuzLueHn0JV016Ht1TadvKjeN0</t>
  </si>
  <si>
    <t>because i want good job</t>
  </si>
  <si>
    <t>venkatesh.yanganti@mitaoe.ac.in</t>
  </si>
  <si>
    <t>0220200071</t>
  </si>
  <si>
    <t>VENKATESH</t>
  </si>
  <si>
    <t>YANGANTI</t>
  </si>
  <si>
    <t>www.linkedin.com/in/venkatesh-yanganti-4aa373221</t>
  </si>
  <si>
    <t>1436 Daji peth solapur,  Maharashtra</t>
  </si>
  <si>
    <t>Flat no. 105, Gokuldham society, Dehu phata , Alandi Pune</t>
  </si>
  <si>
    <t>N.A</t>
  </si>
  <si>
    <t>1. Brain Wreck event competition certificate
2. Java Programming course completion certificate from Great Learning platform</t>
  </si>
  <si>
    <t>IoT project Development using Industry grade microcontroller by Anand techno creations</t>
  </si>
  <si>
    <t xml:space="preserve">Intellect Process Solution </t>
  </si>
  <si>
    <t>B.E          :-    Computer Vision Based Unarmed areal vehicle
Diploma :-    Railway track crack detector</t>
  </si>
  <si>
    <t>1. Brain Wreck national level competition</t>
  </si>
  <si>
    <t>Participated in Sparkathon an national level project competition and concurred second prize</t>
  </si>
  <si>
    <t>https://preskilet.com/62b55805af4f2700045cdd09</t>
  </si>
  <si>
    <t>https://drive.google.com/open?id=1mM8RGrE4kej-hKaSFNz89cZCRM-9BVqx</t>
  </si>
  <si>
    <t>https://drive.google.com/open?id=1POrf-ofdQFNuvBe-xUs-RK_TpZKXu9jb</t>
  </si>
  <si>
    <t>https://drive.google.com/open?id=1RCyhXrp-1N9kwTRrlOefuJBNcCemhvuf</t>
  </si>
  <si>
    <t>https://drive.google.com/open?id=1hEAt0FCZms1ryVHW0UV42rngsb4cfF6-</t>
  </si>
  <si>
    <t>https://drive.google.com/open?id=1DixOiZ3BFZLRTTQg8tRbokN1fiN5_gdw</t>
  </si>
  <si>
    <t>Didn't update anything</t>
  </si>
  <si>
    <t>asshirsat@mitaoe.ac.in</t>
  </si>
  <si>
    <t>0120190349</t>
  </si>
  <si>
    <t>SHASHIKANT</t>
  </si>
  <si>
    <t>SHIRSAT</t>
  </si>
  <si>
    <t>adityashirsat2305@gmail.com</t>
  </si>
  <si>
    <t>linkedin.com/in/aditya-shirsat-25546a1a7</t>
  </si>
  <si>
    <t>SHASHIKANT SHIRSAT</t>
  </si>
  <si>
    <t>MINAKSHI SHIRSAT</t>
  </si>
  <si>
    <t>Dhabekar nagar, khadki, Akola</t>
  </si>
  <si>
    <t>Gokuldham society, dehu phata, alandi, Pune</t>
  </si>
  <si>
    <t>HP202L - Professional Skills
HP203L - Liberal Learning</t>
  </si>
  <si>
    <t>Infosys Springboard - Python Programmer Certification</t>
  </si>
  <si>
    <t>Computer Vision based Text Scanner</t>
  </si>
  <si>
    <t>Touchless hand sanitizer dispenser integrated with temperature and oximeter</t>
  </si>
  <si>
    <t>AutoCAD, Fusion 360, Figma, Adobe XD, Proteus, MATLAB, Unreal Engine</t>
  </si>
  <si>
    <t>Datathon 2022</t>
  </si>
  <si>
    <t>Government of India Post Matric Scholarship</t>
  </si>
  <si>
    <t>https://preskilet.com/watch?v=62a32f6ba6956a00045ffb0b</t>
  </si>
  <si>
    <t>https://drive.google.com/open?id=1E13o21VlpvPw6d5n_bXWeYp8ErmdQJSM</t>
  </si>
  <si>
    <t>https://drive.google.com/open?id=15jmDrsB3vjXbNf6pUy2z4H8dbJDEFowb</t>
  </si>
  <si>
    <t>asathani@mitaoe.ac.in</t>
  </si>
  <si>
    <t>0120190210</t>
  </si>
  <si>
    <t>ATHANI</t>
  </si>
  <si>
    <t>athaniakash7@gmail.com</t>
  </si>
  <si>
    <t xml:space="preserve">asathani@mitaoe.ac.in </t>
  </si>
  <si>
    <t>https://www.linkedin.com/in/akash-athani-ab6277205</t>
  </si>
  <si>
    <t xml:space="preserve">A/P - Ravalgundwadi, Tal-Jath, Dist-Sangli </t>
  </si>
  <si>
    <t>Sheersai, Behind Atithi Hotel, Opposite to MITAOE College, Dehu phata, Alandi, Pune.</t>
  </si>
  <si>
    <t>Oracle: Oracle Cloud Infrastructure (OCI)</t>
  </si>
  <si>
    <t xml:space="preserve">Maven Silicon: VLSI, Verilog and SoC </t>
  </si>
  <si>
    <t xml:space="preserve">Infosys Springboard: Python </t>
  </si>
  <si>
    <t>Ennovation labs, Chandigarh: Internet Of Things</t>
  </si>
  <si>
    <t>1. Internshala: Web Development 
2. DPI Infotech: Human Resource (HR)</t>
  </si>
  <si>
    <t>Signal Circuits Pvt Ltd, Pune: Embedded systems.</t>
  </si>
  <si>
    <t>Emotion detection using deep learning algorithms.</t>
  </si>
  <si>
    <t xml:space="preserve">Social media Marketing member: THE AXES, Maths Club MITAOE </t>
  </si>
  <si>
    <t>https://preskilet.com/watch?v=62a3732aa6956a0004600204</t>
  </si>
  <si>
    <t>https://drive.google.com/open?id=14-QZb1VpgYzeY_-7C-fT324RugBDd1C4</t>
  </si>
  <si>
    <t>https://drive.google.com/open?id=19lFp6C1IZsXHcqoogfsgWowAf41sDgNE</t>
  </si>
  <si>
    <t>https://drive.google.com/open?id=1twYsmfcBM8ak9z376C9jqDA4OJCgt3p9</t>
  </si>
  <si>
    <t>https://drive.google.com/open?id=1YFGcOwZTucquAmMACZpq9EVEmLDC9QMu</t>
  </si>
  <si>
    <t>https://drive.google.com/open?id=19GxkVIg3UDLn_SytWe92KCeUqk_Huv6G</t>
  </si>
  <si>
    <t>https://drive.google.com/open?id=17cTbOdAeCGxT8CaX-aLRA36D_7ybhfWH</t>
  </si>
  <si>
    <t>suraj.jaybhaye@mitaoe.ac.in</t>
  </si>
  <si>
    <t>0220200122</t>
  </si>
  <si>
    <t>NAMDEV</t>
  </si>
  <si>
    <t>JAYBHAYE</t>
  </si>
  <si>
    <t xml:space="preserve">Suraj.jaybhaye@mitaoe.ac.in </t>
  </si>
  <si>
    <t>https://www.linkedin.com/authwall?trk=bf&amp;trkInfo=AQFGeUb1rvEcNQAAAYFObT2Y--hiRFt8aBtmeYwW0ndAed5fsl-z5E9oJyjM0ILg7GCsp9f4kJYgv83M6p2V4lVX0jWVVvg6jhk1EYrSbp8NBuhHvsSb1sEmZip_VMHxfSiLe98=&amp;original_referer=&amp;sessionRedirect=https%3A%2F%2Fwww.linkedin.com%2Fin%2Fsuraj-jaybhaye-1611a4175</t>
  </si>
  <si>
    <t>SAGUNA</t>
  </si>
  <si>
    <t>Namdev Sadan, Venkatesh nagar,gangakhed(431514)</t>
  </si>
  <si>
    <t>Flat no. 105 Gokuldham society tapki nagar alandi-moshi road,alandi</t>
  </si>
  <si>
    <t>00</t>
  </si>
  <si>
    <t xml:space="preserve">IOT project development using industry grade controller </t>
  </si>
  <si>
    <t>Tork Motor,bhosari</t>
  </si>
  <si>
    <t xml:space="preserve">Design &amp; development of RFID based real time application </t>
  </si>
  <si>
    <t>Plz scada hands on training(AMT Skill)</t>
  </si>
  <si>
    <t>https://preskilet.com/watch?v=62bdcea29535010004fd2a6e</t>
  </si>
  <si>
    <t>https://drive.google.com/open?id=1JiPPJW_coSkNnHuBzHPy3KJAacjV1HZy</t>
  </si>
  <si>
    <t>https://drive.google.com/open?id=1sJkXrdTcLMxyPiLRlYjSJBJYDAZgTcLm</t>
  </si>
  <si>
    <t>https://drive.google.com/open?id=1jr9xQkJz61DNqObUwJtIbAze5EL3684B</t>
  </si>
  <si>
    <t>https://drive.google.com/open?id=1GD3RRjHslL_LZY9j1zf5r9u_ercSiB5L</t>
  </si>
  <si>
    <t>https://drive.google.com/open?id=1GalvjkxStRux68TkkICsatdWjAXMFn_D</t>
  </si>
  <si>
    <t>https://drive.google.com/open?id=190vUhqkYh15iXvqAOur3SPojXb9JQ8pm</t>
  </si>
  <si>
    <t>abhishek.sandhan@mitaoe.ac.in</t>
  </si>
  <si>
    <t>0220200143</t>
  </si>
  <si>
    <t>ABHISHEK</t>
  </si>
  <si>
    <t>SANDHAN</t>
  </si>
  <si>
    <t xml:space="preserve"> abhishek.sandhan@mitaoe.ac.in</t>
  </si>
  <si>
    <t>https://www.linkedin.com/in/abhishek-sandhan-710752220</t>
  </si>
  <si>
    <t>RAJARAM BHASKAR SANDHAN</t>
  </si>
  <si>
    <t>VARSHA RAJARAM SANDHAN</t>
  </si>
  <si>
    <t>At post Vadali bhoi, Tal: Chandwad, Dist: Nashik - 423117</t>
  </si>
  <si>
    <t>Opposite of MIT college, Dehu phata, Alandi, Pune - 412105</t>
  </si>
  <si>
    <t>"VLSI SoC Design using VHDL"</t>
  </si>
  <si>
    <t>"tcs iON RIO-45: Automate detection of different sentiments from textual comments and feedback"
It is easy but I have started during exam period and not able to give proper time and activity/report were not completed within given time.</t>
  </si>
  <si>
    <t xml:space="preserve">Embedded Systems Intern:
In this project, I am learning ST Microelectonics board. </t>
  </si>
  <si>
    <t>Diploma Project - "IOT Based Machine Overheat Detection with Alert"
BTech Project - "Design and Developement of Real Time Attendance Monitoring System"</t>
  </si>
  <si>
    <t>Python, Java, C/C++, SQL</t>
  </si>
  <si>
    <t>https://preskilet.com/watch?v=62a361bea6956a00045fff78</t>
  </si>
  <si>
    <t>https://drive.google.com/open?id=11_Gq2sbvEg-uZNI9QImAb697Huk3C2NA</t>
  </si>
  <si>
    <t>https://drive.google.com/open?id=1MpS86xn9u4z8GWsk10hHiejwtR5CyG8S</t>
  </si>
  <si>
    <t>https://drive.google.com/open?id=17AlXut2VlPP3PdGpu93cIKVniPScyWNd</t>
  </si>
  <si>
    <t>https://drive.google.com/open?id=1p3qtLlotVyKkhgALU1p2qAwWynE8wqag</t>
  </si>
  <si>
    <t>https://drive.google.com/open?id=1xsRaskPwvvJ1c2O5s8gxi4_kdp3YSO0G</t>
  </si>
  <si>
    <t>https://drive.google.com/open?id=1ML6OhOmlYujk95j-fpHOmfiFwtACEu-5</t>
  </si>
  <si>
    <t>https://drive.google.com/open?id=1jUIjS0e2MCKrx_P-FSb-WekICHIyDSu1</t>
  </si>
  <si>
    <t>https://drive.google.com/open?id=1g1tD9wTTG68R4GJDIsipDa6ShjxR5Tbi</t>
  </si>
  <si>
    <t>https://drive.google.com/open?id=1adqUbzToyLE3OOL8BapqMV8t7yYQ3CX8</t>
  </si>
  <si>
    <t>https://drive.google.com/open?id=1QRokcxOVuTbw6PnD20mftwUiXyg1AFxe</t>
  </si>
  <si>
    <t>https://drive.google.com/open?id=1ExVNgltIrZ7nPsIuOVmxCLCxBIyNH4As</t>
  </si>
  <si>
    <t>I have updated TY AMCAT report. Previously I had submitted screenshot of TY AMCAT score only.</t>
  </si>
  <si>
    <t>sagar.bokefode@mitaoe.ac.in</t>
  </si>
  <si>
    <t>0220200159</t>
  </si>
  <si>
    <t>SAGAR</t>
  </si>
  <si>
    <t xml:space="preserve">SHASHIKANT  </t>
  </si>
  <si>
    <t xml:space="preserve">BOKEFODE </t>
  </si>
  <si>
    <t>https://in.linkedin.com/in/sagar-bokefode-577b5623a</t>
  </si>
  <si>
    <t xml:space="preserve">SHASHIKANT </t>
  </si>
  <si>
    <t xml:space="preserve">VANDANA </t>
  </si>
  <si>
    <t xml:space="preserve">Linke no 4 padwal nagar Thergaoun pune </t>
  </si>
  <si>
    <t xml:space="preserve">Linke no 4 padawal nagar Thergaoun pune </t>
  </si>
  <si>
    <t xml:space="preserve">No </t>
  </si>
  <si>
    <t xml:space="preserve">Touchless door bell </t>
  </si>
  <si>
    <t xml:space="preserve">Face mask detection </t>
  </si>
  <si>
    <t>cnc engraver machine</t>
  </si>
  <si>
    <t xml:space="preserve">Cricket , football </t>
  </si>
  <si>
    <t xml:space="preserve">In sports </t>
  </si>
  <si>
    <t>https://preskilet.com/watch?v=62bc922d5493430004e5f068</t>
  </si>
  <si>
    <t>https://drive.google.com/open?id=1dqvUR3xBcQRKrZSHNPYlHM2ULK2ql3hV</t>
  </si>
  <si>
    <t>https://drive.google.com/open?id=1Lh3mDpVwMC3DcEdFBG_a8OXU42atzZgj</t>
  </si>
  <si>
    <t>https://drive.google.com/open?id=1RMmr_NtzcoHCIAkQWs-ohb54gmoiHqFX</t>
  </si>
  <si>
    <t>https://drive.google.com/open?id=1tNj5DZPQnJ8GXDpb3DWKaTHwkjSIr6Y4</t>
  </si>
  <si>
    <t>https://drive.google.com/open?id=11r_XZop9nc_dAavV1uvM8cCSD14Y9bpx</t>
  </si>
  <si>
    <t>https://drive.google.com/open?id=10Z6g_5dd3HQinOs0wKp8yqLxm7eud5hE</t>
  </si>
  <si>
    <t>https://drive.google.com/open?id=13FEjzcWEjocXYvtaOeyaX2ZI2i6Ph1jY</t>
  </si>
  <si>
    <t>For AMCAT result</t>
  </si>
  <si>
    <t>abhishek.morope@mitaoe.ac.in</t>
  </si>
  <si>
    <t>0220200062</t>
  </si>
  <si>
    <t>UTTAMRAO</t>
  </si>
  <si>
    <t>MOROPE</t>
  </si>
  <si>
    <t>https://www.linkedin.com/in/abhishek-morope-3665421a1</t>
  </si>
  <si>
    <t xml:space="preserve">UTTAMRAO </t>
  </si>
  <si>
    <t>VANDADA</t>
  </si>
  <si>
    <t>NAVNATH COLONY, NEAR DATTA NAVNATH MANDIR, NAVASARI, AMRAVATI 444604</t>
  </si>
  <si>
    <t>ET341T - Control system
ET343T - Embedded systems design
EX351T - Fundamentals of robotics</t>
  </si>
  <si>
    <t xml:space="preserve">VLSI System On Chip Design by Maven's Silicon </t>
  </si>
  <si>
    <t>Military Surveillance system Using IoT or
Automatic Black Board Cleanner</t>
  </si>
  <si>
    <t>Volunteers in Arts Club MITAOE</t>
  </si>
  <si>
    <t>https://drive.google.com/open?id=1m6Pm3obxdetRsl_5UvzDfOx3h7-czFQ4</t>
  </si>
  <si>
    <t>https://drive.google.com/open?id=1Jp4TrOC1uVsl8tryaIGqfd1iOwDtY2IF</t>
  </si>
  <si>
    <t>https://drive.google.com/open?id=13-hvz02AsHn0HyS9rQaBsOT-_GJxlLrd</t>
  </si>
  <si>
    <t>Branch not filled</t>
  </si>
  <si>
    <t>jaya.sonawane@mitaoe.ac.in</t>
  </si>
  <si>
    <t>0220200091</t>
  </si>
  <si>
    <t>SONAWANE</t>
  </si>
  <si>
    <t xml:space="preserve">jaya.sonawane@mitaoe.ac.in </t>
  </si>
  <si>
    <t>https://www.linkedin.com/in/jaya-sonawane-520601222</t>
  </si>
  <si>
    <t xml:space="preserve">SANTOSH SHANKAR SONAWANE </t>
  </si>
  <si>
    <t xml:space="preserve">SHOBHA SANTOSH SONAWANE </t>
  </si>
  <si>
    <t>At. Manjargoan, Post. Mhalsakore, Tal. Niphad, Dist. Nashik. Pincode 422210</t>
  </si>
  <si>
    <t>Dnyanyog Socity,
Dehu phata, Tapkir Nagar,
In front of Bank of India, 
Alandi - Pune 412105
Maharashtra.</t>
  </si>
  <si>
    <t>495/500/605</t>
  </si>
  <si>
    <t>500/665/710</t>
  </si>
  <si>
    <t>ET341T - Control system</t>
  </si>
  <si>
    <t xml:space="preserve"> Maven Silicon </t>
  </si>
  <si>
    <t>Zensar Technology
Microsoft AI-900: Microsoft Azure AI</t>
  </si>
  <si>
    <t>Microsoft Azure Certification course.
Paloalto Cyber security course.</t>
  </si>
  <si>
    <t>IOT project development using industrial Grade Microcontroller.</t>
  </si>
  <si>
    <t>Still Searching for SIP</t>
  </si>
  <si>
    <t>VOICE CONTROLLED BOT WITH HUMAN INSTRUCTIONS</t>
  </si>
  <si>
    <t>Diploma_ VOICE CONTROLLED BOT WITH HUMAN INSTRUCTIONS.</t>
  </si>
  <si>
    <t>IOT project development using industrial grade microcontroller. its provided by Anand Techno creation.</t>
  </si>
  <si>
    <t xml:space="preserve">KHO KHO state level competition  </t>
  </si>
  <si>
    <t>https://drive.google.com/drive/folders/10Wa0WNhXg-eHhlJOED6I7HfwpRFLeXhW</t>
  </si>
  <si>
    <t>https://drive.google.com/open?id=1yyPKAQWb_l4-cwVGjFnV64leeIYDrjo5</t>
  </si>
  <si>
    <t>https://drive.google.com/open?id=1NmCxP8-kNDGKD6-g0YLJ2pSWOlZ2w0Vb</t>
  </si>
  <si>
    <t>https://drive.google.com/open?id=1e1Jw__n4m3KUbjPcXZfR-JLd-3W_ylUp</t>
  </si>
  <si>
    <t>https://drive.google.com/open?id=1kyJx-CQ1tAyBTRPbNEg8Sdebny7X8Eb1</t>
  </si>
  <si>
    <t>https://drive.google.com/open?id=1ArBeRzQUexbqgWuiFvTcCB0laF0nm2F_</t>
  </si>
  <si>
    <t>not yet update any things</t>
  </si>
  <si>
    <t>aarti.chaure@mitaoe.ac.in</t>
  </si>
  <si>
    <t>0220200173</t>
  </si>
  <si>
    <t>AARTI</t>
  </si>
  <si>
    <t>BHAGWAN</t>
  </si>
  <si>
    <t>CHAURE</t>
  </si>
  <si>
    <t>www.linkedin.com/in/aarti-chaure-755560215</t>
  </si>
  <si>
    <t>BHAGWAN BABURAO CHAURE</t>
  </si>
  <si>
    <t>REKHA BHAGWAN CHAURE</t>
  </si>
  <si>
    <t>At.Dhandegaon Post.Utwad Tq.Dist.Jalna</t>
  </si>
  <si>
    <t>Manas girls hostel,Dehu Phata,Tapkir Nagar, Near Bank of india,Alandi,Pune.</t>
  </si>
  <si>
    <t>MAVEN SILICON - VLSI SoC Design using Verilog HDL</t>
  </si>
  <si>
    <t>Joined 1 month internship at Next Step Technologies</t>
  </si>
  <si>
    <t>Diploma - Electronics notice board using Bluetooth, Btech-Regenerative system for mountain bicycle</t>
  </si>
  <si>
    <t>https://drive.google.com/file/d/1obGJ4KF9WS8uJRKj4Fvi4KKs4TYaK8MF/view?usp=sharing</t>
  </si>
  <si>
    <t>https://drive.google.com/open?id=1F3Vv08vhcLTVGp3lCdk69onyR4xI2saR</t>
  </si>
  <si>
    <t>https://drive.google.com/open?id=1KB4pTt75ams_Rf_k8HAc5ADOnYOGquU8</t>
  </si>
  <si>
    <t>https://drive.google.com/open?id=1dNP680T__ra31iCRQFlUsIZjpE7CEu58</t>
  </si>
  <si>
    <t>https://drive.google.com/open?id=1jkc-n8KZE4KhwIzmejlE8sgHdY51P3We</t>
  </si>
  <si>
    <t>jadhavvr@mitaoe.ac.in</t>
  </si>
  <si>
    <t>0120190632</t>
  </si>
  <si>
    <t>jviraj403@gmail.com</t>
  </si>
  <si>
    <t>https://www.linkedin.com/in/viraj-jadhav-776513226</t>
  </si>
  <si>
    <t>RAVINDRA NARAYAN JADHAV</t>
  </si>
  <si>
    <t>RUPALI RAVINDRA JADHAV</t>
  </si>
  <si>
    <t>At post Pusegaon Tal khatav,Dist Satara</t>
  </si>
  <si>
    <t>Microsoft Azure AI</t>
  </si>
  <si>
    <t xml:space="preserve">Getting started with AWS Machine Learning </t>
  </si>
  <si>
    <t>Fingerprint Vehicle Starter.The project includes fingerprint vehicle starter using fingerprint sensor and 
esp8226</t>
  </si>
  <si>
    <t>Sports- Cricket</t>
  </si>
  <si>
    <t>https://drive.google.com/drive/folders/1Blh-poFPp8J3kCJklj2vt9Mc23OJrM2c</t>
  </si>
  <si>
    <t>https://drive.google.com/open?id=1Q-RSLiGGxwzXeTAZ707ErGk94J8ClrGo</t>
  </si>
  <si>
    <t>https://drive.google.com/open?id=1NtPcV5OvXAx3dcRMe5b6TEQtUfYnnI6l</t>
  </si>
  <si>
    <t>vaishnavi.limbhore@mitaoe.ac.in</t>
  </si>
  <si>
    <t>0220200219</t>
  </si>
  <si>
    <t>LIMBHORE</t>
  </si>
  <si>
    <t>https://www.linkedin.com/in/vaishnavi-limbhore-a5623821a</t>
  </si>
  <si>
    <t>Shri.Shankar Taras Wada , Gawde Bhoir Ali, Chicnchwad gaon,Pimpri-Chinchwad,Pune-411033</t>
  </si>
  <si>
    <t>Zenser ESD</t>
  </si>
  <si>
    <t>Smart Blind Stick</t>
  </si>
  <si>
    <t>Vehicle accident detection and alertning system using GSM , GPS , Accelerometer , Arduino</t>
  </si>
  <si>
    <t>LILA POONAWALA FOUNDATION(LPF) Scholarship for girls</t>
  </si>
  <si>
    <t>1st Prize(Interschool) in Bhagwadgeeta talent search examination
59th Rank at National Championship Computing Intellegence Olympiad 2015-16</t>
  </si>
  <si>
    <t>https://preskilet.com/watch?v=62c85d590d4c4600040cd9f9</t>
  </si>
  <si>
    <t>https://drive.google.com/open?id=1_elTgbBuyHN-tdE03BuzL-aDkGHXiw4L</t>
  </si>
  <si>
    <t>https://drive.google.com/open?id=1xpfkmK6J6ZWeHeZsgfs3jocvFs7BkvdM</t>
  </si>
  <si>
    <t>https://drive.google.com/open?id=1amRTPAsrMWdYpVyIL8ORonot3bCngQuQ</t>
  </si>
  <si>
    <t>https://drive.google.com/open?id=1sUju03iS7zBd7f5ItPY6aAoQB6GqjUE1</t>
  </si>
  <si>
    <t>https://drive.google.com/open?id=13bW2m5m7bXOdadCdZMyL7URC-qoCI4FH</t>
  </si>
  <si>
    <t>https://drive.google.com/open?id=1B0fyMEcYUfh12DBVUwWRCpXBIShOO1hf</t>
  </si>
  <si>
    <t>https://drive.google.com/open?id=1vKR-vSXzVb3rw19E9YEdZu1zZFPqtk8U</t>
  </si>
  <si>
    <t>I have the technical certification details and also upload the Technical Certificate</t>
  </si>
  <si>
    <t>0120190448</t>
  </si>
  <si>
    <t xml:space="preserve">ABHISHEK </t>
  </si>
  <si>
    <t>MISHRA</t>
  </si>
  <si>
    <t>abhi.cr7.31@gmail.com</t>
  </si>
  <si>
    <t>https://www.linkedin.com/in/abhishek-mishra31/</t>
  </si>
  <si>
    <t>SUBHASH C MISHRA</t>
  </si>
  <si>
    <t>MAMTA MISHRA</t>
  </si>
  <si>
    <t>D4/1205, Bank of India Colony, Sector 13, Nerul, Navi Mumbai, Maharashtra, India</t>
  </si>
  <si>
    <t>758.33/900  (98.66 percentile)</t>
  </si>
  <si>
    <t>738.33/900  (98.66 percentile)</t>
  </si>
  <si>
    <t xml:space="preserve">AS105T CALCULUS AND DIFFERENTIAL EQUATIONS
CV102T APPLIED MECHANICS
ET222L DIGITAL SYSTEMS AND APPLICATIONS
ET362L PRINCIPLES OF COMMUNICATION SYSTEMS
ET362T PRINCIPLES OF COMMUNICATION SYSTEMS
ET364L SKILL DEVELOPMENT COURSE - NETWORKING
HP202L PROFESSIONAL COMMUNICATION
ET341T CONTROL SYSTEMS
ET343L EMBEDDED SYSTEMS DESIGN
ET343T EMBEDDED SYSTEMS DESIGN
</t>
  </si>
  <si>
    <t>Python Programming
MATLAB OnRamp
Java Programming Masterclass</t>
  </si>
  <si>
    <t>Bank of India Data Centre, Belapur Navi Mumbai
Intern in Networking Dept</t>
  </si>
  <si>
    <t>Front End Developer Intern at Abuzz Productions</t>
  </si>
  <si>
    <t>Quantum Circuit Simulator</t>
  </si>
  <si>
    <t>30 Days Web Development Challenge on Github and Discord</t>
  </si>
  <si>
    <t>Represented High School in State-level Basketball Tournament held in Delhi</t>
  </si>
  <si>
    <t>https://amcatglobal.aspiringminds.com/</t>
  </si>
  <si>
    <t>https://drive.google.com/open?id=1jBsYINNI2bPW78LLM-w88mX27SqjKljT</t>
  </si>
  <si>
    <t>https://drive.google.com/open?id=1WZqhcLB8cdWNDaIs6d_QzI3r94QPQvhV</t>
  </si>
  <si>
    <t>https://drive.google.com/open?id=13XgBsSixejvpdGHtByt0mxklZX9VuuEm</t>
  </si>
  <si>
    <t>https://drive.google.com/open?id=18y2PjlhA-pyzoeWv2an-sQUqB5wCCpzW</t>
  </si>
  <si>
    <t>https://drive.google.com/open?id=1_xTBvWbDorCcfhN0W4QN11deznfVXoki</t>
  </si>
  <si>
    <t>https://drive.google.com/open?id=1L4vZKQmAsOcUy5bZwLNudf7EvYEvBIz5</t>
  </si>
  <si>
    <t>0120190576</t>
  </si>
  <si>
    <t>vs9618357@gmail.com</t>
  </si>
  <si>
    <t>https://www.linkedin.com/in/vaibhav-shinde-278027235/</t>
  </si>
  <si>
    <t>SUNIL SHINDE</t>
  </si>
  <si>
    <t>UJJWALA SHINDE</t>
  </si>
  <si>
    <t>Flat No.7,Malhar Park Apartment,Near Babulal Nursery,Aurangabad Road,Nashik</t>
  </si>
  <si>
    <t>D-11,Kaivlya Housing Society,Opp. to Nikhil Grocery Shop,Alandi,Pune</t>
  </si>
  <si>
    <t>ET343T-Embedded Systems Design</t>
  </si>
  <si>
    <t xml:space="preserve">CS101T-Logic Development-C programing
AS204L-Applied Mathematics
ET226L-Data Structures and Algorithms
</t>
  </si>
  <si>
    <t>Infosys Springboard:Data Science Foundation Certification</t>
  </si>
  <si>
    <t>5 weeks Summer Internship At IAM(Integrated Active Monitoring) work as Hardware testing and PCB design</t>
  </si>
  <si>
    <t>Fingerprint Vehicle Starter project</t>
  </si>
  <si>
    <t>Social Media Memeber at AjaanVrisksha Club
Social Media Representative at Aalekh Club</t>
  </si>
  <si>
    <t>https://preskilet.com/watch?v=62b54d53af4f2700045cdb79</t>
  </si>
  <si>
    <t>https://drive.google.com/open?id=1ApcXn9Yn2-rLCYxv5b6G25j4P6B2iXqA</t>
  </si>
  <si>
    <t>https://drive.google.com/open?id=1bHRkT8iAgMLRgGsiNIBpm7aSf0bqft6L</t>
  </si>
  <si>
    <t>https://drive.google.com/open?id=1HznaLvg8_Ww_bscY7jGE24w1uNHdGiiD</t>
  </si>
  <si>
    <t>https://drive.google.com/open?id=1yqEgEcpNdIb76OgtiEjVSh7oU1hBEL11</t>
  </si>
  <si>
    <t>https://drive.google.com/open?id=1k7e85NdLMe0SMO1YP804oKZNmCEIRhj0</t>
  </si>
  <si>
    <t>0120190595</t>
  </si>
  <si>
    <t>THANGAN</t>
  </si>
  <si>
    <t>adwatthangan7@gmail.com</t>
  </si>
  <si>
    <t>https://www.linkedin.com/in/adwait-thangan-8a8695215</t>
  </si>
  <si>
    <t>NILESH THANGAN</t>
  </si>
  <si>
    <t>ARCHANA THANGAN</t>
  </si>
  <si>
    <t>D-201 Daffodils society somatane phata Pune 410506</t>
  </si>
  <si>
    <t>ET232T- NETWORK ANALYSIS TECHNIQUES
ET343T- Embedded System Design
ET34L- Embedded System Design
ET224- DIGITAL PROTOTYPING
AS106T ENGINEERING PHYSICS
CS101T LOGIC DEVELOPMENT - C PROGRAMMIN
CH101T SCIENCE OF NATURE
CS102T APPLICATION PROGRAMMING - PYTHON
EX102T ELECTRICAL AND ELECTRONICS ENGINEERING
ME104T ENGINEERING GRAPHICS
AS204L APPLIED MATHEMATICS 
ET221L ELECTRONIC DEVICES AND CIRCUITS 
ET221T ELECTRONIC DEVICES AND CIRCUITS
ET222L DIGITAL SYSTEMS AND APPLICATIONS
ET222T DIGITAL SYSTEMS AND APPLICATIONS
ET223L SIGNALS AND SYSTEMS
ET226L DATA STRUCTURES AND ALGORITHMS
ET233L MICROCONTROLLER AND INTERFACING
ET233T MICROCONTROLLER AND INTERFACING
IT221L ENGINEERING INFORMATICS
HP202L PROFESSIONAL COMMUNICATION</t>
  </si>
  <si>
    <t>ET34L- Embedded System Design
ET224- DIGITAL PROTOTYPING
AS106T ENGINEERING PHYSICS
CS101T LOGIC DEVELOPMENT - C PROGRAMMIN
CH101T SCIENCE OF NATURE
CS102T APPLICATION PROGRAMMING - PYTHON
EX102T ELECTRICAL AND ELECTRONICS ENGINEERING
ME104T ENGINEERING GRAPHICS
AS204L APPLIED MATHEMATICS 
ET221L ELECTRONIC DEVICES AND CIRCUITS 
ET221T ELECTRONIC DEVICES AND CIRCUITS
ET222L DIGITAL SYSTEMS AND APPLICATIONS
ET222T DIGITAL SYSTEMS AND APPLICATIONS
ET223L SIGNALS AND SYSTEMS
ET226L DATA STRUCTURES AND ALGORITHMS
ET233L MICROCONTROLLER AND INTERFACING
ET233T MICROCONTROLLER AND INTERFACING
IT221L ENGINEERING INFORMATICS
HP202L PROFESSIONAL COMMUNICATION</t>
  </si>
  <si>
    <t>Infosys spring board in programming to JAVA</t>
  </si>
  <si>
    <t>Freecodecamp - Responsive web designing
Freecodecamp - Javascript and data structure 
Python for Everybody</t>
  </si>
  <si>
    <t xml:space="preserve">VIEH Group - Employee attribution prediction </t>
  </si>
  <si>
    <t>Smart Restaurant menu ordering system</t>
  </si>
  <si>
    <t>Web development ( CSS / HTML)</t>
  </si>
  <si>
    <t xml:space="preserve">Member College football team
Runner up of intra college football competation 
Volunteer for college functions
Participation in Fashion Show in Nakshatra </t>
  </si>
  <si>
    <t>https://drive.google.com/drive/folders/1hNv3dD4grYYPj-nw5pAP4SE1hWAZdUPy</t>
  </si>
  <si>
    <t>https://drive.google.com/open?id=1p6e-r4tfVyHjFqNkGotDQ_byfZqQ8mmn</t>
  </si>
  <si>
    <t>https://drive.google.com/open?id=1l0hbUnPb9OIIsOCuWMLUM5BrgBg4k3wb</t>
  </si>
  <si>
    <t>https://drive.google.com/open?id=1Jucn3BFvQzhQ1Y0HHXHv3DlKmbHTresF</t>
  </si>
  <si>
    <t>https://drive.google.com/open?id=1IaGT2yebCE-IEI3dTt1oxErvP7wKuxRt</t>
  </si>
  <si>
    <t>snehankita.bankar@mitaoe.ac.in</t>
  </si>
  <si>
    <t>0220200224</t>
  </si>
  <si>
    <t>SNEHANKITA</t>
  </si>
  <si>
    <t xml:space="preserve">MOHAN </t>
  </si>
  <si>
    <t xml:space="preserve">BANKAR </t>
  </si>
  <si>
    <t xml:space="preserve">snehankita.bankar@mitaoe.ac.in </t>
  </si>
  <si>
    <t>www.linkedin.com/in/snehankita-bankar-89277522b</t>
  </si>
  <si>
    <t>VIJAYA</t>
  </si>
  <si>
    <t>Golande Associates Sr.no 156/32A, Flat no.6 Bijlinagar Chinchwad Pune 411033.</t>
  </si>
  <si>
    <t xml:space="preserve">Blind Stick using Arduino </t>
  </si>
  <si>
    <t>Powertrain Modelling of Nissan Leaf</t>
  </si>
  <si>
    <t>English , hindi</t>
  </si>
  <si>
    <t xml:space="preserve">Participated in International Youth Maths Competition, Participated in Python Programming workshop, Participated in Talent Battle - TCS iON National Level Internship Eligibility Test.
</t>
  </si>
  <si>
    <t xml:space="preserve">Completed 6 months training program of Zensar </t>
  </si>
  <si>
    <t>https://preskilet.com/watch?v=62b55c29af4f2700045cdd95</t>
  </si>
  <si>
    <t>https://drive.google.com/open?id=1FYwRKEAZdw7ZdiBWkYHkXZrHFglyI0_G</t>
  </si>
  <si>
    <t>https://drive.google.com/open?id=1lKCH_rpgQBy2ukjl_HstPNnnpomKTxBD</t>
  </si>
  <si>
    <t>https://drive.google.com/open?id=13zJXoabka-yiRmWl_2Bxodx7elas-Onx</t>
  </si>
  <si>
    <t>https://drive.google.com/open?id=1NcZTHlZx-eo08Oy1WVARdFPyc7q8BcxK</t>
  </si>
  <si>
    <t>https://drive.google.com/open?id=1JCI5A-z5I2QEcijw3eZjyySvgExlsoAX</t>
  </si>
  <si>
    <t>0120190253</t>
  </si>
  <si>
    <t>SAIF</t>
  </si>
  <si>
    <t>USMAN</t>
  </si>
  <si>
    <t>SAYYAD</t>
  </si>
  <si>
    <t>0120190607</t>
  </si>
  <si>
    <t>PAREKH</t>
  </si>
  <si>
    <t>pratikparekh2605@gmail.com</t>
  </si>
  <si>
    <t>https://www.linkedin.com/in/pratik-parekh-326b431ab</t>
  </si>
  <si>
    <t>SANTOSH PAREKH</t>
  </si>
  <si>
    <t>ARUNA PAREKH</t>
  </si>
  <si>
    <t>Pasayadhan Society, B-wing, Flat No. 206, Alandi , 412105, Pune, Maharashtra</t>
  </si>
  <si>
    <t>ET223T- Signals and System</t>
  </si>
  <si>
    <t>AS107L- Statistics and Integral Calculus</t>
  </si>
  <si>
    <t>Exam DP-900: Microsoft Azure Data Fundamentals</t>
  </si>
  <si>
    <t>Exam AZ-900: Microsoft Azure Fundamentals
AWS Cloud Practitioner Essentials</t>
  </si>
  <si>
    <t>SY Minor Project: Water Pollution Monitoring using RC Boat.</t>
  </si>
  <si>
    <t>YBI Foundation Dual Internship</t>
  </si>
  <si>
    <t xml:space="preserve">Application of Robotics for Advancement in Agriculture Using IoT </t>
  </si>
  <si>
    <t>AutoCAD, Fusion 360, Proteus, MATLAB, Cisco Packet Tracer, Ardiuno IDE, Raspbeery Pie IDE</t>
  </si>
  <si>
    <t>Certication of Praticipation in State Level Webinar on “Internet of Things (IoT)” held on 12th and 13th June 2021.</t>
  </si>
  <si>
    <t xml:space="preserve">Volunteer in Blood Donation Camp and Free Health Check up Camps Conducted by S.K Group, Alandi. </t>
  </si>
  <si>
    <t>https://preskilet.com/62ba9ee645522f0004b17979</t>
  </si>
  <si>
    <t>https://drive.google.com/open?id=1zSCjXfSh5fATsvfoXmADHc1KUzUs3ClL</t>
  </si>
  <si>
    <t>https://drive.google.com/open?id=1oRBNO5qANWQ3WuBXyZbtqNn7N3qg-kCi</t>
  </si>
  <si>
    <t>https://drive.google.com/open?id=1GbS2-YR9agUOfr03xsKdVJPuozMPpYI0</t>
  </si>
  <si>
    <t>https://drive.google.com/open?id=1Qje23xyn3zknJFUDf2Ol55D5fXW0n99v</t>
  </si>
  <si>
    <t>https://drive.google.com/open?id=1PB_-NXSTBw_0A3ku6Gk3JFKe-tnyddwP</t>
  </si>
  <si>
    <t>https://drive.google.com/open?id=1r_-QOgzWgbVUr7tDW1b46UrGjH64JBhC</t>
  </si>
  <si>
    <t>To submit technical certification</t>
  </si>
  <si>
    <t>0120190360</t>
  </si>
  <si>
    <t>NARENDRA</t>
  </si>
  <si>
    <t>kshitijp2901@gmail.com</t>
  </si>
  <si>
    <t>https://www.linkedin.com/in/kshitij-patil-10bab3243/</t>
  </si>
  <si>
    <t>NARENDRA PATIL</t>
  </si>
  <si>
    <t>DWARKA PATIL</t>
  </si>
  <si>
    <t>sant tukdoji ward near gurukul convent kubde layout, hinganghat</t>
  </si>
  <si>
    <t>Infosys:Associate of IT Fundamentals Skills(python)</t>
  </si>
  <si>
    <t xml:space="preserve">Microsoft DP-900: Data fundamentals   Inappropriate exam time </t>
  </si>
  <si>
    <t>Vieh</t>
  </si>
  <si>
    <t>An automatic extractive English text summarization</t>
  </si>
  <si>
    <t>Python, HTML, CSS, JavaScript</t>
  </si>
  <si>
    <t>https://preskilet.com/knpatil@mitaoe.ac.in</t>
  </si>
  <si>
    <t>https://drive.google.com/open?id=1uj4iw4bc5wQeWEuclO7mGJgDJ80Q3xCe</t>
  </si>
  <si>
    <t>https://drive.google.com/open?id=1HPmn6g_VgiWm6JWTTlrUYdmwUn12jn7n</t>
  </si>
  <si>
    <t>https://drive.google.com/open?id=1oA6T5lFmijM7ejEfSQXxwZaon4ddZ7sL</t>
  </si>
  <si>
    <t>https://drive.google.com/open?id=1UMGlWSXLyNIRYmLP_OQODuOZKGk91fCv</t>
  </si>
  <si>
    <t>0120190178</t>
  </si>
  <si>
    <t>DABGOTRA</t>
  </si>
  <si>
    <t>vaibhavdabgotra2601@gmail.com</t>
  </si>
  <si>
    <t>https://www.linkedin.com/in/vaibhav-dabgotra-889209202/</t>
  </si>
  <si>
    <t>VIJAY KUMAR</t>
  </si>
  <si>
    <t>REKHA DABGOTRA</t>
  </si>
  <si>
    <t>27/B, BASANT NAGAR, JANIPUR, JAMMU, JAMMU AND KASHMIR</t>
  </si>
  <si>
    <t>Intern as an 'Account Assistant' in Shan Construction Co.</t>
  </si>
  <si>
    <t>Intern as an 'Data Science and Business Analyst' at The Sparks Foundation</t>
  </si>
  <si>
    <t>Intern at VIEH group</t>
  </si>
  <si>
    <t>Dogri, Punjabi</t>
  </si>
  <si>
    <t>30 Days with Google Cloud
AWS educate: Build Custom Alexa Skills
MATLAB Onramp</t>
  </si>
  <si>
    <t>Photography</t>
  </si>
  <si>
    <t>https://preskilet.com/watch?v=62bdd1719535010004fd2ae9</t>
  </si>
  <si>
    <t>https://drive.google.com/open?id=1t4iPhPgj56RnsR7ykPnTWodBqKEGahax</t>
  </si>
  <si>
    <t>https://drive.google.com/open?id=1Gf1dbWfhkq1pc0ZqA0Iwe79RZUBvrely</t>
  </si>
  <si>
    <t>https://drive.google.com/open?id=1TEcoMEvUG85dp4rEYoHX8aRkI6tJ0THO</t>
  </si>
  <si>
    <t>https://drive.google.com/open?id=1Dp0y_Mqk_pRFGa_hcfnMTdoq1XQAvZSh</t>
  </si>
  <si>
    <t>0120190017</t>
  </si>
  <si>
    <t>SNEHAL</t>
  </si>
  <si>
    <t>DERE</t>
  </si>
  <si>
    <t>snehaldere74@gmail.com</t>
  </si>
  <si>
    <t>https://www.linkedin.com/feed/?trk=hb_signin</t>
  </si>
  <si>
    <t>CHHAYA</t>
  </si>
  <si>
    <t>wadgoan amli tal-parner dist-a.nagar</t>
  </si>
  <si>
    <t>manas hostel , tapkir nagar alandi pune</t>
  </si>
  <si>
    <t>physics, EEE, C language, ghraphics</t>
  </si>
  <si>
    <t>PYTHON FOR EVERYONE, vodaphone</t>
  </si>
  <si>
    <t>MATLAP ONRAM Maven silicon</t>
  </si>
  <si>
    <t>PALOALTO</t>
  </si>
  <si>
    <t>COURSEERA</t>
  </si>
  <si>
    <t>VERZEO</t>
  </si>
  <si>
    <t>vodafone (ongoing) ybi</t>
  </si>
  <si>
    <t xml:space="preserve">Health Care and Medication Assistive System using IOT </t>
  </si>
  <si>
    <t>https://preskilet.com/watch?v=62a38088a6956a00046004e6</t>
  </si>
  <si>
    <t>https://drive.google.com/open?id=16Jb3R06EpzSKrQxWurJR3gZtyI5Tm_ty</t>
  </si>
  <si>
    <t>https://drive.google.com/open?id=1m2HkpYv0aPJWWxIWgzIeXoiSyABsmibr</t>
  </si>
  <si>
    <t>https://drive.google.com/open?id=1qaVP8YL-l25P7I3GSHMMWTm3Wa_UoV-J</t>
  </si>
  <si>
    <t>0120190066</t>
  </si>
  <si>
    <t>SOMNATH</t>
  </si>
  <si>
    <t>priti.jadhav2587@gmail.com</t>
  </si>
  <si>
    <t>https://www.linkedin.com/in/priti-jadhav-71a43819b</t>
  </si>
  <si>
    <t>Sevagiri Colony Subhashnagar Koregaon. Tal - Koregaon, Dist-Satara</t>
  </si>
  <si>
    <t>At Post Alandi. Tal - Khed, Dist - Pune</t>
  </si>
  <si>
    <t>Cloud Infrastructure Foundations: Oracle University</t>
  </si>
  <si>
    <t>Internship: Mastering in C++ (Udemy)</t>
  </si>
  <si>
    <t>Internship: CopperCloud IOTech Pvt Ltd</t>
  </si>
  <si>
    <t>https://preskilet.com/watch?v=6297b4da5545ea0004a92a48</t>
  </si>
  <si>
    <t>https://drive.google.com/open?id=1yhISBJNlTV6SoNh7YN1puTfaT6ig92-h</t>
  </si>
  <si>
    <t>https://drive.google.com/open?id=1DKoqaBIAtxESofvGAXkZTTPdpaq-Y7dp</t>
  </si>
  <si>
    <t>https://drive.google.com/open?id=15-p5VdfumgCrrCPtIpKHvQqDbDH1EvJ4</t>
  </si>
  <si>
    <t>https://drive.google.com/open?id=1cPigC21xhHKrrxaPt7F2Lkg7mBgHG_wE</t>
  </si>
  <si>
    <t>https://drive.google.com/open?id=1qjUJ7jL_m-KYnL82hrCvjF0afJl_LkXU</t>
  </si>
  <si>
    <t>https://drive.google.com/open?id=1KZHlvLEMJOHPmZcC09tA5GWO9OSKmD8w</t>
  </si>
  <si>
    <t>0220200052</t>
  </si>
  <si>
    <t>ANANDA</t>
  </si>
  <si>
    <t>PARKHAD</t>
  </si>
  <si>
    <t>rushikeshparkhad261@gmail.com</t>
  </si>
  <si>
    <t xml:space="preserve">rhushikesh.parkhad@mitaoe.ac.in </t>
  </si>
  <si>
    <t>https://www.linkedin.com/in/rhushikesh-parkhad-1a9734228</t>
  </si>
  <si>
    <t xml:space="preserve">ANANDA SITARAM PARKHAD </t>
  </si>
  <si>
    <t>LILABAI</t>
  </si>
  <si>
    <t xml:space="preserve">Post- Maldabhadi, Tal- Jamner , district -Jalgaon </t>
  </si>
  <si>
    <t xml:space="preserve">Alandi , Pune </t>
  </si>
  <si>
    <t xml:space="preserve">Maven Silicon centre of Excellence in VLSI </t>
  </si>
  <si>
    <t>AICTE- EduSkills Robotic Process Automation (RPA) Virtual Internship</t>
  </si>
  <si>
    <t>Zensar traning  and cloud computing VOIS</t>
  </si>
  <si>
    <t xml:space="preserve">Sign to speech converter </t>
  </si>
  <si>
    <t xml:space="preserve">Health monitoring system for e-bicycle </t>
  </si>
  <si>
    <t xml:space="preserve">
Health monitoring system for e- bicycle </t>
  </si>
  <si>
    <t xml:space="preserve">Python, Java, C/C++, Data structures and algorithms </t>
  </si>
  <si>
    <t xml:space="preserve">Proteus, MATLAB, Visual studio, Eclipse </t>
  </si>
  <si>
    <t xml:space="preserve">Zensar traning and VOIS cloud computing </t>
  </si>
  <si>
    <t>https://preskilet.com/rushikeshparkhad261@gmail.com</t>
  </si>
  <si>
    <t>https://drive.google.com/open?id=18X6vmhcTowotPnanVZ3PMJBiDDXxODVv</t>
  </si>
  <si>
    <t>https://drive.google.com/open?id=1EBXDzeOa7GYjemaFXWCyzoCzTqM_3M7z</t>
  </si>
  <si>
    <t>https://drive.google.com/open?id=1RP8JcDLY8ztQR1eNgDU0prCWjI8OjGtE</t>
  </si>
  <si>
    <t>https://drive.google.com/open?id=1oFOvH3X4zjQcsIjvu1qmMDFcIwBC4Ws3</t>
  </si>
  <si>
    <t>https://drive.google.com/open?id=1sI5wvH5sUrdsIPYwply4b5XDD_V9XPwp</t>
  </si>
  <si>
    <t>https://drive.google.com/open?id=1zuocG0_si9GvD1NJsbfSexnKZjXI1k0o</t>
  </si>
  <si>
    <t>https://drive.google.com/open?id=1WTq6EJK-TkWz9vxTxvu4J-IHnU2qPdnl</t>
  </si>
  <si>
    <t>https://drive.google.com/open?id=1PF5JorjVNA8TGNF-oNQQjTZhqGiG5fr_</t>
  </si>
  <si>
    <t xml:space="preserve">Amcat results </t>
  </si>
  <si>
    <t xml:space="preserve">INDRAJIT </t>
  </si>
  <si>
    <t>indrajitpawar2001@gmail.com</t>
  </si>
  <si>
    <t>https://www.linkedin.com/in/indrajit-pawar-9152a4241</t>
  </si>
  <si>
    <t>KISHOR PAWAR</t>
  </si>
  <si>
    <t>KAVITA PAWAR</t>
  </si>
  <si>
    <t>Khed,Khedbid, Tq-Arni Dist-Yavatmal</t>
  </si>
  <si>
    <t>Tanish Orchid Phase-2 Charoli Phata Alandi</t>
  </si>
  <si>
    <t xml:space="preserve"> NA</t>
  </si>
  <si>
    <t xml:space="preserve">ET226L - Data Structure and algorithms
AS204L - Applied mathematics
ET223L - Signal and System
</t>
  </si>
  <si>
    <t>AS204T - Applied Mathematics
ET222L- Digital System And Application
ET224L - Digital Prototyping
ET232L - Network Analysis and techniques
ET233T - Microcontroller And Interfacing 
ET235L - Rapid Prototyping
ET236L- Minor Project Implementation
EX232L- Circuit Simulation and Techniques
IT221L - Engineering Informatics
HP203L-Liberal Learning
HP202L - Professional 
Communication</t>
  </si>
  <si>
    <t>Autocad -3D Modeling</t>
  </si>
  <si>
    <t>Palo Alto Networks Academy</t>
  </si>
  <si>
    <t>Autocad-3D Modeling</t>
  </si>
  <si>
    <t xml:space="preserve">VIEH GROUP </t>
  </si>
  <si>
    <t>"Google Analytics
Customer Revenue Prediction</t>
  </si>
  <si>
    <t xml:space="preserve">1.eXEMPLAR' 2022
2.National Level 
E-Quiz on Computer Graphics </t>
  </si>
  <si>
    <t>Sports (Cricket, Kabbadi)</t>
  </si>
  <si>
    <t>https://drive.google.com/file/d/1gUHRZ0Kh5mNJ5gmhJHqIIRc-5quF-ycR/view?usp=drivesdk</t>
  </si>
  <si>
    <t>https://drive.google.com/open?id=1xlLbwCeCBWOhN9-Xx5dI6OFf4LIEy6hB</t>
  </si>
  <si>
    <t>https://drive.google.com/open?id=19x5uBI20ZYe0bl4uT3Us9WMSOFDOi8TI</t>
  </si>
  <si>
    <t>https://drive.google.com/open?id=1W8AUrYxRF8sXjbDYsdRkO8hYlTNHrCmR</t>
  </si>
  <si>
    <t>0220200080</t>
  </si>
  <si>
    <t>KAILAS</t>
  </si>
  <si>
    <t>GUNDE</t>
  </si>
  <si>
    <t>piyushgunde252@gmail.com</t>
  </si>
  <si>
    <t>https://www.linkedin.com/in/piyush-gunde-817ab3159</t>
  </si>
  <si>
    <t>A13 shukratara apartment near patil mala  ichalkaranji 416115</t>
  </si>
  <si>
    <t>b105 gokuldham society near kachare hospital alandi</t>
  </si>
  <si>
    <t>Microsoft Az-900</t>
  </si>
  <si>
    <t>Microsoft AI-900: Microsoft Azure AI, Verilog System design maven silicon, paloalto networks</t>
  </si>
  <si>
    <t>microsoft data fundamentals</t>
  </si>
  <si>
    <t xml:space="preserve">Rocket engineers </t>
  </si>
  <si>
    <t xml:space="preserve">industry grade microcontroller 1.5 month internship where i studied microcontroller interfacing and cloud IOT </t>
  </si>
  <si>
    <t xml:space="preserve">CME X Tech mahindra  done hands-on military projects  8 months duration </t>
  </si>
  <si>
    <t>Automated firing bot using AI ML</t>
  </si>
  <si>
    <t xml:space="preserve">Autonomous Drone Using AI ML </t>
  </si>
  <si>
    <t xml:space="preserve">AutoCAD, Fusion 360, SolidWorks, CATIA, Proteus, MATLAB, Tableau </t>
  </si>
  <si>
    <t xml:space="preserve">Brain Wreck : A technical Event Organized by MIT aoe
Hackathon  
</t>
  </si>
  <si>
    <t xml:space="preserve">National level Drone competition , National Level Project competition  </t>
  </si>
  <si>
    <t>AICTE Scholarship</t>
  </si>
  <si>
    <t xml:space="preserve">Tech mahindra training About Linux OS And Robotics </t>
  </si>
  <si>
    <t xml:space="preserve">Chess competition ,paper presentation </t>
  </si>
  <si>
    <t>https://preskilet.com/watch?v=62bd99d09535010004fd26bd</t>
  </si>
  <si>
    <t>https://drive.google.com/open?id=1Ea1qCjNX8u_O-T7DvWzB6TbA3jCXQH_w</t>
  </si>
  <si>
    <t>https://drive.google.com/open?id=1ATNf4IkzIwG82eKxZhH4dChfZXmaP3Zz</t>
  </si>
  <si>
    <t>https://drive.google.com/open?id=1jJSOwk3MXZYWPrxBbECi0iGTmSF8g1n6</t>
  </si>
  <si>
    <t>https://drive.google.com/open?id=1C6ATIol2fOOyoQ3yzZQj5LM6dlydOqZW</t>
  </si>
  <si>
    <t>https://drive.google.com/open?id=1bj_c7x9Yz7UiFL58aJcFsH3Lo5xpBc-y</t>
  </si>
  <si>
    <t>https://drive.google.com/open?id=1WMzRqZN49jEppE_C1XVYMnZv__xfgdXI</t>
  </si>
  <si>
    <t>https://drive.google.com/open?id=1GHCAhEWcGxpr6oIVvSDLAb0PIxLRIK9j</t>
  </si>
  <si>
    <t>added 3 more technical certifications</t>
  </si>
  <si>
    <t>0220200216</t>
  </si>
  <si>
    <t>VANSH</t>
  </si>
  <si>
    <t>vanshsg3102@gmail.com</t>
  </si>
  <si>
    <t>https://www.linkedin.com/in/vansh-gaikwad-046346221</t>
  </si>
  <si>
    <t>ANAMIKA</t>
  </si>
  <si>
    <t>Bhetalu layout behind gramsevak Bhavan, navsari, Amravati 444604</t>
  </si>
  <si>
    <t xml:space="preserve">ET341T - Control System </t>
  </si>
  <si>
    <t>Microsoft AI - 900 : Microsoft Azure AI</t>
  </si>
  <si>
    <t xml:space="preserve"> Microsoft Azure Fundamental </t>
  </si>
  <si>
    <t xml:space="preserve">Technoscript </t>
  </si>
  <si>
    <t>Powertrain modelling for Nissan leaf</t>
  </si>
  <si>
    <t xml:space="preserve">Post matric scholarship </t>
  </si>
  <si>
    <t>https://preskilet.com/watch?v=62bd96849535010004fd26b7</t>
  </si>
  <si>
    <t>https://drive.google.com/open?id=1S-SxRzT30TkKb2hYK8TMo8RTYRPq7wIp</t>
  </si>
  <si>
    <t>https://drive.google.com/open?id=1_dhyL4h79Aru3KBHyB-fGeF1mSG_8ND-</t>
  </si>
  <si>
    <t>https://drive.google.com/open?id=13_6JOnsqX0M9lOf0uKTu9nG1RB5yBbl5</t>
  </si>
  <si>
    <t>https://drive.google.com/open?id=1o_STQrfBJCZ5DuAZ6z84VBt4jbGDHiIx</t>
  </si>
  <si>
    <t>I have uploaded technical certificate, TY AMCAT results and the mentioned summer internship which is going on.</t>
  </si>
  <si>
    <t>0120190296</t>
  </si>
  <si>
    <t>DHAWAL</t>
  </si>
  <si>
    <t>HEMANE</t>
  </si>
  <si>
    <t>dhawalhemane@gmail.com</t>
  </si>
  <si>
    <t xml:space="preserve">ddhemane@mitaoe.ac.in </t>
  </si>
  <si>
    <t>https://www.linkedin.com/in/dhawal-hemane-4929381a4</t>
  </si>
  <si>
    <t>DEVIDAS TUKARAM HEMANE</t>
  </si>
  <si>
    <t>KUNDA DEVIDAS HEMANE</t>
  </si>
  <si>
    <t>At post sangadi ta. sakoli dist . bhandara</t>
  </si>
  <si>
    <t>Alandi  , MITAOE</t>
  </si>
  <si>
    <t>EX102T - ELECTRICAL AND ELECTRONICS ENGINEERING
ME104L - ENGINEERING GRAPHICS 
ME104T - ENGINEERING GRAPHICS</t>
  </si>
  <si>
    <t>"Microsoft AI-900: Microsoft Azure AI"</t>
  </si>
  <si>
    <t xml:space="preserve">
Oracle Cloud Infrastructure Foundations 2021 Certified Associate
Cybersecurity Foundation (palo alto networks) 
</t>
  </si>
  <si>
    <t xml:space="preserve">
palo alto 
infosys SpringBord</t>
  </si>
  <si>
    <t xml:space="preserve">Internshala Training program 
</t>
  </si>
  <si>
    <t>FreeCodecamp.org</t>
  </si>
  <si>
    <t>Critical AI Private Limited</t>
  </si>
  <si>
    <t>Secured Framework for Pocket smart cards</t>
  </si>
  <si>
    <t>DATATHON 2022
Robotics Workshop
Member of Coding club MITAOE</t>
  </si>
  <si>
    <t>National Technical Event "Equilibrium 2022"</t>
  </si>
  <si>
    <t xml:space="preserve">Completing A robotics Workshop
Being a part of college cricket Team
Leading a Cricket Team in TY
</t>
  </si>
  <si>
    <t>https://preskilet.com/watch?v=62a30567a6956a00045ff6d9</t>
  </si>
  <si>
    <t>https://drive.google.com/open?id=13eHabU7DvKdwYL9cb4GQZRigVe7wHxKU</t>
  </si>
  <si>
    <t>https://drive.google.com/open?id=1NIbul3SYhPyseD1H6GlQl6WOgGHPn7_N</t>
  </si>
  <si>
    <t>https://drive.google.com/open?id=1OT_X73AVKkhkMlT9h78oNyD8GIQDlJ1v</t>
  </si>
  <si>
    <t>https://drive.google.com/open?id=1UqAYNw7hiXmh4my7X3cAq1BvFQNJW9wV</t>
  </si>
  <si>
    <t>https://drive.google.com/open?id=1xpSIHpZi7J8D9o5qCC3oKNVRaZKFn_-j</t>
  </si>
  <si>
    <t>https://drive.google.com/open?id=10p9R-D26FecRUPWLlSXrOzzwANNIwojU</t>
  </si>
  <si>
    <t>https://drive.google.com/open?id=1vVBwSSunXkuXS0Ri9pxPq_V5RcDl1QFY</t>
  </si>
  <si>
    <t>https://drive.google.com/open?id=1_tEVGI7DA1Mlw9kTYL5pPood1_gQ0-uC</t>
  </si>
  <si>
    <t>https://drive.google.com/open?id=1Rw-X2VEzOrQtPhJm4Ik7VxvGBUlWvdkE</t>
  </si>
  <si>
    <t>https://drive.google.com/open?id=1yCysJE9HqA6gOR_Gksf8BpMfUx7NVA2j</t>
  </si>
  <si>
    <t>https://drive.google.com/open?id=1UPJXJ7lXM58_lLCMTzsO73DsdAVcq4YA</t>
  </si>
  <si>
    <t>Internship Certificates , Educational Certifications ,Technical Certifications
SY AMCAT Result, TY AMCAT Result</t>
  </si>
  <si>
    <t>0120190540</t>
  </si>
  <si>
    <t>NIKAM</t>
  </si>
  <si>
    <t>kirtinikam166@gmail.com</t>
  </si>
  <si>
    <t>https://www.linkedin.com/in/kirti-nikam-988469238/</t>
  </si>
  <si>
    <t>BHIMRAO BHANUDAS NIKAM</t>
  </si>
  <si>
    <t>SHOBHA BHIMRAO NIKAM</t>
  </si>
  <si>
    <t>MU PO MOGARALE TQ MAN, MOGARALE, SATARA, MAHARASHTRA-415508</t>
  </si>
  <si>
    <t>PRABHAT COLONY, SHANKAR KALTE NAGAR, WAKAD ROAD WAKAD PUNE-411057</t>
  </si>
  <si>
    <t>ME104T</t>
  </si>
  <si>
    <t>Zensar ESD certification</t>
  </si>
  <si>
    <t>Zensar ESD Training and certification</t>
  </si>
  <si>
    <t>Python For Everybody - Coursera
Matlab Onramp</t>
  </si>
  <si>
    <t xml:space="preserve">Python complete bootcamp- Udemy
Python for machine learning and data science- Udemy
Project - Smart Trolly
</t>
  </si>
  <si>
    <t xml:space="preserve">Project - Forest fire detection system using deep learning
Internship : Doctorate faculty in MITAOE
</t>
  </si>
  <si>
    <t>B.E - Forest fire detection system using deep learning</t>
  </si>
  <si>
    <t>1) 1st runner up in the national level project presentation competition(Impetus) held by PICT in the machine learning domain.
2) Participated in DATATHON
3) Participated in "Codebyte coding" competition under the national level Technical Event "Equilibrium 2022"</t>
  </si>
  <si>
    <t>1) 1st runner up in the national level project presentation competition(Impetus) held by PICT in the machine learning domain.</t>
  </si>
  <si>
    <t>Aatmaja Foundation</t>
  </si>
  <si>
    <t>Participated in the Throwball competition in the college</t>
  </si>
  <si>
    <t>https://preskilet.com/watch?v=62a32db4a6956a00045ffae0</t>
  </si>
  <si>
    <t>https://drive.google.com/open?id=1bQsexKA_OjQKgW8_jUnU4D8Y0T99THLK</t>
  </si>
  <si>
    <t>https://drive.google.com/open?id=1n6I7k-pwPQu9xxlZbCwc42qr6OYILi-W</t>
  </si>
  <si>
    <t>https://drive.google.com/open?id=1cjUvb1p5vRHt3pSkZPwMO9m0E6lKGbRM</t>
  </si>
  <si>
    <t>https://drive.google.com/open?id=1tTLNivBKMzHCKIksILrKsXWiIUBfK3jD</t>
  </si>
  <si>
    <t>0120190233</t>
  </si>
  <si>
    <t>chandnijadhav8122@gmail.com</t>
  </si>
  <si>
    <t>https://www.linkedin.com/in/vaishnavi-jadhav-bb1797213</t>
  </si>
  <si>
    <t>Loni Bk, Tal- Rahata, Dist- Ahmednagar</t>
  </si>
  <si>
    <t>Maven Silicon</t>
  </si>
  <si>
    <t>Google: Google pay store, Digisaksham: Essentials of java, Havker</t>
  </si>
  <si>
    <t>Microsoft AI: Microsoft Azure AI</t>
  </si>
  <si>
    <t>Industry grade microcontroller</t>
  </si>
  <si>
    <t xml:space="preserve">Web development </t>
  </si>
  <si>
    <t xml:space="preserve">Oasis Infobyte </t>
  </si>
  <si>
    <t xml:space="preserve">Health Care and Medication Assistive System using IoT </t>
  </si>
  <si>
    <t>Haward University</t>
  </si>
  <si>
    <t>Member of Snehalaya Charitable Trust, Ahmednagar, Sports ( Carrom, Batbminton)</t>
  </si>
  <si>
    <t xml:space="preserve"> https://preskilet.com/watch?v=62bdbf259535010004fd28c0</t>
  </si>
  <si>
    <t>https://drive.google.com/open?id=1Ik1x0mZHMQHf2BGZccOptt8rnDdsfp1m</t>
  </si>
  <si>
    <t>https://drive.google.com/open?id=1Y2KaDVEH9x4z1x8GIAain8e6BbV7fTPC</t>
  </si>
  <si>
    <t>https://drive.google.com/open?id=1R10hKieuPt4am7NtQFiXQTEn98b54pmu</t>
  </si>
  <si>
    <t>https://drive.google.com/open?id=1xuc7Pxn79qcn2YfTXqNRytL1Mk_A4rbj</t>
  </si>
  <si>
    <t xml:space="preserve">Preskilet Video link, internship certificate </t>
  </si>
  <si>
    <t>0120190089</t>
  </si>
  <si>
    <t>AAYUSHI</t>
  </si>
  <si>
    <t>NISHIKANT</t>
  </si>
  <si>
    <t>aayushideshmukh79@gmail.com</t>
  </si>
  <si>
    <t>https://www.linkedin.com/in/aayushi-deshmukh-889b5b231</t>
  </si>
  <si>
    <t xml:space="preserve">NISHIKANT DESHMUKH </t>
  </si>
  <si>
    <t>PALLAVI DESHMUKH</t>
  </si>
  <si>
    <t>Aditya appartment flat no 01, shanti nagar, Bhusawal</t>
  </si>
  <si>
    <t>Mauli Krupa sadhan, Dehu Phata, Alandi</t>
  </si>
  <si>
    <t>AS105T- CALCULUS AND DIFFERENTIAL EQUATIONS, CV102T- APPLIED MECHANICS,CH101T SCIENCE OF NATURE</t>
  </si>
  <si>
    <t xml:space="preserve">Industry grade microcontroller internship - made project IOT based home automation using PIC microcontroller
</t>
  </si>
  <si>
    <t>Oasis Infobyte</t>
  </si>
  <si>
    <t>Health care medication assistive System using IOT</t>
  </si>
  <si>
    <t>Java, HTML, CSS, JavaScript</t>
  </si>
  <si>
    <t>Howard University</t>
  </si>
  <si>
    <t>Debate competition, Basketball</t>
  </si>
  <si>
    <t>https://preskilet.com/andeshmukh@mitaoe.ac.in</t>
  </si>
  <si>
    <t>https://drive.google.com/open?id=1CDjk6LZ-DL-IdsADHBMwXsgWcOIcORPe</t>
  </si>
  <si>
    <t>https://drive.google.com/open?id=1xdy1rhHrT8RWw6Z2ewQ42ibi9N1cynso</t>
  </si>
  <si>
    <t>https://drive.google.com/open?id=15ZqZSamf6wtMl8p_ZFbnT5UdqDL1sr2j</t>
  </si>
  <si>
    <t>https://drive.google.com/open?id=1b5sKB3AD6h4GMyt9MXjovlGFE3BU44cu</t>
  </si>
  <si>
    <t>https://drive.google.com/open?id=1OsBDlu1C3lUVtsjG9P1OZxhbidU7G2RH</t>
  </si>
  <si>
    <t>Branch, Preskilet Link because it was wrong</t>
  </si>
  <si>
    <t>0120190542</t>
  </si>
  <si>
    <t>ANIRUDH</t>
  </si>
  <si>
    <t>KHABYA</t>
  </si>
  <si>
    <t>ianirudhkhabya@gmail.com</t>
  </si>
  <si>
    <t xml:space="preserve">akhabya@mitaoe.ac.in </t>
  </si>
  <si>
    <t>https://www.linkedin.com/in/ianirudhkhabya/</t>
  </si>
  <si>
    <t xml:space="preserve">SUSHIL KHABYA </t>
  </si>
  <si>
    <t xml:space="preserve">CHANDA KHABYA </t>
  </si>
  <si>
    <t>Khabya Market, L.N.T Road, Bhilwara (Raj.)- 311001</t>
  </si>
  <si>
    <t>B2-601, Shaama estate phase 1, Charholi phata alandi road, Chovisawadi, Charholi Budruk, Pune(MH)- 412105</t>
  </si>
  <si>
    <t>Zensar ESD Program: Zensar Technologies</t>
  </si>
  <si>
    <t>Java Programming Masterclass: Udemy
AWS Academy Graduate: AWS Academy Cloud Foundations
Introduction to 3D Modelling: Autodesk Design Academy
MATLAB OnRamp: MATLAB
Programming for Everybody(Python): Coursera</t>
  </si>
  <si>
    <t>Alpha OBS LLP</t>
  </si>
  <si>
    <t>Inter-Chess competition
Online Gaming competition</t>
  </si>
  <si>
    <t>Zensar ESD Training: Zensar Technologies</t>
  </si>
  <si>
    <t>Lead the basketball team as a captain for “INTER-BRANCH BASKETBALL TOURNAMENT”</t>
  </si>
  <si>
    <t>https://preskilet.com/akhabya@mitaoe.ac.in</t>
  </si>
  <si>
    <t>https://drive.google.com/open?id=1apmVkb2xXtxVOpPx_JmCeac210kEI3Ho</t>
  </si>
  <si>
    <t>https://drive.google.com/open?id=1evMnkbP6sUnOJrzM90ioADSuZmg1YDsj</t>
  </si>
  <si>
    <t>https://drive.google.com/open?id=1PYqdhQGoHPCM0fcuoi38qmfoZK2NIboU</t>
  </si>
  <si>
    <t>https://drive.google.com/open?id=1zcZLgquvFFgdw3NulLkNzWzB8i05RItu</t>
  </si>
  <si>
    <t>https://drive.google.com/open?id=1L-n9kvsq3pAAhOdLs0lzQJ8tK-kAlcWh</t>
  </si>
  <si>
    <t>Updation of certification course</t>
  </si>
  <si>
    <t>0220200096</t>
  </si>
  <si>
    <t>NAGNATH</t>
  </si>
  <si>
    <t>abhishekkhandagale393@gmail.com</t>
  </si>
  <si>
    <t>https://www.linkedin.com/in/khandagale-abhishek-7057891a4</t>
  </si>
  <si>
    <t>VANMALA</t>
  </si>
  <si>
    <t>At chandeshwer, post-peth, district- Latur-413512</t>
  </si>
  <si>
    <t xml:space="preserve">Indrayani Hostel, Tapkir nagar, Dehu-phata 
Alandi, Pune - 412105
</t>
  </si>
  <si>
    <t>MAVAN SILICON (VLSI Design using Verilog HDL)</t>
  </si>
  <si>
    <t>AICT Blue  prism Associate Developer</t>
  </si>
  <si>
    <t>project- Design and implement Health Monitoring  System in E-Bicycle.</t>
  </si>
  <si>
    <t>Smart irrigation system using IOT</t>
  </si>
  <si>
    <t xml:space="preserve">1)Talent Battel - TCS iON National Level Internship Eligibility Test.
2)InfyTQ
3)HackWithInfy coding competition
</t>
  </si>
  <si>
    <t>https://preskilet.com/abhishekkhandagale393@gmail.com</t>
  </si>
  <si>
    <t>https://drive.google.com/open?id=1061cS4u1WCXDO701rJ2jhGDuR3nhG-AM</t>
  </si>
  <si>
    <t>https://drive.google.com/open?id=1CmDLYNft7I90TeRilezN7M4Me4YFV1Ou</t>
  </si>
  <si>
    <t>https://drive.google.com/open?id=1XcKgTu_g8FAzY20Dv1xF0diDGKBN107A</t>
  </si>
  <si>
    <t>https://drive.google.com/open?id=1o2tECRCliFvL0bnybhIo00dXiEo7tR27</t>
  </si>
  <si>
    <t>https://drive.google.com/open?id=1-T4mMZf7oWGQQcUTrLEm_NOcrzfCrm98</t>
  </si>
  <si>
    <t>https://drive.google.com/open?id=1tFOteEheCnSmnYxR6yA-xKDvPQwjQ6tt</t>
  </si>
  <si>
    <t>https://drive.google.com/open?id=1xtRYmtujm2wy4oP9F7Hu0BZms8dtZhRj</t>
  </si>
  <si>
    <t>https://drive.google.com/open?id=1oQbHkaeQQTntiZApocRSa9qHWmOyZGpL</t>
  </si>
  <si>
    <t>AMCAT Result update.</t>
  </si>
  <si>
    <t>0120190302</t>
  </si>
  <si>
    <t xml:space="preserve">SHRINIVAS </t>
  </si>
  <si>
    <t>KALYAN</t>
  </si>
  <si>
    <t xml:space="preserve">KHATANE </t>
  </si>
  <si>
    <t>shrinivaskhatane@gmail.com</t>
  </si>
  <si>
    <t>https://www.linkedin.com/in/shrinivas-khatane-0a8797241</t>
  </si>
  <si>
    <t xml:space="preserve">KALYAN </t>
  </si>
  <si>
    <t>RANJANA</t>
  </si>
  <si>
    <t>At.Karazani ,post.pali , TQ and district.Beed , Maharashtra 431122</t>
  </si>
  <si>
    <t xml:space="preserve">VLSI SOC DESIGN USING VERILOG HDL </t>
  </si>
  <si>
    <t xml:space="preserve">Robotic process automation vertual internship </t>
  </si>
  <si>
    <t>python course on coursera</t>
  </si>
  <si>
    <t>Speech to text converter for disability persons</t>
  </si>
  <si>
    <t xml:space="preserve">Health care and medication assistive system using IoT </t>
  </si>
  <si>
    <t xml:space="preserve">Participants in college gathering drama </t>
  </si>
  <si>
    <t>https://preskilet.com/watch?v=62bcb0da9f578900046b3f6b</t>
  </si>
  <si>
    <t>https://drive.google.com/open?id=1YcccnjrjEQu_PAuqQZS7SnPEm9EfoLUn</t>
  </si>
  <si>
    <t>https://drive.google.com/open?id=1MPv3nP9tLi14yCRRAlD2yJfpdrAVEe20</t>
  </si>
  <si>
    <t>https://drive.google.com/open?id=1a2FUtQBgzYgbdnZ__1VZVZ3Bjn7qhWsB</t>
  </si>
  <si>
    <t>https://drive.google.com/open?id=1KJw9PyTAu0sfaWuaCRBMmuIqz_o4rncB</t>
  </si>
  <si>
    <t>https://drive.google.com/open?id=1kjx7E0aRWxm2RtS9JAIMq0kgAGDircVT</t>
  </si>
  <si>
    <t>preskilet</t>
  </si>
  <si>
    <t>0120190395</t>
  </si>
  <si>
    <t>RAMESHWAR</t>
  </si>
  <si>
    <t>ramchavan7607@gmail.com</t>
  </si>
  <si>
    <t>https://www.linkedin.com/in/rameshwar-chavan-8a9b4023a</t>
  </si>
  <si>
    <t>USHA</t>
  </si>
  <si>
    <t>SANTHOSHI MATA NAGAR , MAIN ROAD MEHKAR , TQ.MEHKAR , DIST.BULDHANA , 443301</t>
  </si>
  <si>
    <t>ALANDI , TQ.KHED , DIST.PUNE , 412105</t>
  </si>
  <si>
    <t>ET341T- Control system</t>
  </si>
  <si>
    <t>ET226L-Data Structures and Algorithms</t>
  </si>
  <si>
    <t xml:space="preserve">Cybersecurity : palo Alto </t>
  </si>
  <si>
    <t>Ethical Hacking for Beginners : Skillup by simplilearn
Programming for Everybody in Python : Coursera
Machine learning security : Amazon web services</t>
  </si>
  <si>
    <t xml:space="preserve">Basic of HTML : Learn Tube 
Basic of JAVA : Learn Tube </t>
  </si>
  <si>
    <t>Cyber Security internship in " VIEH Private Limited " working with us on the project "Web Application Firewall" .</t>
  </si>
  <si>
    <t>YES ( mahadbt Scholarship)</t>
  </si>
  <si>
    <t>Participated in the 'eXEMPLAR 2022' , under National Level Technical Event 'Equilibrium 2022'</t>
  </si>
  <si>
    <t>https://preskilet.com/62a37b7ba6956a00046003f9</t>
  </si>
  <si>
    <t>https://drive.google.com/open?id=1fL13usSgHjaykCBvsKqG1rlFqzOrm-EZ</t>
  </si>
  <si>
    <t>https://drive.google.com/open?id=17jmej_zd2VAYNyDdM-iFbajqgbiQ_mpB</t>
  </si>
  <si>
    <t>https://drive.google.com/open?id=1UJxwtPOJgkaflqJLDZCY7ueV2ShTir5b</t>
  </si>
  <si>
    <t>https://drive.google.com/open?id=1mbMqkOxq_NZQCJAiwAkkLrgoZLXDfWFP</t>
  </si>
  <si>
    <t>https://drive.google.com/open?id=1ThO561scDju27CY0eupe7N6zkk0YLKzB</t>
  </si>
  <si>
    <t>https://drive.google.com/open?id=1RFhYRc1yIuHzhZPdBzQgeiyyvaOw5W5s</t>
  </si>
  <si>
    <t>https://drive.google.com/open?id=1NJEPvGvkSWks4MrWSh0L3uN2zmSz8r6O</t>
  </si>
  <si>
    <t>I am not uploading some document , than i have update my from thank you .</t>
  </si>
  <si>
    <t>0120190070</t>
  </si>
  <si>
    <t>SAMYAK</t>
  </si>
  <si>
    <t>ZODAPE</t>
  </si>
  <si>
    <t>samyzodape143@gmail.com</t>
  </si>
  <si>
    <t xml:space="preserve">sdzodape@mitaoe.ac.in </t>
  </si>
  <si>
    <t>linkedin.com/in/samyak-zodape-20b880241</t>
  </si>
  <si>
    <t xml:space="preserve">DHRUVDAS ZODAPE </t>
  </si>
  <si>
    <t xml:space="preserve">SHUBHANGI ZODAPE </t>
  </si>
  <si>
    <t>Kunjilal Peth, Rameshwari road, Nagpur 440027</t>
  </si>
  <si>
    <t>Oracle Certification</t>
  </si>
  <si>
    <t>Course Era certification course Python</t>
  </si>
  <si>
    <t>IoT for industrial grade microcontrollers.</t>
  </si>
  <si>
    <t>VIEH group private limited</t>
  </si>
  <si>
    <t xml:space="preserve">Detection of artificial and naturally ripened banana </t>
  </si>
  <si>
    <t>https://drive.google.com/open?id=1aNBs1Ov3uRDYG3CjePEtMZ2bawxBCjd_</t>
  </si>
  <si>
    <t>https://drive.google.com/open?id=1OQ0uyZyuDLC33G6slb_0Ku_FoJ2VUc-E</t>
  </si>
  <si>
    <t>https://drive.google.com/open?id=1XTwVHxUi7CBkh3IvfbX9vsIHY28Bf1Vz</t>
  </si>
  <si>
    <t>https://drive.google.com/open?id=1z5WjeLisjZi2WBg6mZrzWufLNkowYU9C</t>
  </si>
  <si>
    <t>https://drive.google.com/open?id=1EUbx6SXOVaBeG8R_GIdVQTXp1-JAd4kf</t>
  </si>
  <si>
    <t>Mistake in uploading the Education certification and was not unable to edit the response.</t>
  </si>
  <si>
    <t>0120190029</t>
  </si>
  <si>
    <t xml:space="preserve">VANSHIKA </t>
  </si>
  <si>
    <t xml:space="preserve">RAJU </t>
  </si>
  <si>
    <t>SONEKAR</t>
  </si>
  <si>
    <t>sonekarvanshu@gmail.com</t>
  </si>
  <si>
    <t>https://www.linkedin.com/in/vanshika-sonekar-73b876241</t>
  </si>
  <si>
    <t xml:space="preserve">BABITA </t>
  </si>
  <si>
    <t>At post walni mines QR no 368, nagpur tah saoner</t>
  </si>
  <si>
    <t xml:space="preserve">SK girl's hostel Alandi,near athithi hotel Kate colony </t>
  </si>
  <si>
    <t>AS105T - CALCULUS AND DIFFERENTIAL EQUATIONS
CS101L - LOGIC DEVELOPMENT - C PROGRAMMING
CS101T - LOGIC DEVELOPMENT - C PROGRAMMING
CV102T - APPLIED MECHANICS
CH101T - SCIENCE OF NATURE
ET221L - ELECTRONIC DEVICES AND CIRCUITS</t>
  </si>
  <si>
    <t>Infosys Springboard: Python Programmer Certification</t>
  </si>
  <si>
    <t>1. Coursera: Introduction to HTMLs
2. Cisco: Introduction to Packet Tracer
3. Coursera: Machine Learning for All
4. MATLAB: Matlab Onramp
5. Autodesk Design Academy: Introduction 
    to 3D Modeling</t>
  </si>
  <si>
    <t xml:space="preserve">1.Oracle: Introduction to Cloud infrastructure
</t>
  </si>
  <si>
    <t>Touchless hand wash timer:
The hand wash timer detects if a person stands in front of the sink and blinks red for 20 seconds. It uses the same technology as the detectors that turn on the lights in public bathrooms. That is: no cameras.
It also uses the sensor to measure how much time the person spends in front of the sink. This data is sent over a wireless Internet of Things (IoT) network to a database. This data can then displayed on a nearby screen so that we can keep up our hand wash habits.</t>
  </si>
  <si>
    <t>Non-intrusive Speech Quality Assessment: 
In non-intrusive algorithms only the received speech signal is used to estimate the speech quality and then after using SVM method the speech quality score is predicted</t>
  </si>
  <si>
    <t>Non intrusive speech quality assessment</t>
  </si>
  <si>
    <t xml:space="preserve">1. Seminar on Electric Vehicle
2. Verious Technical courses like C++, python
3. Guest lecture on introduction to VLSI- HDL design </t>
  </si>
  <si>
    <t xml:space="preserve">Vice President of menace dance club
Member of firodiya 
</t>
  </si>
  <si>
    <t>https://preskilet.com/watch?v=62a38d56a6956a00046007e3</t>
  </si>
  <si>
    <t>https://drive.google.com/open?id=15l3NnoO_xEnz3ZiuVhX5pP_BhcYffeK_</t>
  </si>
  <si>
    <t>https://drive.google.com/open?id=1bvBMK9hY_zHoTPKjfgafFtB9cTuiCx8X</t>
  </si>
  <si>
    <t>https://drive.google.com/open?id=1BRVaMIyWABxZbdompnvw4kbdWq0ppmEb</t>
  </si>
  <si>
    <t>https://drive.google.com/open?id=1KVPkdfcirkSuYVjFi9Wdcov72zakfLok</t>
  </si>
  <si>
    <t>https://drive.google.com/open?id=192pzljgZPNYoMpWRWdaVc8iq-qvNCK12</t>
  </si>
  <si>
    <t>https://drive.google.com/open?id=1nCMqyZGtEl5f-2IB-OGq4lW1-7a_ds7z</t>
  </si>
  <si>
    <t>https://drive.google.com/open?id=1dJA_IEy7t27rMwJzSQE2iWuLOifIm-JI</t>
  </si>
  <si>
    <t>Updated the internship certificate 
I am not able to edit this page ,by mistake i uploaded industrial certificates in intership domain, pardon me . I am uploading my internship offer letter in technical domain , kindly look into this , sorry for inconvenience.</t>
  </si>
  <si>
    <t>No(Internship Letter)</t>
  </si>
  <si>
    <t>ayush.jadhao@mitaoe.ac.in</t>
  </si>
  <si>
    <t>0220200223</t>
  </si>
  <si>
    <t>AYUSH</t>
  </si>
  <si>
    <t>JADHAO</t>
  </si>
  <si>
    <t>https://www.linkedin.com/in/ayush-jadhao-6aa319173</t>
  </si>
  <si>
    <t>SUNIL KISAN JADHAO</t>
  </si>
  <si>
    <t>UNNATI SUNIL JADHAO</t>
  </si>
  <si>
    <t xml:space="preserve">Adarsh colony krida sankul road, Buldhana </t>
  </si>
  <si>
    <t xml:space="preserve">Gokuldham society near kachare hospital , Alandi </t>
  </si>
  <si>
    <t xml:space="preserve">IOT project development using industry grade microcontroller </t>
  </si>
  <si>
    <t>OASIS INFOBYTE</t>
  </si>
  <si>
    <t>Computer vision based unmanned aerial vehicle</t>
  </si>
  <si>
    <t>Fusion 360, Proteus</t>
  </si>
  <si>
    <t>Sparkathon</t>
  </si>
  <si>
    <t>PLC SCADA  AMT skills enhanced institute</t>
  </si>
  <si>
    <t>https://preskilet.com/watch?v=62bd7daf9535010004fd2607</t>
  </si>
  <si>
    <t>https://drive.google.com/open?id=1Y2K2gtxBSN1MIcSAuf5ofbHlVZDZUQRh</t>
  </si>
  <si>
    <t>https://drive.google.com/open?id=1ZG1Y0hQOT14XC4humiTbHRHypwQ1wEVM</t>
  </si>
  <si>
    <t>https://drive.google.com/open?id=1cMmFkBVJW1_kQIqtzNinRh2L8k-3pOto</t>
  </si>
  <si>
    <t>https://drive.google.com/open?id=1Mdoj6ZMaZ2po3jGD9eyTmKabW0Js7JL-</t>
  </si>
  <si>
    <t>https://drive.google.com/open?id=1yVEq9ZpV8RrzMMPn8iqHsrJtXVbZngJd</t>
  </si>
  <si>
    <t>https://drive.google.com/open?id=1pTN9MNKNgEcgc-EMaPQ8WfokvxUzS6G1</t>
  </si>
  <si>
    <t>https://drive.google.com/open?id=1AKShLqIiK7YTUFUq_RI7B_aYKdA-5jk0</t>
  </si>
  <si>
    <t>https://drive.google.com/open?id=1Qwg4fKiAd3J91GHc__2aR16cQ_aAsVpy</t>
  </si>
  <si>
    <t>https://drive.google.com/open?id=1AuNJrNP9tQVBwRJOwmkFnKxnnuVnnMLa</t>
  </si>
  <si>
    <t xml:space="preserve">I have updated preskillet video link , internship certification </t>
  </si>
  <si>
    <t>rushikesh.bhuyekar@mitaoe.ac.in</t>
  </si>
  <si>
    <t>0220200002</t>
  </si>
  <si>
    <t>YADUNATH</t>
  </si>
  <si>
    <t>BHUYEKAR</t>
  </si>
  <si>
    <t>https://www.linkedin.com/in/rushikesh-bhuyekar-936a94182</t>
  </si>
  <si>
    <t>2060/64 'B' ward Mangalwar peth, Kolhapur 416012</t>
  </si>
  <si>
    <t>Tapkir Nagar , Alandi, Pune</t>
  </si>
  <si>
    <t>CS361T - Project Management</t>
  </si>
  <si>
    <t>Tork Motors
There we are working on Electric vehicle design.</t>
  </si>
  <si>
    <t>Bluetooth Controlled car</t>
  </si>
  <si>
    <t>Fusion 360, Proteus, MATLAB, Kicad</t>
  </si>
  <si>
    <t>PCB - Designing 
company:- Mayuresh Industries kolhapur</t>
  </si>
  <si>
    <t>https://drive.google.com/drive/folders/1EJAV5g_T-BZB3DK7zDi5B2pQCwk8Sdyk</t>
  </si>
  <si>
    <t>https://drive.google.com/open?id=15hvsi51mtnaVYUAoIOiHjCg95VZmdkbJ</t>
  </si>
  <si>
    <t>https://drive.google.com/open?id=1b0BA3Q_ukeBMLDTAXcVpYky4xV1V3qGK</t>
  </si>
  <si>
    <t>shivlila.vishwakarma@mitaoe.ac.in</t>
  </si>
  <si>
    <t>0220200152</t>
  </si>
  <si>
    <t xml:space="preserve">SHIVLILA </t>
  </si>
  <si>
    <t xml:space="preserve">RAMESH </t>
  </si>
  <si>
    <t xml:space="preserve">VISHWAKARMA </t>
  </si>
  <si>
    <t>https://www.linkedin.com/in/shivlila-vishwakarma-b24690228</t>
  </si>
  <si>
    <t>RAMESH VISHWAKARMA</t>
  </si>
  <si>
    <t>KAVITA VISHWAKARMA</t>
  </si>
  <si>
    <t>At post. Bolegaon, Ta.Deoni. Dist. Latur, Maharashtra 413519</t>
  </si>
  <si>
    <t>Dnyanyog co-operative society, Tapkir Nagar, Alandi</t>
  </si>
  <si>
    <t xml:space="preserve">Maven silicon : VLSI SoC Design using Verilog HDL </t>
  </si>
  <si>
    <t xml:space="preserve">Zensar Technologies : Employability and Skill Development </t>
  </si>
  <si>
    <t xml:space="preserve">Diploma : Sign to speech converter, B.E.: Speed control of DC  motor using PID </t>
  </si>
  <si>
    <t>Equilibrium robotic competition</t>
  </si>
  <si>
    <t>https://drive.google.com/file/d/1wmhfCKRqIRLJNLx9GAPLNSDSf1M4Km5t/view?usp=sharing</t>
  </si>
  <si>
    <t>https://drive.google.com/open?id=1sxiRKJkptqPPGgZdyVUi6xosg7BXWcis</t>
  </si>
  <si>
    <t>https://drive.google.com/open?id=1vKUE7P003fLM1QPhq_gAbzGCRKygF_U3</t>
  </si>
  <si>
    <t>https://drive.google.com/open?id=1xbA8jSSqsUBjMX-gf0hZ01n01xIEVwk9</t>
  </si>
  <si>
    <t>https://drive.google.com/open?id=1d-c10_YIJ97A2bhhv7NUD9SChUFwEe71</t>
  </si>
  <si>
    <t>mayuri.ambegawe@mitaoe.ac.in</t>
  </si>
  <si>
    <t>0220200169</t>
  </si>
  <si>
    <t>MAYURI</t>
  </si>
  <si>
    <t>AMBEGAWE</t>
  </si>
  <si>
    <t>https://www.linkedin.com/in/mayuri-ambegawe-133699228</t>
  </si>
  <si>
    <t>PRASHANT AMBEGAWE</t>
  </si>
  <si>
    <t>SUNITA AMBEGAWE</t>
  </si>
  <si>
    <t>AT POST :-SHAMBHU UMBARGA, TQ:- UDGIR, DIST:-LATUR.</t>
  </si>
  <si>
    <t>DNYANYOG SOCITY DEHU PHATA ALANDI.</t>
  </si>
  <si>
    <t>Maven silicon</t>
  </si>
  <si>
    <t>cyber security</t>
  </si>
  <si>
    <t>web development</t>
  </si>
  <si>
    <t xml:space="preserve"> Diploma:- RFID based E-passport identification system, BE:- speed control of dc motor using pid controller using LabVIEW. </t>
  </si>
  <si>
    <t xml:space="preserve">code chafe </t>
  </si>
  <si>
    <t>https://drive.google.com/open?id=1yJRAS1KTOFooC2uBtjf5ehvusQi4Js97</t>
  </si>
  <si>
    <t>https://drive.google.com/open?id=1W3e4o3Ge1PWrzvwbUiAohhgPYe1uBZJ6</t>
  </si>
  <si>
    <t>https://drive.google.com/open?id=1SLDNfACy1hzCVoQIMJo7S3M5wyRdVyDG</t>
  </si>
  <si>
    <t>https://drive.google.com/open?id=1B1W3rFqNAVbNp7JcuznFKSO7G2tKjAqE</t>
  </si>
  <si>
    <t>pallavi.gundre@mitaoe.ac.in</t>
  </si>
  <si>
    <t>0220200164</t>
  </si>
  <si>
    <t xml:space="preserve">PALLAVI </t>
  </si>
  <si>
    <t>VENKAT</t>
  </si>
  <si>
    <t>GUNDRE</t>
  </si>
  <si>
    <t>https://www.linkedin.com/in/pallavi-gundre-673729228</t>
  </si>
  <si>
    <t>MEERA</t>
  </si>
  <si>
    <t>AT: Nagobachiwadi,Her TQ: Udgir,Dist : Latur 413517</t>
  </si>
  <si>
    <t>Dyanyog Society ,Dehu phata, Tapkir nagar,Near SBI bank Alandi.</t>
  </si>
  <si>
    <t>No backlog</t>
  </si>
  <si>
    <t>Cyber security and Maven silicon VLSI certification is done</t>
  </si>
  <si>
    <t>Ongoing Web development certification</t>
  </si>
  <si>
    <t>IOT project development using industrial grade microcontroller</t>
  </si>
  <si>
    <t>Intership is ongoing</t>
  </si>
  <si>
    <t>RFID based E-Passport identification system.</t>
  </si>
  <si>
    <t>Poster presentation on topic wireless mobile communication</t>
  </si>
  <si>
    <t xml:space="preserve">PCB design - Digital Art Latur
Web development - Smartknower </t>
  </si>
  <si>
    <t>https://preskilet.com/watch?v=62bde5509535010004fd2bc3</t>
  </si>
  <si>
    <t>https://drive.google.com/open?id=1_8JIYgYlruDPLqnsHcxaan7CZLpt9py1</t>
  </si>
  <si>
    <t>https://drive.google.com/open?id=1mkevfdptS8FxXk6uarA5bxhDvLG2QaO6</t>
  </si>
  <si>
    <t>https://drive.google.com/open?id=13ioYfKUxq1EKtfDe8HloGOmjUzpgw6SA</t>
  </si>
  <si>
    <t>https://drive.google.com/open?id=1qFyy3cW6Cox0kvSXekV1XNh1TBcS7Agu</t>
  </si>
  <si>
    <t>rushikesh.karanjkar@mitaoe.ac.in</t>
  </si>
  <si>
    <t>0220200145</t>
  </si>
  <si>
    <t>DATTARAJ</t>
  </si>
  <si>
    <t>KARANJKAR</t>
  </si>
  <si>
    <t>rushikeshkaranjkar843@gmail.com</t>
  </si>
  <si>
    <t>https://www.linkedin.com/in/rushikesh-karanjkar-a147711b4</t>
  </si>
  <si>
    <t>PARAJAKTA</t>
  </si>
  <si>
    <t>319/7,vakharbhag,sangli</t>
  </si>
  <si>
    <t>b-105, gokuldham society, tapkir nagar, sangli</t>
  </si>
  <si>
    <t xml:space="preserve">Anand Technol-creation iot based poject development using industry grade microcontroller </t>
  </si>
  <si>
    <t>Tork motors</t>
  </si>
  <si>
    <t xml:space="preserve">computer vision based UAV, Iot based real time health monitoring system </t>
  </si>
  <si>
    <t xml:space="preserve">AutoCAD, Fusion 360, SolidWorks, ANSYS, Proteus, MATLAB, Eagle, kicad, </t>
  </si>
  <si>
    <t>equribullium2020,sparkathon 2021,aerothon 2022</t>
  </si>
  <si>
    <t>https://preskilet.com/watch?v=62bdccbf9535010004fd29fa</t>
  </si>
  <si>
    <t>https://drive.google.com/open?id=1go0nYyoUfxn2Ni-ihrld2qOP_c05ve7e</t>
  </si>
  <si>
    <t>https://drive.google.com/open?id=1FOTfE7LMEwm63dlayhkCS0SUA8Et0KFs</t>
  </si>
  <si>
    <t>link</t>
  </si>
  <si>
    <t>KRISHNA KANT</t>
  </si>
  <si>
    <t>PHATE</t>
  </si>
  <si>
    <t>Krishnakantphate12@gmail.com</t>
  </si>
  <si>
    <t>https://www.linkedin.com/in/krishnakant-phate-4a8245213/</t>
  </si>
  <si>
    <t>PAWAN KUMAR PHATE</t>
  </si>
  <si>
    <t>PREETI PHATE</t>
  </si>
  <si>
    <t xml:space="preserve">House no.3, Betul Pride colony , betul bazaar road , infront of hanuman mandir , Betul , 460001 </t>
  </si>
  <si>
    <t>Heritage complex , beside gajanan maharaj mandir , Dehu phata , Alandi ,Pune , 412105</t>
  </si>
  <si>
    <t>" HP202L - PROFESSIONAL COMMUNICATION "</t>
  </si>
  <si>
    <t>AWS_Academy_Cloud_Foundations_Badge : AWS ACADEMY</t>
  </si>
  <si>
    <t>Web Development Training - INTERNSHALA
C for Everyone - COURSERA</t>
  </si>
  <si>
    <t xml:space="preserve"> Microsoft AZ-900 : Microsoft Azure
 GoogleCloudReady Facilitator program : GoogleCloud</t>
  </si>
  <si>
    <t>C for Everyone : Programming Fundamentals through Coursera</t>
  </si>
  <si>
    <t>Web Development Training - INTERNSHALA</t>
  </si>
  <si>
    <t>Web Development - Suven Consultants &amp; Technology Pvt Ltd.</t>
  </si>
  <si>
    <t>Storage Cloud Federation ( Multi Cloud )</t>
  </si>
  <si>
    <t>GoogleCloudReady Facilitator program</t>
  </si>
  <si>
    <t>Microsoft Azure Virtual Training Day : Fundamentals : MICROSOFT AZURE</t>
  </si>
  <si>
    <t>E-SPORTS - I was in the core committee and an active member of the " Team Chakravyuh ". Where we have organized an intra college E-sport event of BGMI.
Volleyball - Participated in the annual sport held by the college.
Photography - A member of college photography club .
GoogleCloudReady Facilitator program
1st cash prize in World Earth Day sketching competition</t>
  </si>
  <si>
    <t>https://preskilet.com/watch?v=6295f4e2716ac100049814f3</t>
  </si>
  <si>
    <t>https://drive.google.com/open?id=1CZhFI0FY5itGEYNTeag6Ot5U__AncdpC</t>
  </si>
  <si>
    <t>https://drive.google.com/open?id=1P4VOKYq6adsF4AwSCauhOrOVV_Ztn0x8</t>
  </si>
  <si>
    <t>https://drive.google.com/open?id=1Ov6NyIL03vhmQjkhCcf22qqVjf2PCYiz</t>
  </si>
  <si>
    <t>https://drive.google.com/open?id=1J_ZODJfLkCxGw5QukE-zwANYl-Q9vuyx</t>
  </si>
  <si>
    <t>https://drive.google.com/open?id=1vHqTLA14ZucufJjYmbL7NV8aElmXCb5P</t>
  </si>
  <si>
    <t>https://drive.google.com/open?id=13v5CjuiOVYis0e1TyiUpqLlu-aL9Iqpv</t>
  </si>
  <si>
    <t>https://drive.google.com/open?id=1xgyCVAk_GS9VyBILAsl3OQrM-5nYwu7f</t>
  </si>
  <si>
    <t>https://drive.google.com/open?id=1t9RXbJAc9ywnCH_P92BxXa149vpWwDJB</t>
  </si>
  <si>
    <t>AMCAT 2 AND AMCAT 3 Because last time updated score was not available</t>
  </si>
  <si>
    <t>0120190007</t>
  </si>
  <si>
    <t>maheshgaikwad0311@gmail.com</t>
  </si>
  <si>
    <t>https://www.linkedin.com/in/mahesh-gaikwad-a97481228/</t>
  </si>
  <si>
    <t>MADHUKAR TULSHIRAM GAIKWAD</t>
  </si>
  <si>
    <t>SUNITA MADHUKAR GAIKWAD</t>
  </si>
  <si>
    <t xml:space="preserve">PLOT NO 128 GAJANAN NAGAR, HUDKESHWAR ROAD, PIPLA FATA ,PIPLA NAGPUR MAHARASHTRA 440034 </t>
  </si>
  <si>
    <t>Microsoft Certified: Azure Fundamentals</t>
  </si>
  <si>
    <t>Response Web Design - Developed the five web programming projects using HTML, CSS, Visual Design, Accessibility.</t>
  </si>
  <si>
    <t>Data Science Domain Internship At Celebal Technologies ,7th floor Corporate Tower JLN Marg, near Jawahar Circle, Malviya Nagar, Jaipur, Rajasthan 302017</t>
  </si>
  <si>
    <t>Smart Vehicle - Traffic Sign Board Detection System</t>
  </si>
  <si>
    <t xml:space="preserve">React.js (JavaScript/Typescript), Angular, Django (Python), Flask (Python), Node.js </t>
  </si>
  <si>
    <t xml:space="preserve">AutoCAD, Fusion 360, CATIA, Adobe XD, MATLAB, cisco , Tableau </t>
  </si>
  <si>
    <t>https://preskilet.com/watch?v=62b4885430b280000452344c</t>
  </si>
  <si>
    <t>https://drive.google.com/open?id=1hURRFw-eV3yNQ4HjG4rG2dkz3_hfn-EW</t>
  </si>
  <si>
    <t>https://drive.google.com/open?id=1CkGdOL1wSn-P85ucax_3_HDtqit6u_UL</t>
  </si>
  <si>
    <t>https://drive.google.com/open?id=1LEOdewTtX2yKXG3m9o3wcD7cgFlhMZmW</t>
  </si>
  <si>
    <t>https://drive.google.com/open?id=1KutRg9oKBDznmkAXjmJD-G0rkALCsiUt</t>
  </si>
  <si>
    <t>0120190044</t>
  </si>
  <si>
    <t>DAKSHAY</t>
  </si>
  <si>
    <t>dahiyadaksh01@gmail.com</t>
  </si>
  <si>
    <t>https://www.linkedin.com/in/dakshay-kumar-b3aa02213/</t>
  </si>
  <si>
    <t>JITENDRA SINGH DAHIYA</t>
  </si>
  <si>
    <t>MANJU DEVI</t>
  </si>
  <si>
    <t>121 GF - 1 VIKRAM ENCLAVE SHALIMAR GARDEN SAHIBABAD GHAZIABAD UTTAR PRADESH - 201005</t>
  </si>
  <si>
    <t>Oracle University : Oracle Certified Foundations Associates</t>
  </si>
  <si>
    <t>AZ-900 - Microsoft Azure Fundamentals</t>
  </si>
  <si>
    <t>Work as a web development intern where I developed a Hospital Aggregator Platform. The tech stack used
for the project was React JS, Springboot, MongoDB.</t>
  </si>
  <si>
    <t>Celebal Technologies(Cloud Infra)</t>
  </si>
  <si>
    <t>Storage Federation using Multi Cloud Platform</t>
  </si>
  <si>
    <t>https://preskilet.com/watch?v=62b4a49b30b28000045236f1</t>
  </si>
  <si>
    <t>https://drive.google.com/open?id=1DhS8aIxCtjD9Z09BUfiPXifSoZMbm10w</t>
  </si>
  <si>
    <t>https://drive.google.com/open?id=1qSB46CUG2jmeSDkS5Upg-Wxf7-KeQNkd</t>
  </si>
  <si>
    <t>0120190064</t>
  </si>
  <si>
    <t>VISHAL</t>
  </si>
  <si>
    <t>SUBHASH</t>
  </si>
  <si>
    <t>SULE</t>
  </si>
  <si>
    <t>vishalsule2017@gmail.com</t>
  </si>
  <si>
    <t>https://www.linkedin.com/in/vishal-sule-280840231/</t>
  </si>
  <si>
    <t>SUBHASH DADABHAU SULE</t>
  </si>
  <si>
    <t>SAVITA SUBHASH SULE</t>
  </si>
  <si>
    <t>Sule Nivas, Manjarsumba road teacher's colony patoda tal- Patoda , Dis-Beed</t>
  </si>
  <si>
    <t>CS342T- Theory of Computation</t>
  </si>
  <si>
    <t>AS1O5T-CALCULUS AND DIFFERENTIAL EQUATIONS
AS106T-ENGINEERING PHYSICS
EX1021-ELECTRICAL AND ELECTRONICS ENGINEERING
ME1O4T-ENGINEERING GRAPHICS</t>
  </si>
  <si>
    <t>OCI Foundations Associate</t>
  </si>
  <si>
    <t xml:space="preserve">OCI Foundations Associate
</t>
  </si>
  <si>
    <t>edureka full stack developer internship certification courses are Going On</t>
  </si>
  <si>
    <t>Programming for Everybody (Getting Started with
Python), course I have completed in this internship program.</t>
  </si>
  <si>
    <t>Android App Development on internshala</t>
  </si>
  <si>
    <t>On celebal internship is going on, Domain-"power apps and power automate".</t>
  </si>
  <si>
    <t>Edureka training is going on</t>
  </si>
  <si>
    <t>Robin Hood Army Alandi club, just participation.</t>
  </si>
  <si>
    <t>https://drive.google.com/drive/folders/1ThNKWCq6lPKzdYXwiC9lcSTQzNHJ4oIJ?usp=sharing</t>
  </si>
  <si>
    <t>https://drive.google.com/open?id=1kdfrmO8RcYLHR-Ksno0oujLA2HFfakGz</t>
  </si>
  <si>
    <t>https://drive.google.com/open?id=1zaZ6AhxkaFGXqTHkEeTLhZJEaZ1g_yPN</t>
  </si>
  <si>
    <t>https://drive.google.com/open?id=1s1GokcihHTh1T2YLIcOXKths4Kl6Y6ze</t>
  </si>
  <si>
    <t>https://drive.google.com/open?id=1HQn_jRdbfItilpZCm7phAHJ2tV-9hg1d</t>
  </si>
  <si>
    <t>https://drive.google.com/open?id=1BeyEgNkK_ZLqQOkEI90oBRzVcxykeftb</t>
  </si>
  <si>
    <t>https://drive.google.com/open?id=1kfcRWPsOLcUxJwsLsBMxJpNr8Y6RPIDn</t>
  </si>
  <si>
    <t>0120190083</t>
  </si>
  <si>
    <t>DIVNALE</t>
  </si>
  <si>
    <t>vaishnavidivnale@gmail.com</t>
  </si>
  <si>
    <t>www.linkedin.com/in/vaishnavi-divnale-b18491246</t>
  </si>
  <si>
    <t>VIJAY RAJARAM DIVNALE</t>
  </si>
  <si>
    <t>REKHA VIJAY DIVNALE</t>
  </si>
  <si>
    <t xml:space="preserve">Flat No.B104, Bajrang Complex, Shriram Nagar, Shikrapur Road, Chakan, Pune - 410501. </t>
  </si>
  <si>
    <t xml:space="preserve">Zensar Employability Skill Development Programme : Zensar Technologies Ltd. </t>
  </si>
  <si>
    <t>Oracle : Oracle Cloud Infrastructure Foundations 2021 Certified Associate 
MathWorks : MATLAB Onramp
AWS Academy Graduate - AWS Academy Cloud Foundations</t>
  </si>
  <si>
    <t>Coursera Training Program : Programming for Everybody (Getting Started with Python) and python data structure.</t>
  </si>
  <si>
    <t>Internshala Training Program : Programming with C and C++</t>
  </si>
  <si>
    <t>Summer Intern at Celebal Technologies Pvt. Ltd. working in Data Analytics (Power BI/SQL) domain.</t>
  </si>
  <si>
    <t>Emotion Detection System Using Deep Learning</t>
  </si>
  <si>
    <t>AutoCAD, Fusion 360, MATLAB, Power BI</t>
  </si>
  <si>
    <t>Participated in Calculus Cluster - Organized by SHES at MITAOE</t>
  </si>
  <si>
    <t>Zensar Employability Skill Development Program Provided by Zensar Technologies Ltd.</t>
  </si>
  <si>
    <t>Firodiya Karandak 2020 - Management Team Member(2019-2020)</t>
  </si>
  <si>
    <t>https://preskilet.com/watch?v=62a38ce7a6956a00046007d7</t>
  </si>
  <si>
    <t>https://drive.google.com/open?id=1bU65ZSInMH-xF0nY4TZ4c_-blEw0_XMq</t>
  </si>
  <si>
    <t>https://drive.google.com/open?id=13Amy0uXnAPYnnR7euNdfKletoXmUOGnj</t>
  </si>
  <si>
    <t>https://drive.google.com/open?id=18dR7tLPaJIOq73tVaBBfKT44AKjYjph2</t>
  </si>
  <si>
    <t>https://drive.google.com/open?id=1sC17qiINS2ZxhcjWJ3ZvZn9Y420jUDdG</t>
  </si>
  <si>
    <t>https://drive.google.com/open?id=1yu3E3SSsLN__tk4zHJHuV4AyaC7TJG5G</t>
  </si>
  <si>
    <t>https://drive.google.com/open?id=1krIYO5xWLYHAATvh8Sr-UqnUFzD0LCKQ</t>
  </si>
  <si>
    <t>https://drive.google.com/open?id=1kiQVNWpMd8UGZCasns6H73DmTuSbgJz1</t>
  </si>
  <si>
    <t>https://drive.google.com/open?id=1gaiBNQubok3eXvK38ylW3LcRjwRStOfd</t>
  </si>
  <si>
    <t>https://drive.google.com/open?id=1lOWWDHUpZUG6phpoVZeXH6aA6SyDpvcg</t>
  </si>
  <si>
    <t>1] Internship Certificates : I have added one more certificate in the new submission.
2] Technical Certifications: I have added one more certificate in the new submission.
3] TY AMCAT Result : In previous submission I had submitted screenshot of scores because report was not available.</t>
  </si>
  <si>
    <t>0120190092</t>
  </si>
  <si>
    <t>NAMRATA</t>
  </si>
  <si>
    <t>GORAKSHANATH</t>
  </si>
  <si>
    <t>DHOBALE</t>
  </si>
  <si>
    <t>namratasahil786@gmail.com</t>
  </si>
  <si>
    <t>https://www.linkedin.com/in/namrata-dhobale-694366214</t>
  </si>
  <si>
    <t>GORAKSHANATH DHOBALE</t>
  </si>
  <si>
    <t>MANISHA DHOBALE</t>
  </si>
  <si>
    <t>RAJE SHIVAJI NAGAR ,SECT 16 PLOT 32/4 , CHIKHALI,PUNE</t>
  </si>
  <si>
    <t xml:space="preserve">RAJE SHIVAJI NAGAR, SECT 16 PLOT 32/4, CHIKHALI, PUNE </t>
  </si>
  <si>
    <t xml:space="preserve">Coursera :Python for Everybody
Coursera :Python Data Structures  </t>
  </si>
  <si>
    <t xml:space="preserve">Microsoft DP-900: Microsoft Azure Data Fundamentals
AWS Cloud Practitioner </t>
  </si>
  <si>
    <t xml:space="preserve">MIT AERO CLUB OF MIT ACADEMY OF ENGINEERING ,PUNE:
1)It was a 4 week online internship on RC Plane and Drone Design 
2)In this internship I learnt RC plane design , Design of Quad-copter , Use of ANSYS software ,Applications  </t>
  </si>
  <si>
    <t xml:space="preserve">1) COMPANY : Shivanjali
Role : Web Development Intern
Designed A fund raising website 
2) COMPANY :MIT ACADEMY OF ENGINEERING(Inhouse)
PROJECT :AUGMENTED REALITY APPLICATION FOR RURAL DEVELOPMENT
Worked on an AR app 'Anilearn' will for rural development in education sector
under UNNAT BHARAT SCHEMEusing Unity 3D ,Blender , C# , Vuforia , Fire
 </t>
  </si>
  <si>
    <t xml:space="preserve">Company : Celebal Technologies 
Role : Data Science Intern
</t>
  </si>
  <si>
    <t>English speech to Indian Sign Language Translator
Working on an AI/ML related project 'English Speech to Sign Language
Translator ' which takes speech as input andplays corresponding Sign 
language animations
The objective of this project is to favour the deaf community by reducing the 
communication gap between individualswith hearing disability and people with 
no disability</t>
  </si>
  <si>
    <t>Python, Java, C/C++, HTML, CSS, JavaScript, TypeScript</t>
  </si>
  <si>
    <t>Adobe XD, Proteus, MATLAB</t>
  </si>
  <si>
    <t>Sanskrit, Japanese</t>
  </si>
  <si>
    <t xml:space="preserve">1) 2nd runner up in Datathon 2022
2) 1st runner up in Virtual storm hackathon
3)  Member of Google Development Student Club
4) Member of Codechef club of college
5) Volunteer of Rural India Hackathon 
</t>
  </si>
  <si>
    <t>https://preskilet.com/watch?v=6299097b2c52a10004758676</t>
  </si>
  <si>
    <t>https://drive.google.com/open?id=1x1Fo7dt9AwNgvCQdbWLakDd67NhFZb4P</t>
  </si>
  <si>
    <t>https://drive.google.com/open?id=1W13jwKGGJMCeTeubHfHr9Q_R7eLlQfi3</t>
  </si>
  <si>
    <t>https://drive.google.com/open?id=1JajwLbDgf13G7fEVU3EDEUnK0VUWx2Ce</t>
  </si>
  <si>
    <t>https://drive.google.com/open?id=1stFqZPYYA6bGfgR20JNBGUR0hOQfx27E</t>
  </si>
  <si>
    <t>https://drive.google.com/open?id=16xEpqIp-mrskpb8-rklOAel2dnh8-uWp</t>
  </si>
  <si>
    <t>https://drive.google.com/open?id=1pAcZ55hXESFJrVNo04AUmT1jXCbQPhC1</t>
  </si>
  <si>
    <t>0120190107</t>
  </si>
  <si>
    <t>SUKDEV</t>
  </si>
  <si>
    <t>KOTKAR</t>
  </si>
  <si>
    <t>shubhamkotkar13@gmail.com</t>
  </si>
  <si>
    <t>https://www.linkedin.com/in/ssk13/</t>
  </si>
  <si>
    <t>SUKDEV KOTKAR</t>
  </si>
  <si>
    <t>SANGEETA KOTKAR</t>
  </si>
  <si>
    <t>Swami Samarth Nagar, Shivaji Nagar Sinnar-422103, Nashik.</t>
  </si>
  <si>
    <t>Nanashree apartment, near MITAOE College, Dheu road, Alandi-412105, PUNE</t>
  </si>
  <si>
    <t>Microsoft AI-900: Microsoft Azure AI
Microsoft DP-900 - Microsoft Azure Data
Google Data Analytics
Coding ninja - Introduction to Java
Coursera-Google Cloud Platform Big Data and Machine Learning Fundamentals
Coursera-Programming for Everybody (Getting Started with Python)
Coursera- Python data structures
Matlab onramp certification
AWS Cloud foundation
Google -Fundamental of digital marketing
Oracle certified foundation associate
Introduction to HTML5
Process Mining Virtual Internship
Fundamentals of Graphic Design
Introduction to 3D Modeling</t>
  </si>
  <si>
    <t xml:space="preserve">Done Google data analytics specialization course.(Include 8 different courses)
kisankart app(helps farmers to sell there products direct to consumers)
</t>
  </si>
  <si>
    <t>Selected intern at Celebal technologies in domain of Node Js</t>
  </si>
  <si>
    <t>SECURED FRAMEWORK FOR POCKET SMART CARDS</t>
  </si>
  <si>
    <t>Python, Java, C/C++, C#, HTML, CSS, JavaScript, PHP, Dart</t>
  </si>
  <si>
    <t xml:space="preserve">Coding challenges
Photography and art competition
Participated in equilibrium 2022(Datathon)
</t>
  </si>
  <si>
    <t>Machine learning course -paid(Ineuron)</t>
  </si>
  <si>
    <t>Hacker competition hosted by VIIT</t>
  </si>
  <si>
    <t>https://preskilet.com/watch?v=62b2c2e9cd590700045fb2d6</t>
  </si>
  <si>
    <t>https://drive.google.com/open?id=1gqSS8jgjNXCAQW9EswgPsPpcX5L0kgP4</t>
  </si>
  <si>
    <t>https://drive.google.com/open?id=1pPM3PjOv4MHM3A08Xn_LVvog2aBL-qdG</t>
  </si>
  <si>
    <t>https://drive.google.com/open?id=1GUipGp3WSnRs1Ork2mrsZeQB6ry_iQUI</t>
  </si>
  <si>
    <t>https://drive.google.com/open?id=1yS6Vj7GWd1yp56httywKhWYB_MswMHrg</t>
  </si>
  <si>
    <t>https://drive.google.com/open?id=1FMbvW-U-ZdN6rlwgLgSYKKj4VGWaFdSp</t>
  </si>
  <si>
    <t>https://drive.google.com/open?id=1_xhcrcNP1JpB42KbVDFDDya_Ele5o6Vt</t>
  </si>
  <si>
    <t>https://drive.google.com/open?id=1BUG9oACrwqBrTgVVj91A_PojX2XqIA7J</t>
  </si>
  <si>
    <t>https://drive.google.com/open?id=1dtuJwrlQnogiTOuuNYNPwBATnpXGEfnh</t>
  </si>
  <si>
    <t>Amcat results- first uploaded screenshots now i updated with result</t>
  </si>
  <si>
    <t>0120190133</t>
  </si>
  <si>
    <t xml:space="preserve">HARSH </t>
  </si>
  <si>
    <t>hb9075978234@gmail.com</t>
  </si>
  <si>
    <t>www.linkedin.com/in/harsh-bhosale-370397210</t>
  </si>
  <si>
    <t>E 108/3 CSPS urjanagar  colony Chandrapur Maharashtra</t>
  </si>
  <si>
    <t>Oracle Cloud</t>
  </si>
  <si>
    <t>Web Development Course</t>
  </si>
  <si>
    <t>ML Intern VIEH GROUP</t>
  </si>
  <si>
    <t>Cotton plant Diseases Prediction</t>
  </si>
  <si>
    <t>Badmition Competition</t>
  </si>
  <si>
    <t>https://preskilet.com/hdbhosale@mitaoe.ac.in</t>
  </si>
  <si>
    <t>https://drive.google.com/open?id=14JGfd6v6SvJt4cLW2wx8A4inqACGPzNa</t>
  </si>
  <si>
    <t>https://drive.google.com/open?id=1vXUoaoy6BPxHyCfODyLaoFMdeu3TKbs-</t>
  </si>
  <si>
    <t>https://drive.google.com/open?id=1Yf3jezDIzBv9CB0PSYQYC9X2G4LISFUl</t>
  </si>
  <si>
    <t>https://drive.google.com/open?id=1MbewuSO1TAgr0e3lxp_dO_pO_3hjKUV3</t>
  </si>
  <si>
    <t>https://drive.google.com/open?id=1GnJzM69gnNl9uH4MmnaFSNnCo0xpYG-O</t>
  </si>
  <si>
    <t>added technical certificate</t>
  </si>
  <si>
    <t>0120190154</t>
  </si>
  <si>
    <t>LONDHE</t>
  </si>
  <si>
    <t>sakshi19londhe@gmail.com</t>
  </si>
  <si>
    <t>www.linkedin.com/in/sakshi-londhe-4a718b212</t>
  </si>
  <si>
    <t>DR ANIL LONDHE</t>
  </si>
  <si>
    <t>MRS SMITA LAONDHE</t>
  </si>
  <si>
    <t>Olark residency, flat no. 45
Sector 9,Pl no. 14, Moshi PCNTDA, Pune
PIMPRI CHINCHWAD, MAHARASHTRA 412105
India</t>
  </si>
  <si>
    <t>1) Internshala trainings: Web development
2) Coursera: Python data structures
3) Coursera: Introduction to Augmented Reality and ARCore</t>
  </si>
  <si>
    <t>Udemy: Web Development with ASP .NET MVC and C#
The teaching style was a bit difficult and I find it difficult to understand C# as well</t>
  </si>
  <si>
    <t>Project name: Augmented reality in education 
Technology: Unity and blender
Objective: To provide a realistic experience to students and to make them understand certain topics of their curriculum quite easily.</t>
  </si>
  <si>
    <t>Celebal technologies - Working as SQL &amp; BI / Data Analyst</t>
  </si>
  <si>
    <t>Topic: Decentralised, secured and transparant voting system using blockchain
We're building this project using solidity, ganache, metamask and smart contract.
Aim: It will not let hackers barge into our system or tamper the votes.</t>
  </si>
  <si>
    <t>Fusion 360, Adobe XD, Proteus, MATLAB</t>
  </si>
  <si>
    <t>1) Participated in codechef pair programming contest
2) Participated in hackerrank aptitude round</t>
  </si>
  <si>
    <t>Internshala training: Web development</t>
  </si>
  <si>
    <t>1) Participated in Inkit organised by college magazine
2) Organised hindi speech competition under literary club
3) Interviewed various eminent personalities for college magazine</t>
  </si>
  <si>
    <t>https://preskilet.com/watch?v=62b98061bd2b77000426768b</t>
  </si>
  <si>
    <t>https://drive.google.com/open?id=1iBB8JpYUYdrxr3tZugN5XxNDuhH8PSC_</t>
  </si>
  <si>
    <t>https://drive.google.com/open?id=1Fsiki8KGWPehrxobl2QSGVq5ljbdSF0Y</t>
  </si>
  <si>
    <t>https://drive.google.com/open?id=1-iRK_k7ZDi1RBpp_vGRUZR5mhPcriExg</t>
  </si>
  <si>
    <t>https://drive.google.com/open?id=1lgJ1lbDQ5BCLEt0WJvdqyhgrvgq_8MGd</t>
  </si>
  <si>
    <t>https://drive.google.com/open?id=1a_YQ1tTHJUlU-sKv1JXEhNehv0WLPSWR</t>
  </si>
  <si>
    <t>0120190162</t>
  </si>
  <si>
    <t>amitkumar908616@gmail.com</t>
  </si>
  <si>
    <t>https://www.linkedin.com/in/amit-kumar-05a9291aa/</t>
  </si>
  <si>
    <t>GOPAL DASS</t>
  </si>
  <si>
    <t>SANTOSH KUMARI</t>
  </si>
  <si>
    <t>Vill. kot maira tehsil khour p/o pallanwala jammu &amp; kashmir 181204</t>
  </si>
  <si>
    <t>Flat No. 1108 tanish orchid phase 2 charoli phata alandi pune maharashtra</t>
  </si>
  <si>
    <t>Hackerrank Problem Solving Intermediate</t>
  </si>
  <si>
    <t>Zenser Training Certification</t>
  </si>
  <si>
    <t>Developed a project Mess Finder App 
The Innovative app to find the nearest messes near 
the collage campus
• Comes with two types of functionality user and 
administrator
• Display Nearest Messes with all menu and prices
• Tech Stack Used -&gt; Java,nodemailer,mysql</t>
  </si>
  <si>
    <t>Company Name -&gt; Codekul India Private Limited
Interened as Full stack web developer
Developed a Fullstack Web-based application based on Java Spring Framework for Web-services and RESTful API using Spring Boot and MySQL.
Axios HTTP library was used for calling Web-services.
This back-end server side architecture was integrated with React.js based client-side for front-end rendering and interactions.
Internship Duration : 5 may 2021 to 1 august 2021</t>
  </si>
  <si>
    <t>Company Name -&gt; Silfra Technology
Interened as Reactjs Developer 
Internship is on going.
Internship Duration : 28th may 2022 to 28th august 2022</t>
  </si>
  <si>
    <t>Sementic Video Clipper
• Using Sementic Video cipper we Can automatically clip 
out the silence Part from video 
• We can also clip out the control word from video 
• It is used to remove the irrelevant content from lecture 
recording of online classes like(silence and attendance)
• Tech Stack -&gt; Python 3,moviepy &amp; Vosk Api</t>
  </si>
  <si>
    <t>React.js (JavaScript/Typescript), Angular, Spring &amp; Hibernate (Java), Flask (Python)</t>
  </si>
  <si>
    <t>AutoCAD, Fusion 360, MATLAB, Vs Code , Eclipse</t>
  </si>
  <si>
    <t>1. Winner of CodeSpring Coding Competition Organised By Collage</t>
  </si>
  <si>
    <t>1.Global Rank 623 in Codechef Staters Division 2
2.Winner of CodeSpring(Coding Competition Organised By Collage)
3. Global Rank 110 In LeetCode BiWeekly Contest</t>
  </si>
  <si>
    <t xml:space="preserve">Yes I have availed Free Training from zensar </t>
  </si>
  <si>
    <t>1. Done Competitive Programming(  Codechef 4 star Programmer )
2. Technical Member of Mit Coding Club ( Problem Setter)
3. Done Freelancing as Problem Setter of Creating Coding Question's</t>
  </si>
  <si>
    <t>https://preskilet.com/watch?v=62b4bb7530b28000045238bc</t>
  </si>
  <si>
    <t>https://drive.google.com/open?id=16Bh3hKSjYL735ukt2MT77tnLgap_zcmX</t>
  </si>
  <si>
    <t>https://drive.google.com/open?id=1DaekGs719KuFe3jG17dnCdqZVn3ELp6Y</t>
  </si>
  <si>
    <t>https://drive.google.com/open?id=1f3mv0uLm1V3BjHBmE-E7J21Zl8HCvX6-</t>
  </si>
  <si>
    <t>https://drive.google.com/open?id=11sHacOv9rJ8Wv_wlpMKHej_LgX8vOos5</t>
  </si>
  <si>
    <t>0120190165</t>
  </si>
  <si>
    <t xml:space="preserve">MANSI </t>
  </si>
  <si>
    <t>mansisinghma1117@gmail.com</t>
  </si>
  <si>
    <t>https://www.linkedin.com/in/mansi-singh-408994211</t>
  </si>
  <si>
    <t>RAM SINGH</t>
  </si>
  <si>
    <t>SUDHA SINGH</t>
  </si>
  <si>
    <t>68-L KAMLESHPURAM COLONY NEAR SHUKLA TIMBER,MMMUT,GORAKHPUR,273010</t>
  </si>
  <si>
    <t>ME104T-ENGINEERING GRAPHICS</t>
  </si>
  <si>
    <t>PROCESS MINING VIRTUAL INTERNSHIP:SUPPORTED BY CELONIS</t>
  </si>
  <si>
    <t>Microsoft DP-900:Microsoft Azure Data Fundamentals</t>
  </si>
  <si>
    <t>Microsoft AI-900:Microsoft Azure Al</t>
  </si>
  <si>
    <t>Software developer intern at Phoenixgen System Pvt. Ltd.</t>
  </si>
  <si>
    <t>Data Science intern at Celebal technology</t>
  </si>
  <si>
    <t>fake review detection system using supervised machine learning</t>
  </si>
  <si>
    <t>1)Participated in datathon
2)SIH 2022</t>
  </si>
  <si>
    <t>https://preskilet.com/watch?v=6295d60c716ac10004981440</t>
  </si>
  <si>
    <t>https://drive.google.com/open?id=1y3pJZe6hCZr4WDgrQna8neh2iN6yR1JT</t>
  </si>
  <si>
    <t>https://drive.google.com/open?id=12r7J4mXaP6r-rRYg8Ad4eqraczkK73Uy</t>
  </si>
  <si>
    <t>https://drive.google.com/open?id=1L04Ql1xtZJryDRbIkszzZu6BNSTz4Sc3</t>
  </si>
  <si>
    <t>https://drive.google.com/open?id=1Yqet3WsHaM4dbQacrMJ7qk7f167sxQ6Q</t>
  </si>
  <si>
    <t>https://drive.google.com/open?id=1Ovpl6D_BQs6jXfaN99gAp6aUK8Ekgps4</t>
  </si>
  <si>
    <t>https://drive.google.com/open?id=1x5FHRhQuL6dY9wsJHPdZqA1yRCcXKNgz</t>
  </si>
  <si>
    <t>https://drive.google.com/open?id=1bgJu18v3_dJr3eBoGw067SObdQ7mTTEv</t>
  </si>
  <si>
    <t>https://drive.google.com/open?id=1vv8hEbHArh2gxo4FIMIYRFA_GazWyK0-</t>
  </si>
  <si>
    <t>https://drive.google.com/open?id=1nBpwyVHCBSDbBk12kkvDguyBlQsk7Mcc</t>
  </si>
  <si>
    <t>updated amcat report because earlier I was unable to download it,and confirmed technical certification(confirmed by Rudra sir)</t>
  </si>
  <si>
    <t>0120190174</t>
  </si>
  <si>
    <t>EVA</t>
  </si>
  <si>
    <t>KHAJURIA</t>
  </si>
  <si>
    <t>khajuria.eva@gmail.com</t>
  </si>
  <si>
    <t>www.linkedin.com/in/evakhajuria</t>
  </si>
  <si>
    <t xml:space="preserve">ARUN KHAJURIA </t>
  </si>
  <si>
    <t>SONIKA KHAJURIA</t>
  </si>
  <si>
    <t>HNO. 736, SUBASH NAGAR, REHARI, JAMMU, JAMMU AND KASHMIR- 180005</t>
  </si>
  <si>
    <t>J-608, TANISH ORCHID, PHASE-2, CHARHOLI BURDUK, PUNE, MAHARASHTRA- 412105</t>
  </si>
  <si>
    <t>610/900</t>
  </si>
  <si>
    <t>580/900</t>
  </si>
  <si>
    <t>AS105T - CALCULUS AND DIFFERENTIALEQUATIONS
AS106T - ENGINEERING PHYSICS
CS101T - LOGIC DEVELOPMENT - C PROGRAMMING
EX102T - ELECTRICAL AND ELECTRONICS ENGINEERING
ME104L - ENGINEERING GRAPHICS
ME104T - ENGINEERING GRAPHICS</t>
  </si>
  <si>
    <t>Not yet done</t>
  </si>
  <si>
    <t>Internshala Training: Ethical Hacking Course</t>
  </si>
  <si>
    <t>Microsoft Azure AZ-900</t>
  </si>
  <si>
    <t xml:space="preserve"> Internship: JambooPay Express Private Limited- Web Development Intern</t>
  </si>
  <si>
    <t xml:space="preserve">Internship: Vedas Consultancy- Full Stack Developer </t>
  </si>
  <si>
    <t xml:space="preserve">Project 1: To detect breast cancer at early stage to decrease the mortality rate. 
Project 2:  Dynamic Health Care Application using ML. </t>
  </si>
  <si>
    <t xml:space="preserve">PolyHack (International level hackathon orgainzed by GDSC PolyU Hong Kong) </t>
  </si>
  <si>
    <t xml:space="preserve">National Level Netball Player </t>
  </si>
  <si>
    <t xml:space="preserve">AICTE PMSSS J&amp;K Scholarship </t>
  </si>
  <si>
    <t>Internshala Trainings: Programming with C &amp; C++</t>
  </si>
  <si>
    <t xml:space="preserve">Member GDG &amp; WTM, TEDx MITAOE, MENACE Dance Club </t>
  </si>
  <si>
    <t>https://preskilet.com/watch?v=62a39262a6956a0004600903</t>
  </si>
  <si>
    <t>https://drive.google.com/open?id=1v3d_1M0ALayRG8FYJ4YKIY8kd2J9Y0Xm</t>
  </si>
  <si>
    <t>https://drive.google.com/open?id=1citbGfsiCwjM5WyzxQsoqtx8cK0wxAeL</t>
  </si>
  <si>
    <t>https://drive.google.com/open?id=1b4LejSpqiFeNkoTDxXNzQegv5wE_VcOL</t>
  </si>
  <si>
    <t>https://drive.google.com/open?id=1dVMX7eBn-CyrD9uYiYP8XIV1fQJriePw</t>
  </si>
  <si>
    <t>https://drive.google.com/open?id=1p03PDJYpQl8J05HEnIY14GsurlJiXB-J</t>
  </si>
  <si>
    <t>https://drive.google.com/open?id=1HA1RWocsFm38O3LA54AHzZfGrS1q5x3Y</t>
  </si>
  <si>
    <t>0120190179</t>
  </si>
  <si>
    <t>BIRANGAL</t>
  </si>
  <si>
    <t>aditya@birangal.com</t>
  </si>
  <si>
    <t>https://www.linkedin.com/in/adityabirangal/</t>
  </si>
  <si>
    <t>806, Shimpi Lane,
A/P - Kharda, Tal - Jamkhed,
Dist- Ahmednagar (Maharashtra)
Pin : 413204</t>
  </si>
  <si>
    <t>Google Cloud Certified: Associate Cloud Engineer</t>
  </si>
  <si>
    <t>• Microsoft Certified: Azure Fundamentals
• Cloud Engineering with Google Cloud Specialization 
• Complete Flutter Development
• AWS Cloud Foundations
• Git &amp; GitHub
• Google Cloud Product Fundamentals</t>
  </si>
  <si>
    <t>AWS Certified Solutions Architect – Associate</t>
  </si>
  <si>
    <t>Flutter Developer
Raahee (Startup)
https://raahee.in
Mental Health Start-up that connects you with psychologists and counsellors.</t>
  </si>
  <si>
    <t>Github Extern
Palisadoes Foundation, USA
https://www.palisadoes.org
Developed an open-source project Talawa. A community management application.
https://github.com/PalisadoesFoundation/talawa</t>
  </si>
  <si>
    <t>Research Intern
McGill University, Canada
https://www.mcgill.ca
Development of an intelligent Augmentative and Alternative Communication (AAC) application for people with disabilities.
Domain : Flutter (App Dev), Cloud, ML
https://apps.apple.com/ca/app/click-aac/id1562378001</t>
  </si>
  <si>
    <t>An open-source project Talawa. A community management application.
https://github.com/PalisadoesFoundation/talawa</t>
  </si>
  <si>
    <t xml:space="preserve">AdiClass - The most Innovative Platform to make college life easier using technology
https://adiclass.birangal.com/
AmBook - A Centralized platform to bring all ambulances (Govt., NGOs, Private) under one roof.
https://youtu.be/Pmz9hZe58MI
Asset Trading - The Innovative one of a its kind platform to buy and sell Shares &amp; Trade in Real Estate properties like Land, Flats, Factory infrastructure, etc
https://assettrading.azurewebsites.net/
KisanKart App - Mobile App for Farmers to Sell their Products. It was part of the ‘Unnat Bharat Abhiyan’
https://drive.google.com/file/d/1lP86K2Aj0fzTSkLK9pl6tq3MIQt9WxUv/view
Champool - Indian Ludo Game for 4 Players
https://champool.birangal.com/
</t>
  </si>
  <si>
    <t>Android Development (Java/Kotlin), Django (Python), Flask (Python)</t>
  </si>
  <si>
    <t>• Google Developer Student Club Lead
• Microsoft Learn Student Ambassador
• Mentor at Maharashtra Health Hackathon</t>
  </si>
  <si>
    <t>• Bronze Medal at WouldSkill India National Competition 
• Silver Medal at WouldSkill India Regional Competition 
• Runner Up at Azure Developer League Hackathon by Microsoft &amp; HackerEarth (Won Prize INR 1,50,000/-)
• Runner Up at AWS Digital Innovation Hackathon (Won Prize INR 50,000/-)
• 30 Days of Google Cloud Facilitator
• Google Cloud Career Readiness Student Mentor
• Speaker at Flutter Bootcamp
• Speaker at App Development Workshop
• Hacktoberfest contributor &amp; event organizer
• Supervisor at GirlScript Winter of Code (Open-Source)</t>
  </si>
  <si>
    <t>Mitacs Globalink Research Internship</t>
  </si>
  <si>
    <t xml:space="preserve">Cloud Engineering with Google Cloud Specialization - Coursera </t>
  </si>
  <si>
    <t xml:space="preserve">
Basketball IT Team</t>
  </si>
  <si>
    <t>https://preskilet.com/watch?v=62b383372836970004a073c9</t>
  </si>
  <si>
    <t>https://drive.google.com/open?id=1HMEGeCYOC491ZlhfQvRXX8Yhk4pwdIc9</t>
  </si>
  <si>
    <t>https://drive.google.com/open?id=1QsqvO9xu0SxFBz30tqKe_9BC9vHMTmCX</t>
  </si>
  <si>
    <t>https://drive.google.com/open?id=1Zm3eEQcfLhulqzP7YyIIu2mdj-LWjzDT</t>
  </si>
  <si>
    <t>https://drive.google.com/open?id=1enqdbw9atNBGPh0TGvMYEGy-3E7vgW8d</t>
  </si>
  <si>
    <t>https://drive.google.com/open?id=1Tg7Y3WwVDUrAZNAHyM5KjT4X1Vm7imeg</t>
  </si>
  <si>
    <t>https://drive.google.com/open?id=1Wt19zOQDgOTlaEVxpkYbtgTKxo5OAAUr</t>
  </si>
  <si>
    <t>0120190207</t>
  </si>
  <si>
    <t>SANSKRUTI</t>
  </si>
  <si>
    <t>sanskrutijoshir@gmail.com</t>
  </si>
  <si>
    <t>linkedin.com/sanskrutijoshi</t>
  </si>
  <si>
    <t>RAMESH JOSHI</t>
  </si>
  <si>
    <t>ANJALI JOSHI</t>
  </si>
  <si>
    <t xml:space="preserve"> New Friends Colony, Khat Road, Bhandara, 441904</t>
  </si>
  <si>
    <t>Aksha Vasant Park, Moshi - Alandi Rd, Alandi, Pune, Maharashtra 412105</t>
  </si>
  <si>
    <t xml:space="preserve">Programming for Everybody (Getting Started with Python) - Coursera </t>
  </si>
  <si>
    <t>Introduction to C# Programming and Unity - Coursera</t>
  </si>
  <si>
    <t>Zummit Infolabs</t>
  </si>
  <si>
    <t>English Text to Indian Sign Language Translation</t>
  </si>
  <si>
    <t>Fundamentals of Deep Learning - NVIDIA
Fundamentals of Accelerated Computing with CUDA Python - NVIDIA</t>
  </si>
  <si>
    <t>https://preskilet.com/watch?v=62bd9aef9535010004fd26d4</t>
  </si>
  <si>
    <t>https://drive.google.com/open?id=1WalFxLCom8mHAUNY4vibSh5LBF_WKvnG</t>
  </si>
  <si>
    <t>https://drive.google.com/open?id=1MbyPqNGcaWOJ67-u9t1m2UYBAnZqAhoi</t>
  </si>
  <si>
    <t>https://drive.google.com/open?id=1uyI3iV-NOBmG6tQHNniCUnJSNZVRnkVf</t>
  </si>
  <si>
    <t>https://drive.google.com/open?id=1RBlM9OMD8LSUiUirN-876NhZ9XXtaIHm</t>
  </si>
  <si>
    <t>https://drive.google.com/open?id=1d2Mz8-sahUoDobN-I1HgVGV_Uaj52eS-</t>
  </si>
  <si>
    <t>https://drive.google.com/open?id=1sKXiQwVIDzEg0ZObMxvOq_m4RclPOzJU</t>
  </si>
  <si>
    <t>https://drive.google.com/open?id=1TclLHYwOFi3utFunXPGK1JrwuS_3NBhB</t>
  </si>
  <si>
    <t>https://drive.google.com/open?id=1wwOanonrrnzgiFPou0mhclNku2uAeWqC</t>
  </si>
  <si>
    <t>Amcat Reports, Certifications</t>
  </si>
  <si>
    <t>0120190216</t>
  </si>
  <si>
    <t>HARSHAL</t>
  </si>
  <si>
    <t>PADAMRAO</t>
  </si>
  <si>
    <t>hpdeshmukh24@gmail.com</t>
  </si>
  <si>
    <t>https://www.linkedin.com/mwlite/in/harshal-deshmukh-9973931ab</t>
  </si>
  <si>
    <t>CHITRA</t>
  </si>
  <si>
    <t>Hariom Nagar, ward no.24, Nagpur-Auranagabad highway, Chikhli-443201, Buldhana, Maharashtra</t>
  </si>
  <si>
    <t>CS342T - Theory Of Computation</t>
  </si>
  <si>
    <t>CV102T - Applied Mechanics
AS105T - Calculus and Differencial Equations</t>
  </si>
  <si>
    <t>SQL for Data Science : UCDAVIS Coursera
Programming  for Everybody : Python</t>
  </si>
  <si>
    <t>Training SQL for Data Science on Coursera platform.</t>
  </si>
  <si>
    <t>Internship: Online Training on Core Java / 
Project: Spam Mail Detection (used naive Bayes classsifier for detection of spam mail)</t>
  </si>
  <si>
    <t>Internship: Celebal Technologies /
TY Major Project: Crop Disease Prediction (Using deep learning algorithms)</t>
  </si>
  <si>
    <t>Crop Disease Prediction</t>
  </si>
  <si>
    <t>Android Development (Java/Kotlin), React.js (JavaScript/Typescript), Angular, Spring &amp; Hibernate (Java), Flask (Python)</t>
  </si>
  <si>
    <t>SolidWorks, MATLAB, Tableu, OpenRefine, Olapcube, MSoffice</t>
  </si>
  <si>
    <t>1.Participated in JOSH 2022- World Class Free Scholarship Training Program(Ethnus Codemitra)
2.Participated in Code Gladiators coding competitions.
3.Matlab Onramp - MATLAB</t>
  </si>
  <si>
    <t>1.Zensar ESD Program 
2. Persistent systems training program
3. Training for Core Java on Internshala</t>
  </si>
  <si>
    <t>Participated in kabaddi sport, play cricket.</t>
  </si>
  <si>
    <t>https://preskilet.com/watch?v=62b4dbe830b28000045239b4</t>
  </si>
  <si>
    <t>https://drive.google.com/open?id=1HqOj4ZIrhLwZ8U4gRPI6fYA8xY_iOnI2</t>
  </si>
  <si>
    <t>https://drive.google.com/open?id=1GoekArRgiiW8nsN5tgD9jub5uyI8ojAI</t>
  </si>
  <si>
    <t>https://drive.google.com/open?id=1DyLHHajgbSsrHtccjK177WkaGBSCQ2k1</t>
  </si>
  <si>
    <t>https://drive.google.com/open?id=1vvnYsspB9nwdagkebFAj58K5XsTgVv-X</t>
  </si>
  <si>
    <t>https://drive.google.com/open?id=1VE9MrnCA_g04na1RmTC0E_lJe2liBWGe</t>
  </si>
  <si>
    <t>https://drive.google.com/open?id=1yCsHiN0M555zUFnRN0CZrUMlaw8Vlvim</t>
  </si>
  <si>
    <t>https://drive.google.com/open?id=1zNbXVmzm0QeigGd5oGgAEGwAQTANFuOt</t>
  </si>
  <si>
    <t>SY AMCAT Result. Beacause, earlier it was not downloadable on AMCAT platform.</t>
  </si>
  <si>
    <t>0120190230</t>
  </si>
  <si>
    <t>IKARE</t>
  </si>
  <si>
    <t>ikare.tanmay@gmail.com</t>
  </si>
  <si>
    <t>http://www.linkedin.com/in/tanmay-ikare</t>
  </si>
  <si>
    <t>SHABDRANG PLOT NO. 5 KANKARIYA PLOT KASARWADI ROAD BARSHI</t>
  </si>
  <si>
    <t xml:space="preserve">EX102T ELECTRICAL AND ELECTRONICS ENGINEERING
 CS-341L Operating System Lab
 CS-361 Project Management 
</t>
  </si>
  <si>
    <t>Infosys - programming with java
AWS Academy Graduate - AWS Academy Cloud Foundations
Data Science-Intershala
Neural Network and Deep Learning-Coursera
Python Data-Structure-Coursera</t>
  </si>
  <si>
    <t>AZ-900: Microsoft Azure Fundamentals
Java-Hackerrank
Django- Infosys Springboard</t>
  </si>
  <si>
    <t>Elite Techno Groups- Python Developer</t>
  </si>
  <si>
    <t>VIEH Groups -Machine Learning Domain</t>
  </si>
  <si>
    <t>Pulmonary Nodule Classification with 3D CNN and Adaboost</t>
  </si>
  <si>
    <t>Python, Java, HTML, CSS, JavaScript, Dart</t>
  </si>
  <si>
    <t xml:space="preserve">President - Mozilla Club
Vice President- ASSCET (Student Council of SCET)
Exeutive Member - Mozilla Club,Maths Club
</t>
  </si>
  <si>
    <t>https://preskilet.com/watch?v=62b5576baf4f2700045cdce8</t>
  </si>
  <si>
    <t>https://drive.google.com/open?id=119NN-894Ydjs40apTVLk5KCj9RXe355A</t>
  </si>
  <si>
    <t>https://drive.google.com/open?id=11gLtp5z78BqMyEgsBO9i5UJV6mU2vwRs</t>
  </si>
  <si>
    <t>https://drive.google.com/open?id=1DWzKs5oWP2toc81LPgCq25GfXdbLLkl7</t>
  </si>
  <si>
    <t>https://drive.google.com/open?id=1TJjIKFUe-nkIz3pDhEbacNhdFhArrSI0</t>
  </si>
  <si>
    <t>Change in Technical Certificate</t>
  </si>
  <si>
    <t>0120190240</t>
  </si>
  <si>
    <t>GHODEKAR</t>
  </si>
  <si>
    <t>https://www.linkedin.com/in/mayur-ghodekar/</t>
  </si>
  <si>
    <t>SUNIL SHIVAJI GHODEKAR</t>
  </si>
  <si>
    <t>NEETA SUNIL GHODEKAR</t>
  </si>
  <si>
    <t>Rajasyog society, sector no - 7, Flat no H-10, Plot no 88/B, Indriyaninagar, Bhosari, Pune 411026</t>
  </si>
  <si>
    <t>Internshala Trainings  Android Development Course (Details - 8 weeks course with android app project building by internshala training was the top performer in the training course)</t>
  </si>
  <si>
    <t>Research Internship  University Of East Anglia (Under Dr. Yogesh Bhalerao )
Details - Problem Statement: To Design and implement a 
digital, interactive game for personality assessment by 
using game development tools to improve the efficiency 
of the Big5 Test.
• Worked on an open-source tool Twine which is used to 
create simple and non-linear stories in the form of 
games. Explored the tool and by using web 
technologies developed a web-based game.
• Technology Used: Twine, HTML, CSS, JavaScript, 
Bootstrap</t>
  </si>
  <si>
    <t>Celebal Technologies (Cloud infra intern)</t>
  </si>
  <si>
    <t>Cloud Federation
• Problem Statement: Develop a cloud federation 
platform for Virtual Machine.
• Developing a single web-based platforms integration of 
all the three clouds computing services like AWS cloud,
Azure cloud and GCP.
• Technology Used: SDKs of AWS, Azure and GCP, 
NodeJS</t>
  </si>
  <si>
    <t xml:space="preserve">Android Development (Java/Kotlin), Spring &amp; Hibernate (Java), Node.Js </t>
  </si>
  <si>
    <t>Adobe XD</t>
  </si>
  <si>
    <t xml:space="preserve">Codechef 3 Star
• Three-star coder on Codechef platform.
 SnackDown 21 Codechef contest
Cleared second round </t>
  </si>
  <si>
    <t>Codoctober Hackathon Winner 
• Web-Dev hackathon organized by Cuvette Tech in which the problem statement was to built a doubt solving &amp; assignment evaluation platform.</t>
  </si>
  <si>
    <t>Codechef Chapter Lead (Media and Outreach)
• Consistently volunteering for organizing various technical competitions in college like Code Sprint, Ninja Autum etc.
Asscet MITAOE Sectary
• Organizing various technical and non-technical events.</t>
  </si>
  <si>
    <t>https://preskilet.com/watch?v=62b4417130b28000045231a1</t>
  </si>
  <si>
    <t>https://drive.google.com/open?id=1aJzG9XJufWBeZbzmdEn2vYtR_ckXGdav</t>
  </si>
  <si>
    <t>https://drive.google.com/open?id=1gxTK5v24evnKybw4ianTnowU4hHoqn5S</t>
  </si>
  <si>
    <t>https://drive.google.com/open?id=1wuJ3k_TouCV0ZpjNL5gkwuMmrG6L6d2s</t>
  </si>
  <si>
    <t>https://drive.google.com/open?id=1I57mnM7RnUveD58DoFWdmvWEpp_5Wemy</t>
  </si>
  <si>
    <t>https://drive.google.com/open?id=1K-wfTlOvrUxWiAYElScnbefEDyPqfcdj</t>
  </si>
  <si>
    <t>https://drive.google.com/open?id=18Mw9icTADfdMsAx05j8rKQB3_un2HYRL</t>
  </si>
  <si>
    <t>0120190245</t>
  </si>
  <si>
    <t>SOHAM</t>
  </si>
  <si>
    <t>sohamsatish.raut2001@gmail.com</t>
  </si>
  <si>
    <t>https://www.linkedin.com/in/raut-s-bb379b204/</t>
  </si>
  <si>
    <t>RAUT SATISH GOPINATH</t>
  </si>
  <si>
    <t>SUVARNA SATISH RAUT</t>
  </si>
  <si>
    <t>RAUT NIWAS, KARANJA RAOD, NEAR OMKAR SWEET MART, BEED - 431122</t>
  </si>
  <si>
    <t>ALANDI - 412105</t>
  </si>
  <si>
    <t>Palo Alto Networks Cybersecurity Academy : Cybersecurity Foundation</t>
  </si>
  <si>
    <t>Internshala Trainings : Ethical Hacking</t>
  </si>
  <si>
    <t xml:space="preserve">Oracle Cloud Infrastructure(OCI) : Associate  </t>
  </si>
  <si>
    <t>Coursera : Python for Everybody</t>
  </si>
  <si>
    <t>Internshal Trainings : Ethical Hacking</t>
  </si>
  <si>
    <t xml:space="preserve">DRDO : Implementation Of Secured Message Passing Over Wireless Network </t>
  </si>
  <si>
    <t>An Automated Facial Mask Detection System Using Convolutional Neural Network (CNN)</t>
  </si>
  <si>
    <t>Android Development (Java/Kotlin), Laravel (PHP), Django (Python), Robot Framework</t>
  </si>
  <si>
    <t>Part Of Robotics Club (INVICTUS),
AERO Club (Liberal Learning),
Project Expo 2022</t>
  </si>
  <si>
    <t>Post Matric Scholarship to OBC Students (Government)</t>
  </si>
  <si>
    <t>Best Player Award In Basketball, Basketball Player in college team (participated in many college tournaments as a player from MIT-AOE ex. COEP, Cummins , MIT - Kothrud etc. )</t>
  </si>
  <si>
    <t>https://preskilet.com/watch?v=62b31cc4cd590700045fb602</t>
  </si>
  <si>
    <t>https://drive.google.com/open?id=1L1xAlHMjl9o02XzhrlmVWvnveoKKFV5m</t>
  </si>
  <si>
    <t>https://drive.google.com/open?id=1A1Wwidb-uSplJK3FjKSGWOTesBjyVfhx</t>
  </si>
  <si>
    <t>https://drive.google.com/open?id=11QjIRwBMZAmtJ9krj6O_rxVSjFTl81-2</t>
  </si>
  <si>
    <t>https://drive.google.com/open?id=1cMQGZtqXIrV_Rf5zUiI0NIizXRZ7DgOF</t>
  </si>
  <si>
    <t>https://drive.google.com/open?id=1fzfk3ZoqifGeXlA11KcbIQR9FNg5k7BF</t>
  </si>
  <si>
    <t>0120190255</t>
  </si>
  <si>
    <t>MRINAL</t>
  </si>
  <si>
    <t>KASTURE</t>
  </si>
  <si>
    <t>mrinalkasture76@gmail.com</t>
  </si>
  <si>
    <t>linkedin.com/in/mrinalkasture</t>
  </si>
  <si>
    <t>ANIL KASTURE</t>
  </si>
  <si>
    <t>SWATI KASTURE</t>
  </si>
  <si>
    <t>Plot No.54,  Janta Raja Colony, Makhmalabad Road, Panchavati, Nashik-422003</t>
  </si>
  <si>
    <t>203, Dyanyog Apt, C wing, Moshi-Alandi Road, Alandi</t>
  </si>
  <si>
    <t>1] Google UX Design: Create High-Fidelity Designs and Prototypes in
     Figma.
2] Google UX Design: Conduct UX Research and Test Early Concepts
3] Google UX Design: Start the UX Design Process: Empathize, Define,
    and Ideate
4] Google UX Design: Foundations of User Experience (UX) Design
5] Google UX Design: Build Wireframes and Low-Fidelity Prototypes</t>
  </si>
  <si>
    <t>Google UX Designing of dog food delivery app</t>
  </si>
  <si>
    <t xml:space="preserve">HAL(Hindustan Aeronautics Limited) in IT department gain knowledge about erp in IFS system and database management </t>
  </si>
  <si>
    <t>AI Based Human Assistant Robot</t>
  </si>
  <si>
    <t>Python, C/C++, HTML, CSS, JavaScript, PHP, sql</t>
  </si>
  <si>
    <t>Fusion 360, Figma, Adobe XD</t>
  </si>
  <si>
    <t>Shutterbugs club photowalks and competitions, Ecell club member PR team</t>
  </si>
  <si>
    <t>https://preskilet.com/makasture@mitaoe.ac.in</t>
  </si>
  <si>
    <t>https://drive.google.com/open?id=1QttboXdKpfI1oGR9k0edn5r216nR2Ko4</t>
  </si>
  <si>
    <t>https://drive.google.com/open?id=16v8G0KLOMMXN7p3zoHAn9H1jrE6Zt60v</t>
  </si>
  <si>
    <t>https://drive.google.com/open?id=1KhPRRy9VZEjj3C4WTHjP9Hj5xdYtDd-h</t>
  </si>
  <si>
    <t>https://drive.google.com/open?id=1DtGK5W1GymVZpR0JA4nspa16nAsacuSf</t>
  </si>
  <si>
    <t>https://drive.google.com/open?id=19TugCckHAzICt9TQ8xA4V6Mdhra2Udzv</t>
  </si>
  <si>
    <t>https://drive.google.com/open?id=1TbJXafP8E-9lxmzsgVYelp3u228hEIjb</t>
  </si>
  <si>
    <t>https://drive.google.com/open?id=1_ZSZeaEuSMzDulSy5Q-7L828uLKodi19</t>
  </si>
  <si>
    <t>https://drive.google.com/open?id=1ZWVFj6Xi3hWIN7CEpgu5PFeWNBOdfcGU</t>
  </si>
  <si>
    <t>https://drive.google.com/open?id=1Ds7Td4ryk-J0h7Fd8f17voYjnFU54KBx</t>
  </si>
  <si>
    <t>https://drive.google.com/open?id=16GYMe_4S95t2ULTFWTuwGYcL4Eys-Htz</t>
  </si>
  <si>
    <t>https://drive.google.com/open?id=1MTaqj3GjXowLpWA-HyIOJL8Bk0oT_aTm</t>
  </si>
  <si>
    <t>i Updated preskilet video link as previously it was gdrive link.
Also I updated amcat reports as they are now available</t>
  </si>
  <si>
    <t>0120190265</t>
  </si>
  <si>
    <t>ASMITA</t>
  </si>
  <si>
    <t>AMARSINH</t>
  </si>
  <si>
    <t>pawar25asmita@gmail.com</t>
  </si>
  <si>
    <t>https://www.linkedin.com/in/asmita-pawar/</t>
  </si>
  <si>
    <t>SNEHALATA</t>
  </si>
  <si>
    <t>KALPATARU, PLOT NO.-23, SHAH ESTATE, ASHOKNAGAR, JALOCHI ROAD, BARAMATI-413102.</t>
  </si>
  <si>
    <t xml:space="preserve">Oracle  Certified Foundations Associate </t>
  </si>
  <si>
    <t>Remark Skill Education</t>
  </si>
  <si>
    <t>Online Voting Portal using Blockchain</t>
  </si>
  <si>
    <t>Java, C/C++, C#, HTML, CSS, JavaScript</t>
  </si>
  <si>
    <t>National Level Mathematics Quiz by Pillai college of Engineering
National Creativtiy Aptitude Test
Rank 1 under girls category in Pair Programming conducted by CodeChef MITAOE</t>
  </si>
  <si>
    <t>Rank 3 in National Level Mathematics Quiz by Pillai college of Engineering</t>
  </si>
  <si>
    <t>Participated in badminton, kho-kho and basketball in the college sports events.</t>
  </si>
  <si>
    <t>https://preskilet.com/watch?v=62950d1cc30eeb0004ba3f8c</t>
  </si>
  <si>
    <t>https://drive.google.com/open?id=1pThZShdAIcrcZj4mCyJ-dcsI1jqTjkUf</t>
  </si>
  <si>
    <t>https://drive.google.com/open?id=1b3avxbnPNwzoE4ZyxFuBkPaJqek8Rwni</t>
  </si>
  <si>
    <t>https://drive.google.com/open?id=1aUmgXImbLImpHQNJkftKI7YEZiphsbp_</t>
  </si>
  <si>
    <t>https://drive.google.com/open?id=1mGcekqS8nsypD269JdGDjRaj57F6zK0Z</t>
  </si>
  <si>
    <t>https://drive.google.com/open?id=1_UyBVtJtX8urQeCX35QZOsipNsQJNA5D</t>
  </si>
  <si>
    <t xml:space="preserve">Not updated </t>
  </si>
  <si>
    <t>0120190267</t>
  </si>
  <si>
    <t>BHIM</t>
  </si>
  <si>
    <t>KOTGIRE</t>
  </si>
  <si>
    <t>shubham.kotgire@gmail.com</t>
  </si>
  <si>
    <t>linkedin.com/in/shubham-kotgire-417b35213</t>
  </si>
  <si>
    <t>BHIM KOTGIRE</t>
  </si>
  <si>
    <t>SHARDA KOTGIRE</t>
  </si>
  <si>
    <t>80 - Ramrao Pawar Marg, Srinagar, Nanded - 431605</t>
  </si>
  <si>
    <t>B-14, Concept Heritage, Dehu Phata, Alandi(D) - 412105</t>
  </si>
  <si>
    <t>Oracle Cloud Infrastructure Foundations Certified Associates</t>
  </si>
  <si>
    <t>Database Management System Part 1 on Infosys Springboard
Database Management System Part 2 on Infosys Springboard</t>
  </si>
  <si>
    <t>Microsoft AZ-900
Microsoft AI-900</t>
  </si>
  <si>
    <t>In Codekul Private Limited, I completed a SY Summer Internship.
I was given the challenge of creating a Customer Relationship Management (CRM) dashboard using ReactJs as a front end developer. My main contribution to this internship was the creation of a web portal with login/signup authentication and a CRM dashboard that displayed user actions. This internship aided in the development of my abilities and provided me with exposure to the IT sector.</t>
  </si>
  <si>
    <t>In Campus Internship under guide supervision. Topic: Disease Prediction using Image Analysis and various ML Algorithms.</t>
  </si>
  <si>
    <t>Secured Framework for Pocket Smart Cards</t>
  </si>
  <si>
    <t>AutoCAD, Fusion 360, Proteus, MATLAB, Tableau, MongoDb</t>
  </si>
  <si>
    <t>Active Participation in Sport Events</t>
  </si>
  <si>
    <t>https://preskilet.com/watch?v=62a2f967a6956a00045ff58c</t>
  </si>
  <si>
    <t>https://drive.google.com/open?id=1sxkxVaP-V_kX5QULJWa0d6OT0ACbIoZ-</t>
  </si>
  <si>
    <t>https://drive.google.com/open?id=1aF6_F8Q-TBl8h78sTZf3Ur6LzYD6x949</t>
  </si>
  <si>
    <t>https://drive.google.com/open?id=1aACIeyDnEfEcGB7MRrnX0NoA3qq8uSBQ</t>
  </si>
  <si>
    <t>https://drive.google.com/open?id=1hr89BGGvfo3kBGhTn4uBsZx8xNN8Uz28</t>
  </si>
  <si>
    <t>https://drive.google.com/open?id=1JF1848-guawJN019vpT897USrnH__p0g</t>
  </si>
  <si>
    <t>https://drive.google.com/open?id=1Bf8Ow0x54FFw6E5V8Srr7E_wJYXi0RmL</t>
  </si>
  <si>
    <t>https://drive.google.com/open?id=1Eco7VzVVehUdmmJn8KlHss_QttUN4wEa</t>
  </si>
  <si>
    <t>https://drive.google.com/open?id=1-DQrUNRudmSY2cLQ7dkjsXjHQnbXf1rn</t>
  </si>
  <si>
    <t>Added Technical Certificate, SY &amp; TY Amcat Result. Incorrect AMCAT Result</t>
  </si>
  <si>
    <t>0120190281</t>
  </si>
  <si>
    <t>THAWARI</t>
  </si>
  <si>
    <t>tejas.thawari2015@gmail.com</t>
  </si>
  <si>
    <t>https://www.linkedin.com/in/tejas-thawari</t>
  </si>
  <si>
    <t xml:space="preserve">SANJAY TATYAJI THAWARI </t>
  </si>
  <si>
    <t>BHAGYASHRI SANJAY THAWARI</t>
  </si>
  <si>
    <t xml:space="preserve">JAGADAMBA NAGRI, IN FRONT OF TELEPHONE OFFICE GHATANJI 445301,DIST YAVATMAL, MAHARASHTRA </t>
  </si>
  <si>
    <t xml:space="preserve">PRAGATI HOSTEL, BESIDES NIKHIL GROCERIES STORE VISHVESHWAR NAGAR ,DEHU PHATA ALANDI 412105, PUNE MAHARASHTRA. </t>
  </si>
  <si>
    <t>ME104T - ENGINEERING GRAPHICS</t>
  </si>
  <si>
    <t xml:space="preserve">Microsoft AI-900 </t>
  </si>
  <si>
    <t xml:space="preserve">Microsoft AZ-900 </t>
  </si>
  <si>
    <t xml:space="preserve">Web developer at Codekul pvt limited </t>
  </si>
  <si>
    <t>Power apps developer at Celebal technologies</t>
  </si>
  <si>
    <t>An automatic facial face-mask detection using convolution neural network</t>
  </si>
  <si>
    <t>Participated in " Equilibrium 2022 " national level Machine Learning Event</t>
  </si>
  <si>
    <t>worked as a web developer at swami vivekananda art and commerce junior college,kanhalgaon</t>
  </si>
  <si>
    <t>https://preskilet.com/watch?v=62bdcce69535010004fd2a01</t>
  </si>
  <si>
    <t>https://drive.google.com/open?id=1BWO5tGYdhnxH33q6Eqgb9U5JGA4TgJMz</t>
  </si>
  <si>
    <t>https://drive.google.com/open?id=1AipjSwALJzlDjm_YhJuwLagz0l93daGO</t>
  </si>
  <si>
    <t>https://drive.google.com/open?id=1CXitPwF_dku1jK-_s5ZonWRrY5O5LIyy</t>
  </si>
  <si>
    <t>https://drive.google.com/open?id=1cTIGEiocdmSffFQvSADmXXo5lURmpAgT</t>
  </si>
  <si>
    <t>https://drive.google.com/open?id=14if-8ox_N-6J_KWubKy4ZL4aCSbXcuR7</t>
  </si>
  <si>
    <t>https://drive.google.com/open?id=1Iw-8SbvGlfGy0p5PjNmOsXfYQaaRtdY7</t>
  </si>
  <si>
    <t>https://drive.google.com/open?id=1uyZ60iWxKJA6yHrh_ZkS1Vz9whtSSnaw</t>
  </si>
  <si>
    <t>https://drive.google.com/open?id=1ZF8Ra8O892Fdl-4ErBZ_byBdzKbPiama</t>
  </si>
  <si>
    <t>Internship certificate :
Did not upload all internship certificates earlier
Technical certificate :
Removed invalid certificates</t>
  </si>
  <si>
    <t>0120190284</t>
  </si>
  <si>
    <t>BATWE</t>
  </si>
  <si>
    <t>atharva.batwe02@gmail.com</t>
  </si>
  <si>
    <t>www.linkedin.com/in/atharva-batwe</t>
  </si>
  <si>
    <t>Ganpati Mandir ward no. 49, Chandrapur - 442402</t>
  </si>
  <si>
    <t>Hindavi colony no.02, dehu phata, Alandi(D.), Pune</t>
  </si>
  <si>
    <t>Courera certification done on Android Development using java</t>
  </si>
  <si>
    <t>Done internship in CodeKul pvt ltd. as Android Development intern. Worked on making android app for video editing app where the user will be able to view the videos which he made. Here I have worked on video view framework of android.</t>
  </si>
  <si>
    <t>Done internship at Persistent Systems and a trainee. Gained Knowledge about computer fundametnals.</t>
  </si>
  <si>
    <t>I am currently working on a project where we are making an web
application to access the students effectively with the help of AI and ML.
Here we will be capturing site logs from the web app that we designed and
this log details will be processed by a ML model which will perform different
clustering and predictive analysis algorithms to produce a detailed assessment
report for every single student.</t>
  </si>
  <si>
    <t>VS code</t>
  </si>
  <si>
    <t>1) Smart India Hackathon (SIH) 2) Cognizant digital nurture pro 3) Persistent Martian program</t>
  </si>
  <si>
    <t>https://preskilet.com/watch?v=62a38658a6956a000460060e</t>
  </si>
  <si>
    <t>https://drive.google.com/open?id=1UJRfG6IwzNSUyvo_XlkCj5eSP7sxkYIs</t>
  </si>
  <si>
    <t>https://drive.google.com/open?id=1qMF6nW3xFi2vncEQoYFIYZ31nVs4W37N</t>
  </si>
  <si>
    <t>https://drive.google.com/open?id=1Si3LyuTwLqWXs_kTnUQv3f87K1OSY7n1</t>
  </si>
  <si>
    <t>https://drive.google.com/open?id=1a3-soouVzYnE9bcjVkzd6xJFz1Q8ODmO</t>
  </si>
  <si>
    <t>https://drive.google.com/open?id=1Z6yhg19qvodo2FeePO22fPQCJ325xcC1</t>
  </si>
  <si>
    <t>AMCAT Report</t>
  </si>
  <si>
    <t>0120190290</t>
  </si>
  <si>
    <t>TADAS</t>
  </si>
  <si>
    <t>divya.tadas0317@gmail.com</t>
  </si>
  <si>
    <t>https://www.linkedin.com/in/divya-tadas-0ab110201</t>
  </si>
  <si>
    <t>AMIT TADAS</t>
  </si>
  <si>
    <t>KARUNA TADAS</t>
  </si>
  <si>
    <t>RAM NAGAR KANHAN ,NAGPUR</t>
  </si>
  <si>
    <t>RAM NAGAR KANHAN,NAGPUR</t>
  </si>
  <si>
    <t>Microsoft Azure AI fundamentals</t>
  </si>
  <si>
    <t>Microsoft Azure AI fundamentals
AWS Academy Graduate
Building modern python application by AWS
Crash course on python by google.</t>
  </si>
  <si>
    <t xml:space="preserve">Microsoft Data fundamentals
PaloAlto cybersecurity foundations </t>
  </si>
  <si>
    <t>UI/UX Intern at Celebal Technologies</t>
  </si>
  <si>
    <t>Blockchain and cryptocurrency Dapp</t>
  </si>
  <si>
    <t>AutoCAD, Fusion 360, Figma, Adobe XD, Proteus, MATLAB, Figma</t>
  </si>
  <si>
    <t>Cognizant -Code Gladiator semi finalist</t>
  </si>
  <si>
    <t>https://preskilet.com/watch?v=62b41ffb30b2800004523043</t>
  </si>
  <si>
    <t>https://drive.google.com/open?id=1mzTPhPvEuNoO8dWoeAzDlwF9De6fJbiB</t>
  </si>
  <si>
    <t>https://drive.google.com/open?id=1bk5CM-ymGz1HqCpHnYcU2ikIkdRml933</t>
  </si>
  <si>
    <t>https://drive.google.com/open?id=1E9NfoWvzSoFel_htIryXVGGOoz_2kv7K</t>
  </si>
  <si>
    <t>https://drive.google.com/open?id=1A7aMEuwHetxGV_7tW9_pLpQIlrVtXN2g</t>
  </si>
  <si>
    <t>https://drive.google.com/open?id=1RjosGYuK98Dk4GnsdPPXxvApG2QnF_5I</t>
  </si>
  <si>
    <t>https://drive.google.com/open?id=1D7LJ8PtRgOU7OYwRT9hG61FiNrIx0m9d</t>
  </si>
  <si>
    <t>https://drive.google.com/open?id=1qCuIf7dZDcWofrqV-J3CJnsfiTAo9Qub</t>
  </si>
  <si>
    <t>https://drive.google.com/open?id=1GIOTMPcuhLoAGGbZJk04BBz0ZbEteiiH</t>
  </si>
  <si>
    <t>https://drive.google.com/open?id=1NYW6npOhGXwQDgwtk5VgB5NOJsc4NFRK</t>
  </si>
  <si>
    <t>https://drive.google.com/open?id=1X7jhXFjE8eUoV0VQDhSFbQSkd9dpwEes</t>
  </si>
  <si>
    <t>https://drive.google.com/open?id=1BKGKF995y2d9UxzY_IFg7TArDEfBWd84</t>
  </si>
  <si>
    <t>Some of the documents were not submitted previously.</t>
  </si>
  <si>
    <t>0120190299</t>
  </si>
  <si>
    <t>LALIT</t>
  </si>
  <si>
    <t>NANDKISHOR</t>
  </si>
  <si>
    <t>RAJPUT</t>
  </si>
  <si>
    <t>lalitrajput201@gmail.com</t>
  </si>
  <si>
    <t>https://www.linkedin.com/in/lalit-rajput-9a1a37215/</t>
  </si>
  <si>
    <t>NANDKISHOR RAJPUT</t>
  </si>
  <si>
    <t>SAVITA RAJPUT</t>
  </si>
  <si>
    <t>Plot no.3, Telephone Colony, Gondur Road, Deopur Dhule - 424005</t>
  </si>
  <si>
    <t>Gyansuman hostel, Dehu Phata</t>
  </si>
  <si>
    <t>Python crash course by google</t>
  </si>
  <si>
    <t>Codekul - Web Dev Intern</t>
  </si>
  <si>
    <t>Beyond Exams - Web Dev Intern</t>
  </si>
  <si>
    <t>Tags Automation and Menu Analysis</t>
  </si>
  <si>
    <t>1) Pair Programming Competition(Arranged by CodeChef Club)
2) Coding Competition (Arranged by CodeChef Club)
3) Datathon</t>
  </si>
  <si>
    <t>https://preskilet.com/watch?v=62b4996330b280000452355c</t>
  </si>
  <si>
    <t>https://drive.google.com/open?id=1DFr9tFpqjk2Dr5EiXXRY6eLG31xMJWJV</t>
  </si>
  <si>
    <t>https://drive.google.com/open?id=1xHbuljmaQA2sBWDML4Yf1mMz4bmHluYf</t>
  </si>
  <si>
    <t>https://drive.google.com/open?id=1PYq4xsF8XOBGAXKwPg6lGixxh6sAsquR</t>
  </si>
  <si>
    <t>https://drive.google.com/open?id=1EccAo3IKp4kZxo_IOLK9a8nwE6B_-bxj</t>
  </si>
  <si>
    <t>https://drive.google.com/open?id=1J8WOSRhy_QDPA-EnGmjBQJ1ruuiLUKjD</t>
  </si>
  <si>
    <t>https://drive.google.com/open?id=1kihYQC-De70G4jkM_qePJcPR4uzL04aA</t>
  </si>
  <si>
    <t>0120190312</t>
  </si>
  <si>
    <t>SAHEBRAO</t>
  </si>
  <si>
    <t>sumitmahajan131@gmail.com</t>
  </si>
  <si>
    <t>https://www.linkedin.com/in/sumitmahajan07/</t>
  </si>
  <si>
    <t>Pimple Gurav, Kate Puram Chowk, Shreenagar L.no-1, Matoshriniwas Fl-102, Pune-411061</t>
  </si>
  <si>
    <t>Google Git And Github 
Python Data structure
Python Certification</t>
  </si>
  <si>
    <t>GFG Data structure and Algorithms</t>
  </si>
  <si>
    <t>Full stack Developer Intern at PixelStat E Solutions Pvt. Ltd.</t>
  </si>
  <si>
    <t>Backend Developer Intern at Famepilot Internet Pvt. Ltd.</t>
  </si>
  <si>
    <t>R&amp;D Engineer Intern at BMC Software</t>
  </si>
  <si>
    <t>Tags Automation and Menu Analytics using NLP</t>
  </si>
  <si>
    <t>Fusion 360, Figma, MATLAB</t>
  </si>
  <si>
    <t>Smart India Hackathon
Hackerrank Coding Club
GirlScript Coding Contest</t>
  </si>
  <si>
    <t>DSA by GFG
Git and Github by Google</t>
  </si>
  <si>
    <t>codechef coding contest
leetcode problem solving</t>
  </si>
  <si>
    <t>https://preskilet.com/watch?v=62a388c6a6956a0004600692</t>
  </si>
  <si>
    <t>https://drive.google.com/open?id=1aAEF-FBTMDw4eCiY0Bx0ZsvG3eE7oO3E</t>
  </si>
  <si>
    <t>https://drive.google.com/open?id=1PDuqFr5oCpGH078gDqnxuiuo--dz9c0V</t>
  </si>
  <si>
    <t>https://drive.google.com/open?id=1U8tBAOuXqaPSa2ayO704qwwdqQeb9Gjy</t>
  </si>
  <si>
    <t>https://drive.google.com/open?id=1ZutpbjdL_fOFZyXAO7rxgkOxJ-5hLrGS</t>
  </si>
  <si>
    <t>https://drive.google.com/open?id=1ZEJbbrClkVBt5b24YKhozXZOmey9wnoe</t>
  </si>
  <si>
    <t>https://drive.google.com/open?id=1nUJ_uheg0p-ADzdlQtJpN_6ZMhJhi6aN</t>
  </si>
  <si>
    <t>https://drive.google.com/open?id=1lu7cuo6WaARU0LUCCYqUaCtPfMOvLRVE</t>
  </si>
  <si>
    <t>https://drive.google.com/open?id=1G-0WL1Fd_nEglNfKO9lB1rZDgRn58BEz</t>
  </si>
  <si>
    <t>https://drive.google.com/open?id=1qz30iD159Shx4G8kpBdJjEogAe9DmgYs</t>
  </si>
  <si>
    <t>Internship certificate: One certificate was missing.
Amcat results: Amcat report were not available.</t>
  </si>
  <si>
    <t>0120190314</t>
  </si>
  <si>
    <t>ASTON</t>
  </si>
  <si>
    <t>SHAJI</t>
  </si>
  <si>
    <t>astonshaji2001@gmail.com</t>
  </si>
  <si>
    <t>https://www.linkedin.com/in/aston-shaji-7473331a6?lipi=urn%3Ali%3Apage%3Ad_flagship3_profile_view_base_contact_details%3BepoJG13iS3umXEk4VriiIQ%3D%3D</t>
  </si>
  <si>
    <t>SHAJI GEORGE</t>
  </si>
  <si>
    <t>BETTY SHAJI</t>
  </si>
  <si>
    <t>Bldg A1/ Flat no 12, Vaibhav Nagar Hsg Soc , Pimpri,Pune -17</t>
  </si>
  <si>
    <t>AI for All (IUCEE)
Programming for Everybody (Getting Started with Python)</t>
  </si>
  <si>
    <t>NGO Everest Group - Non Technical Internship</t>
  </si>
  <si>
    <t>Celebal Technologies - Data Engineering</t>
  </si>
  <si>
    <t>Intelligent Student Support and Placement System</t>
  </si>
  <si>
    <t>Angular, Spring &amp; Hibernate (Java), Django (Python)</t>
  </si>
  <si>
    <t>Malayalam</t>
  </si>
  <si>
    <t xml:space="preserve">IUCEE Program </t>
  </si>
  <si>
    <t>Core Java - Internshala</t>
  </si>
  <si>
    <t>https://preskilet.com/watch?v=62b3d42130b2800004522d6a</t>
  </si>
  <si>
    <t>https://drive.google.com/open?id=1qlPB_0fmulHZ3q5CCQOT0-y8LRqVGPip</t>
  </si>
  <si>
    <t>https://drive.google.com/open?id=1VDkbqdL0U9u-4SML3S1euf6OqAd5EaTM</t>
  </si>
  <si>
    <t>https://drive.google.com/open?id=15ceRsux_-4ZzX_Mbzn1Y7chgVB4elQuX</t>
  </si>
  <si>
    <t>https://drive.google.com/open?id=1zpn7wLB6rjnrs8Z-lI_0IKj14m0MwhBf</t>
  </si>
  <si>
    <t>https://drive.google.com/open?id=125taH2KRXkYqP3zEGF4tmBvjflOVWe8w</t>
  </si>
  <si>
    <t>https://drive.google.com/open?id=1pSCW3b1Rdm1NuduFjyvonetNlXNhkRkP</t>
  </si>
  <si>
    <t>0120190337</t>
  </si>
  <si>
    <t>ENDOLE</t>
  </si>
  <si>
    <t>vivekendole@gmail.com</t>
  </si>
  <si>
    <t>https://www.linkedin.com/in/vivek-endole-3090011b6</t>
  </si>
  <si>
    <t>At. Post. Rohinkhed Ta. Motala Dist. Buldhana</t>
  </si>
  <si>
    <t>Palo Alto Networks Cybersecurity Academy</t>
  </si>
  <si>
    <t>https://preskilet.com/watch?v=62bde5679535010004fd2bc7</t>
  </si>
  <si>
    <t>https://drive.google.com/open?id=1iAbUjQFONfHSGNYzvgtzQKShq5mh-11j</t>
  </si>
  <si>
    <t>https://drive.google.com/open?id=1RJl4fIbE3Sm4VPVZWwkmXZLFFygj_iiL</t>
  </si>
  <si>
    <t>https://drive.google.com/open?id=14Vquu08pLHRLkBDFq2m9wxgg2o-IflGI</t>
  </si>
  <si>
    <t>https://drive.google.com/open?id=1ZUp0lL8Pyc5Ea5Q4G3asoocZis2YCwkU</t>
  </si>
  <si>
    <t>Ty AMCAT Result, Preskilet video link</t>
  </si>
  <si>
    <t>0120190352</t>
  </si>
  <si>
    <t>YOGESH</t>
  </si>
  <si>
    <t>atharv0015@gmail.com</t>
  </si>
  <si>
    <t>https://www.linkedin.com/in/atharv-yeole</t>
  </si>
  <si>
    <t>JAYASHREE</t>
  </si>
  <si>
    <t>12A, Patwari Colony, Amalner - 425401, Dist - Jalgaon, Maharashtra.</t>
  </si>
  <si>
    <t>B4, Pragati Apartment, Near Nikhil Grocery World, Dehu Phata, Alandi - 412105, Pune.</t>
  </si>
  <si>
    <t>AWS Cloud Practioner,
AZ-204: Developing Solutions for Microsoft Azure,
DP-900: Microsoft Azure Data Fundamentals</t>
  </si>
  <si>
    <t>Microsoft AI-900: Microsoft Azure AI Fundamentals: Due to Poor N/W Connectivity, exited from the system a couple of times.</t>
  </si>
  <si>
    <t>Game Development (Coursera)</t>
  </si>
  <si>
    <t>AWS Academy Cloud Certification</t>
  </si>
  <si>
    <t>Persistent Systems (Martian Program),
Celebal Technologies (Cloud Infra Intern)</t>
  </si>
  <si>
    <t>Decentralized, Secured, Transparent voting system using Blockchain Technology</t>
  </si>
  <si>
    <t>AICTE Future Ready Talent Program,
Forage AWS SA Virtual Experience Program,
GoogleCloudReady Facilitator Program,
MS Build: Azure Developer Challenge</t>
  </si>
  <si>
    <t>Volunteered in MIT AOE TEDx,
Developed tarunee.com</t>
  </si>
  <si>
    <t>https://preskilet.com/watch?v=62bbf7f137f0b4000476d007</t>
  </si>
  <si>
    <t>https://drive.google.com/open?id=1s5YmqmK6uQ9JLKvh9_kdo1JFKzbCmFKT</t>
  </si>
  <si>
    <t>https://drive.google.com/open?id=1NEDufNhGgBPLutnpGfaW5eQWuFf_Pi1X</t>
  </si>
  <si>
    <t>https://drive.google.com/open?id=16MW7BeKW_yg_5BeILeglLeFLIJXk6EBB</t>
  </si>
  <si>
    <t>https://drive.google.com/open?id=1-OrRskoanwcMTFn_es8QOtL3sEQKUn37</t>
  </si>
  <si>
    <t>https://drive.google.com/open?id=1R4NTimj1cLnzmmMK53UGaPnOjsYjJVTt</t>
  </si>
  <si>
    <t>https://drive.google.com/open?id=1ytEixx-B1IVgiexLOax5wr4qLn-K6eGa</t>
  </si>
  <si>
    <t>Technical Certificates - Added one more Certification</t>
  </si>
  <si>
    <t>0120190368</t>
  </si>
  <si>
    <t>KHAIRKAR</t>
  </si>
  <si>
    <t>sujatamkhairkar10@gmail.com</t>
  </si>
  <si>
    <t xml:space="preserve">smkhairkar@mitaoe.ac.in </t>
  </si>
  <si>
    <t>https://www.linkedin.com/in/sujata-khairkar-a086b81b7/</t>
  </si>
  <si>
    <t>SHALINI</t>
  </si>
  <si>
    <t>Ambedkar Road Mahadevpura, Near Seema Medical Ward No. 25 Wardha, 442001</t>
  </si>
  <si>
    <t>Microsoft AI-900: Microsoft Azure AI, Microsoft AI-900: Microsoft Azure Fundamentals, Infosys Springboard : Python Programmer Certification</t>
  </si>
  <si>
    <t>Microsoft AI-900: Microsoft Azure AI Fundamentals
Microsoft AI-900: Microsoft Azure Fundamentals</t>
  </si>
  <si>
    <t>Microsoft AI-900: Microsoft Data Fundamentals
Cloud Practitioner</t>
  </si>
  <si>
    <t>Programming For Everybody [Getting Started with Python] Coursera Course
Everyday Excel Coursera Course</t>
  </si>
  <si>
    <t>NGO_Humari Pahachan,
 Web Development Front End Project under the guidance of Padma Nimbhore [Mini Project] and
Web Development Intern at TSF[The spark Foundation]</t>
  </si>
  <si>
    <t>Celebal Technologies, Domain:- Cloud Infra</t>
  </si>
  <si>
    <t xml:space="preserve">Decentralized, Secured and Transparent voting system using Blockchain Technology
</t>
  </si>
  <si>
    <t>Android Development (Java/Kotlin), React.js (JavaScript/Typescript), Angular, Django (Python)</t>
  </si>
  <si>
    <t xml:space="preserve">Currently enrolled in GoogleCloudReady Facilitator
Participating in VOIS program[Team leader]
Completed 30 days of Google Cloud
</t>
  </si>
  <si>
    <t>https://preskilet.com/sujatamkhairkar10@gmail.com</t>
  </si>
  <si>
    <t>https://drive.google.com/open?id=1m8IFmX3mAarpsX-gmvWYSDQXPnASL65P</t>
  </si>
  <si>
    <t>https://drive.google.com/open?id=12w-q6peL5wbJ---_fcegCB9QXQ4RXRNb</t>
  </si>
  <si>
    <t>https://drive.google.com/open?id=1OZdxQvEzukX8vR9DRQIbqeo-KYnDUE7c</t>
  </si>
  <si>
    <t>https://drive.google.com/open?id=1dg4Nj3vhxi4LyhaTgACAW45YrUzajRY6</t>
  </si>
  <si>
    <t>https://drive.google.com/open?id=1RybSerfAG8tNCTxXPBfZ5PjSj6PyFN_t</t>
  </si>
  <si>
    <t>https://drive.google.com/open?id=18HZ1Gzgj_VbG4QgyvieJbce9VF4Cp3sk</t>
  </si>
  <si>
    <t>0120190414</t>
  </si>
  <si>
    <t>ADARSH</t>
  </si>
  <si>
    <t>ZAMWAR</t>
  </si>
  <si>
    <t>adarsh.zamwar@gmail.com</t>
  </si>
  <si>
    <t>https://www.linkedin.com/in/adarshzamwar/</t>
  </si>
  <si>
    <t>Rathi nagar near shri ram kanya high school, dhamangaon (Rly), Dist: Amravati, Maharashatra, 444709</t>
  </si>
  <si>
    <t xml:space="preserve">Flat No 1 A Wing Mangesh Gardern Co-operavtive Housing Society, Bavdhan, Pune, 411021 </t>
  </si>
  <si>
    <t>677/900</t>
  </si>
  <si>
    <t>615/900</t>
  </si>
  <si>
    <t>AS105T- CALCULUS AND DIFFERENTIAL EQUATION
AS106T- ENGINEERING PHYSICS
EX102T- ELECTRICAL AND ELECTRONIC ENGINEERING
ME104T- ENGINEERING GRAPHICS</t>
  </si>
  <si>
    <t xml:space="preserve"> AWS Cloud Practitioner, Google cloud Associate Engineering</t>
  </si>
  <si>
    <t xml:space="preserve">Back End Developer &amp; Cloud Engineer at U-Smart.ai 
Full Stack Development at Vedas Consultancy </t>
  </si>
  <si>
    <t xml:space="preserve">School Bus Vehicle Tracking,
BlockCertify: Blockchain based certificate verification and issue. </t>
  </si>
  <si>
    <t>AutoCAD, Fusion 360, Figma, Proteus, MATLAB, Tablue</t>
  </si>
  <si>
    <t>Smart India Hackathon
PolyHack (International level hackathon organized by GDSC PolyU Hong Kong)
30 Days of Google Cloud</t>
  </si>
  <si>
    <t xml:space="preserve">1st RunnerUp: eXampler (National level competition)  </t>
  </si>
  <si>
    <t>Organizer- TEDxMITAOE
Developer Relations- GDSC MITAOE
Treasurer- ASSCET MITAOE
Sponsorship Team Lead- TEDxMITAOE
Core Team Member: Menace Dance Club</t>
  </si>
  <si>
    <t>https://preskilet.com/watch?v=62a38ef9a6956a000460084a</t>
  </si>
  <si>
    <t>https://drive.google.com/open?id=1R9rxnr17UdJQS_E1_uCSD96Hi5G4Q1fF</t>
  </si>
  <si>
    <t>https://drive.google.com/open?id=1HRY_6O90Bw5WD5EJVsk958PxWyrc3rsi</t>
  </si>
  <si>
    <t>https://drive.google.com/open?id=1bZyKBvu6kA82U-ASIZbFcnnASPhxRFH5</t>
  </si>
  <si>
    <t>https://drive.google.com/open?id=1ET0BvUaFs5gMWrQBBHniUVedy0WiYJsv</t>
  </si>
  <si>
    <t>https://drive.google.com/open?id=1Z0hWDufnaAMIS5ZNRRKGp7WabvWYuLRd</t>
  </si>
  <si>
    <t>0120190423</t>
  </si>
  <si>
    <t>RAJIV</t>
  </si>
  <si>
    <t>aniket.onix@gmail.com</t>
  </si>
  <si>
    <t xml:space="preserve">aniketsharma@mitaoe.ac.in </t>
  </si>
  <si>
    <t>https://www.linkedin.com/in/aniket-sharma-link/</t>
  </si>
  <si>
    <t>MANJU SHARMA</t>
  </si>
  <si>
    <t>903, KUMAR PRESIDENCY PHASE-2, LANE-6, KOREGOAN PARK, PUNE-411001</t>
  </si>
  <si>
    <t>Zensar Technologies Employability Skills Development (ESD) Program</t>
  </si>
  <si>
    <t>HTML, CSS, and Javascript for Web Developers, Johns Hopkins University(Coursera)</t>
  </si>
  <si>
    <t>Machine Learning, Internshala Trainings, Online</t>
  </si>
  <si>
    <t>Data Science Intern at NPPD Care</t>
  </si>
  <si>
    <t>Smart Irrigation System using IoT and Artificial Neural Networks</t>
  </si>
  <si>
    <t>Participated in CodeBytes Coding Competition, 2022
Participated in Uber Hacktag 2.0, 2022</t>
  </si>
  <si>
    <t>Zensar Technologies, ESD Program</t>
  </si>
  <si>
    <t>Member of Shutterbugs Photography Club MITAOE, 2019-20</t>
  </si>
  <si>
    <t>https://preskilet.com/watch?v=62a243cafed70c00042b6978</t>
  </si>
  <si>
    <t>https://drive.google.com/open?id=1wd9v7cueNVeObWvOuavPHeK76KQo-qQW</t>
  </si>
  <si>
    <t>https://drive.google.com/open?id=1ebYn0fFO1vDeKIQS87liZUKbkzAO6bWK</t>
  </si>
  <si>
    <t>https://drive.google.com/open?id=1Jme-2e6i6_-zDJIA3XBKHSj65JZX9S6F</t>
  </si>
  <si>
    <t>https://drive.google.com/open?id=1EfobT0YKbmt6A6J1OuM5GtKqKjyuuuGG</t>
  </si>
  <si>
    <t>0120190425</t>
  </si>
  <si>
    <t>FIZA</t>
  </si>
  <si>
    <t>MANSOOR</t>
  </si>
  <si>
    <t>PATEL</t>
  </si>
  <si>
    <t>patel.fiza@outlook.com</t>
  </si>
  <si>
    <t>https://www.linkedin.com/in/fizapatel</t>
  </si>
  <si>
    <t>MANSOOR SHAHNOOR PATEL</t>
  </si>
  <si>
    <t>ANISA MANSOOR  PATEL</t>
  </si>
  <si>
    <t>Shantinagar, Shahbaug Grampanchayat, Wai-412803, Satara, Maharashtra</t>
  </si>
  <si>
    <t>Software Implementation Intern at Treelife consulting firm</t>
  </si>
  <si>
    <t xml:space="preserve">Data Analytics Intern, Cloud Work Solutions Pvt Ltd, 
Real World Analysis of Business Data with R, R-Studio.
</t>
  </si>
  <si>
    <t>Smart traffic system to optimize the city traffic with the help of AI</t>
  </si>
  <si>
    <t>Mandarin</t>
  </si>
  <si>
    <t>As a team, Runner up of Microsoft's Azure Hackathon in 2021</t>
  </si>
  <si>
    <t>President of Shutterbugs Photography Club</t>
  </si>
  <si>
    <t>https://preskilet.com/fmpatel@mitaoe.ac.in</t>
  </si>
  <si>
    <t>https://drive.google.com/open?id=1VQ0DP9TdbU80mXHT_iiIO_NSwH_WM-sw</t>
  </si>
  <si>
    <t>https://drive.google.com/open?id=1W9f96jTJxezEvjgzpmcU-9Hh-yffK1zx</t>
  </si>
  <si>
    <t>https://drive.google.com/open?id=1uCsP5cGd_Bfk4ZbhOiRcT8RDls0YO_b9</t>
  </si>
  <si>
    <t>https://drive.google.com/open?id=1d7wiRBwScYWgWfCFnx9rtdXGktRsdms_</t>
  </si>
  <si>
    <t>https://drive.google.com/open?id=1zIE0ewr6eNhy9a0Er3CtSzSaEukEzHuM</t>
  </si>
  <si>
    <t>https://drive.google.com/open?id=1etXI2ft2hyuu3fNRp1ahIvOFN8IVeAOw</t>
  </si>
  <si>
    <t>0120190446</t>
  </si>
  <si>
    <t>HARDIK</t>
  </si>
  <si>
    <t>JADE</t>
  </si>
  <si>
    <t>hardik.jade@gmail.com</t>
  </si>
  <si>
    <t>https://www.linkedin.com/in/itshardikjade/</t>
  </si>
  <si>
    <t>KISHOR PANDIT JADE</t>
  </si>
  <si>
    <t>SEEMA KISHOR JADE</t>
  </si>
  <si>
    <t>Plot No 18 Gat No 74 Muktai Nagar Near Nimkhedi Shiwar Jalgaon</t>
  </si>
  <si>
    <t>Aanad Hospital Near MIT Academy of Engineering Alandi Pune</t>
  </si>
  <si>
    <t>MIT Academy of Engineering, Alandi, Pune · Internship</t>
  </si>
  <si>
    <t>Web DeveloperWeb Developer
QboxVisuals · Internship</t>
  </si>
  <si>
    <t xml:space="preserve">Back End DeveloperBack End Developer Krayonnz · Internship and Backend Developer at EdSquare </t>
  </si>
  <si>
    <t>Android Development (Java/Kotlin), React.js (JavaScript/Typescript), Flask (Python)</t>
  </si>
  <si>
    <t xml:space="preserve">2nd Rank Holder at Impetus Concept 22 conducted by PICT, Pune 
2nd Rank Holder at ProjectExpo22 conducted by MIT Academy of Engineering, Pune  </t>
  </si>
  <si>
    <t>https://preskilet.com/watch?v=62b55510af4f2700045cdc88</t>
  </si>
  <si>
    <t>https://drive.google.com/open?id=13L0uE7XAfFsF6xsPmTjXKhou-vn8j6Zj</t>
  </si>
  <si>
    <t>https://drive.google.com/open?id=1VzzcWKRjaUttSQ7F2_cy61n_3WBpM6m-</t>
  </si>
  <si>
    <t>https://drive.google.com/open?id=1NHnUcwPy0MwHxgeEgcqH-8TKwPHnftiP</t>
  </si>
  <si>
    <t>https://drive.google.com/open?id=18UB6yiWSAPnDjMv0QZ6yCjRihaF0G9Jt</t>
  </si>
  <si>
    <t xml:space="preserve">Preskilet video link </t>
  </si>
  <si>
    <t>0120190457</t>
  </si>
  <si>
    <t>HIMANSHU</t>
  </si>
  <si>
    <t>SHIMPI</t>
  </si>
  <si>
    <t>hrshimpi999@gmail.com</t>
  </si>
  <si>
    <t>www.linkedin.com/in/himanshu-shimpi02</t>
  </si>
  <si>
    <t>RAVINDRA SOMNATH SHIMPI</t>
  </si>
  <si>
    <t>DEEPALI RAVINDRA SHIMPI</t>
  </si>
  <si>
    <t>5-B, Shree heights, Mayur Vihar colony, Karmayogi Nagar, Untwadi, Nashik - 422008</t>
  </si>
  <si>
    <t>Full stack web developer at Codekul Private limited</t>
  </si>
  <si>
    <t>Suven Consultants &amp; Technology Pvt. Ltd.
Domain:UI/UX (Bootstrap)</t>
  </si>
  <si>
    <t>AutoCAD, Fusion 360, Figma, MATLAB, Tableau, Postman, Blender.</t>
  </si>
  <si>
    <t>Internal Smart India Hackathon</t>
  </si>
  <si>
    <t xml:space="preserve">Zensar ESD Program </t>
  </si>
  <si>
    <t>https://preskilet.com/watch?v=62a389f3a6956a00046006d3</t>
  </si>
  <si>
    <t>https://drive.google.com/open?id=1_9jQC2OuknSvWwxLUwgf-WYCZDn5oYpi</t>
  </si>
  <si>
    <t>https://drive.google.com/open?id=1fVQYJa83xk0_jQTyQn55bErwufL6JoB2</t>
  </si>
  <si>
    <t>https://drive.google.com/open?id=1zGQVTy6T9TXgPlJ5YPNJOXIAm7No9Q4Z</t>
  </si>
  <si>
    <t>https://drive.google.com/open?id=14cC_EMSoI5k2NivUJtLcFWZeJgnRnA2B</t>
  </si>
  <si>
    <t>https://drive.google.com/open?id=1TDCL-HfGPUIqtK3AJUqYadPmxqiAqmFI</t>
  </si>
  <si>
    <t>https://drive.google.com/open?id=1iQ-TIyrlifqXQaSdrWWAQKwOZIi_vwpN</t>
  </si>
  <si>
    <t>0120190460</t>
  </si>
  <si>
    <t>RADDEKAR</t>
  </si>
  <si>
    <t>ashwiniraddekar@gmail.com</t>
  </si>
  <si>
    <t>https://www.linkedin.com/in/ashwini-raddekar-a35ba1202</t>
  </si>
  <si>
    <t>ANAND RADDEKAR</t>
  </si>
  <si>
    <t>GAYATRI RADDEKAR</t>
  </si>
  <si>
    <t>Ram Mandir Road, Near S S Complex, Vijayapur, Karnataka - 586101</t>
  </si>
  <si>
    <t xml:space="preserve">Anusaya Heritage, Near SP College, Alandi, Pune </t>
  </si>
  <si>
    <t>Oracle : Oracle Cloud Infrastructure</t>
  </si>
  <si>
    <t>Coursera : Programming Fundamentals course</t>
  </si>
  <si>
    <t>Internshala : Programming with C and C++ Training course</t>
  </si>
  <si>
    <t>Eduladder : Web Development Internship - Ongoing</t>
  </si>
  <si>
    <t>Women Government Service Application</t>
  </si>
  <si>
    <t xml:space="preserve">Participated in Smart India Hackathon in Group and shortlisted for next round - Ongoing
Participated in CodeBytes Competition </t>
  </si>
  <si>
    <t xml:space="preserve">Coding Club - Coding Mafia (Training) - Paid </t>
  </si>
  <si>
    <t>Being Technical member in Mathematics club, prepared questions for a Quiz competition name Cine-Math .</t>
  </si>
  <si>
    <t>https://preskilet.com/watch?v=62b558eaaf4f2700045cdd16</t>
  </si>
  <si>
    <t>https://drive.google.com/open?id=1c0Bmnha_AHN4QxH3IIaJtDFib-yuQFDq</t>
  </si>
  <si>
    <t>https://drive.google.com/open?id=10wVHN1pJB7aesqbfC-CTOBAFhTM9kD16</t>
  </si>
  <si>
    <t>https://drive.google.com/open?id=1WV6GYfBxrGZsdy2Ift8cfX7DnmC_6pem</t>
  </si>
  <si>
    <t>https://drive.google.com/open?id=1Hfpeyyh0JquNWd9Qz-e7T91vjoNdH8RY</t>
  </si>
  <si>
    <t>https://drive.google.com/open?id=1K53E06CjjhUvmtXButZkJkadCXBzFLJA</t>
  </si>
  <si>
    <t>0120190481</t>
  </si>
  <si>
    <t>FARDEEN</t>
  </si>
  <si>
    <t>FAROUQUE</t>
  </si>
  <si>
    <t>KHAN</t>
  </si>
  <si>
    <t>khanfardeen833@yahoo.com</t>
  </si>
  <si>
    <t>linkedin.com/in/fardeen-khan-690069213</t>
  </si>
  <si>
    <t>FAROUQUE KHAN JAMEEL KHAN</t>
  </si>
  <si>
    <t>NAGMA KHAN</t>
  </si>
  <si>
    <t>Akot Fail Ashok Nagar Akbar Plot Jamil Member Building Akola</t>
  </si>
  <si>
    <t>AWS Cloud Practioner</t>
  </si>
  <si>
    <t xml:space="preserve">Full Stack web development Intern at CodeKul
-Created Portfolio Builder in which user has to add some details about him and that details 
 will display as a Portfolio.
-Created the frontend of the project.
</t>
  </si>
  <si>
    <t>Youth e-learning Foundation
-Working on student,teacher,admin dashboard  frontend and api.
-Making frontend for teacher,admin,dashboard
-Using API fetcing the data and posting the data from frontend to backend</t>
  </si>
  <si>
    <t>IOT in healthcare</t>
  </si>
  <si>
    <t>React.js (JavaScript/Typescript), Bootstrap,Material UI</t>
  </si>
  <si>
    <t>MATLAB, Animaker ,Proto.IO</t>
  </si>
  <si>
    <t>GATE qualified 2022
Smart India Hackathon
Cognizant Digital Nurture 2.0
Hacktoberfest 2021</t>
  </si>
  <si>
    <t>GATE qualified 2022
Smart India Hackathon</t>
  </si>
  <si>
    <t>Cognizant Digital Nurture 2.0
C++ training Software square</t>
  </si>
  <si>
    <t xml:space="preserve">NGO </t>
  </si>
  <si>
    <t>https://preskilet.com/watch?v=62a371eba6956a00046001c8</t>
  </si>
  <si>
    <t>https://drive.google.com/open?id=1BQl98YLRTyJl-zJ6ucr2FdL8kNoFuQ_n</t>
  </si>
  <si>
    <t>https://drive.google.com/open?id=1xwj6oqAFuYByztRSmPz58cgAPX3BxaUK</t>
  </si>
  <si>
    <t>https://drive.google.com/open?id=14NsEAxsvf0WS_dUfm-bSuMqBA-gwBFmp</t>
  </si>
  <si>
    <t>https://drive.google.com/open?id=19zY3S_LUO_5WRk8H38NsXp73qhXG1ZlF</t>
  </si>
  <si>
    <t>https://drive.google.com/open?id=1dGagnUQbsFioWFtRdDZ4xXTHocA8JI8t</t>
  </si>
  <si>
    <t>https://drive.google.com/open?id=1L5Go3BuyQ-cQR51i8E6p7malzIudDv0O</t>
  </si>
  <si>
    <t>https://drive.google.com/open?id=1xb0ro0B0mR2RP_iAd1x3IcGyO-OhJ7er</t>
  </si>
  <si>
    <t xml:space="preserve">Update the Technical Certifications </t>
  </si>
  <si>
    <t>0120190498</t>
  </si>
  <si>
    <t>PRADYUMNA</t>
  </si>
  <si>
    <t>RAMDAS</t>
  </si>
  <si>
    <t>GAYAKE</t>
  </si>
  <si>
    <t>prgayake100@gmail.com</t>
  </si>
  <si>
    <t>https://www.linkedin.com/in/prgayake/</t>
  </si>
  <si>
    <t>RAMDAS GAYAKE</t>
  </si>
  <si>
    <t>ROHINI GAYAKE</t>
  </si>
  <si>
    <t>Mahalaxmi Hivare, Newasa, Ahemednagar, 414501</t>
  </si>
  <si>
    <t>D204, Destination Ankur, Charholi Phata , Alandi, Pune, 412105</t>
  </si>
  <si>
    <t>AS105T CALCULUS AND DIFFERENTIAL EQUATIONS , CV102T APPLIED MECHANICS</t>
  </si>
  <si>
    <t>AWS Academy Graduates</t>
  </si>
  <si>
    <t xml:space="preserve">AWS Cloud practitioner </t>
  </si>
  <si>
    <t xml:space="preserve">30 days Google Cloud </t>
  </si>
  <si>
    <t>Full-stack Developer E cell MITAOE</t>
  </si>
  <si>
    <t>e samyak software pvt ltd</t>
  </si>
  <si>
    <t xml:space="preserve">Python, Java, C/C++, HTML, CSS, JavaScript, PHP, Node.js, </t>
  </si>
  <si>
    <t xml:space="preserve">1. Runner up at Microsoft Azure Developer League 2021 Hackathon , 2. Winner at Cuvette tech codeoctober Hackathon, </t>
  </si>
  <si>
    <t>Hacktober fest 2021</t>
  </si>
  <si>
    <t>https://preskilet.com/watch?v=62b557b1af4f2700045cdcf4</t>
  </si>
  <si>
    <t>https://drive.google.com/open?id=1Ju4dCNpUt3R9cyLmpx3-96KtmrJiCeWu</t>
  </si>
  <si>
    <t>https://drive.google.com/open?id=10l7YJX5J6WenP1t3p0_L5YmVB7b7sBGm</t>
  </si>
  <si>
    <t>https://drive.google.com/open?id=1_DzESrLA21I9SqJ7tb_zgtO4pE-iS9Hz</t>
  </si>
  <si>
    <t>https://drive.google.com/open?id=1HPmArdMyYNsvlVpfkLBIqhXOEAiwB4H5</t>
  </si>
  <si>
    <t>https://drive.google.com/open?id=1sHog8rwx1mMm93tzjkpcba-Mwf-St_Hv</t>
  </si>
  <si>
    <t>0120190504</t>
  </si>
  <si>
    <t>SHILPI</t>
  </si>
  <si>
    <t>shilpiroy2300@gmail.com</t>
  </si>
  <si>
    <t>https://www.linkedin.com/in/shilpi-roy-373473208</t>
  </si>
  <si>
    <t>SUBIMAL ROY</t>
  </si>
  <si>
    <t>RUNA ROY</t>
  </si>
  <si>
    <t>Near Kustore Kali Mandir,Kustore-828117,Dhanbad,Jharkhand</t>
  </si>
  <si>
    <t>Internshala Trainings: Ethical Hacking Course</t>
  </si>
  <si>
    <t>Microsoft Certification</t>
  </si>
  <si>
    <t>Vodafone Idea Foundation  
_VOIS For Tech-Innovation Marathon 2022</t>
  </si>
  <si>
    <t xml:space="preserve">Dynamic Healthcare app </t>
  </si>
  <si>
    <t>https://drive.google.com/file/d/1YZ-SqOEBWDVkOCxuwbUwrX78CzyYwvBe/view?usp=drivesdk</t>
  </si>
  <si>
    <t>https://drive.google.com/open?id=1s8A9V7lR7y57aJ_TC2hY4OXyCnmaqCc9</t>
  </si>
  <si>
    <t>https://drive.google.com/open?id=12rrTw1I1fBfI274OdT4VomYrZFpkwC0q</t>
  </si>
  <si>
    <t>https://drive.google.com/open?id=1YxeftqC3D3H5L4b-LWjaKCKNkEx1C8oX</t>
  </si>
  <si>
    <t>0120190549</t>
  </si>
  <si>
    <t>patilha007@gmail.com</t>
  </si>
  <si>
    <t xml:space="preserve">harshalpatil@mitaoe.ac.in </t>
  </si>
  <si>
    <t>www.linkedin.com/in/  harshal-patil-985b661a5</t>
  </si>
  <si>
    <t>ANIL PATIL</t>
  </si>
  <si>
    <t>VIJAYA PATIL</t>
  </si>
  <si>
    <t xml:space="preserve">169.Suraj keshari nager, korit road, Nandurbar-425412 </t>
  </si>
  <si>
    <t>AS105T CALCULUS AND DIFFERENTIAL EQUATIONS
AS106T ENGINEERING PHYSICS
CS101L LOGIC DEVELOPMENT - C PROGRAMMING
CS101T LOGIC DEVELOPMENT - C PROGRAMMING
EX102T ELECTRICAL AND ELECTRONICS ENGINEERING
ME104T ENGINEERING GRAPHICS</t>
  </si>
  <si>
    <t>Essentials of Cloud Computing by Infosys Springboard</t>
  </si>
  <si>
    <t>Azure fundamentals
AWS practitioner</t>
  </si>
  <si>
    <t>Programming for Everybody (Getting Started with
Python)
an online non-credit course authorized by University of Michigan and offered through
Coursera</t>
  </si>
  <si>
    <t xml:space="preserve">
Machine Learning
an online non-credit course authorized by Stanford University and offered through
Coursera</t>
  </si>
  <si>
    <t>Online Coding Internship - Suven Consultants &amp; Technology Pvt. Ltd.</t>
  </si>
  <si>
    <t>DIGITAL GRAM SAHAAYAK: PORTAL FOR INFORMATION ON
GOVERNMENT SCHEMES</t>
  </si>
  <si>
    <t xml:space="preserve">AutoCAD, Fusion 360, CATIA, Figma, Adobe XD, MATLAB, blender, Arduino ide,   </t>
  </si>
  <si>
    <t>STARTUP BOOT CAMP
National Level E-Quiz on Computer Graphics</t>
  </si>
  <si>
    <t xml:space="preserve">Treasurer of Aalekh club (Art club of MITAOE)  </t>
  </si>
  <si>
    <t>https://preskilet.com/watch?v=62a383b5a6956a000460056d</t>
  </si>
  <si>
    <t>https://drive.google.com/open?id=1-QnPvut-1Rsu4S609lxIrnni7G7fyDww</t>
  </si>
  <si>
    <t>https://drive.google.com/open?id=15fvPt2s3aF3J3QqUUTFYfSqt3ZNueakg</t>
  </si>
  <si>
    <t>https://drive.google.com/open?id=1s0RmZxvIVZK3ako2bHSE7JdpAnX-cDcI</t>
  </si>
  <si>
    <t>https://drive.google.com/open?id=148DHRDx-UW5K_wvHALtMbH-T3poLirb5</t>
  </si>
  <si>
    <t>0120190557</t>
  </si>
  <si>
    <t>KUMBHAR</t>
  </si>
  <si>
    <t>atharva.kumbhar.2017@gmail.com</t>
  </si>
  <si>
    <t>https://www.linkedin.com/in/atharva-kumbhar-7815b11a3/</t>
  </si>
  <si>
    <t>Nisarg raghvendra Society, Moshi, Pune</t>
  </si>
  <si>
    <t>685 (97 percentile)</t>
  </si>
  <si>
    <t>655 (95 percentile)</t>
  </si>
  <si>
    <t>Phoenixgen Systems as Data Science/ Engineer Intern</t>
  </si>
  <si>
    <t>YourMauka LLC as Machine Learning Intern</t>
  </si>
  <si>
    <t>Fake Reviews Detection Using Machine Learning</t>
  </si>
  <si>
    <t>Datathon 2022
Smart India Hackathon 2022</t>
  </si>
  <si>
    <t>Japanese N5 level training at ITSKUL Pune,
Microsoft Azure AI-900 training at MITAOE</t>
  </si>
  <si>
    <t>Japanese Language Coordinator- Foreign Language Club MITAOE, Arranged stall at ClubMela</t>
  </si>
  <si>
    <t>https://preskilet.com/watch?v=62a32f89a6956a00045ffb0f</t>
  </si>
  <si>
    <t>https://drive.google.com/open?id=1qZAvY5UAJ5drpKLWs80YjmU0zOtGnSgo</t>
  </si>
  <si>
    <t>https://drive.google.com/open?id=1H4Mf_C3zAp0l98QDEZBufMN6Qia6zhDc</t>
  </si>
  <si>
    <t>https://drive.google.com/open?id=1zaalBsKL9OGDcZhMCZNqHN-672bAeL0-</t>
  </si>
  <si>
    <t>https://drive.google.com/open?id=11cJw-ZnrsDC2CXs5yzrZ9F9dWrw-8-s3</t>
  </si>
  <si>
    <t>https://drive.google.com/open?id=18yugekB6OziJZ-S3Kn6dYb5IrGi6tmhH</t>
  </si>
  <si>
    <t>https://drive.google.com/open?id=17aIhJOQ7PXAYbKxKbxxueD0ELqCE6x4I</t>
  </si>
  <si>
    <t>0120190586</t>
  </si>
  <si>
    <t xml:space="preserve">CHANDRASHEKHAR </t>
  </si>
  <si>
    <t xml:space="preserve">LIKHAR </t>
  </si>
  <si>
    <t>gauravlikhar1505@gmail.com</t>
  </si>
  <si>
    <t xml:space="preserve">gclikhar@mitaoe.ac.in </t>
  </si>
  <si>
    <t>https://www.linkedin.com/in/gauravlikhar15/</t>
  </si>
  <si>
    <t>CHANDRASHEKHAR LIKHAR</t>
  </si>
  <si>
    <t>KUMUD LIKHAR</t>
  </si>
  <si>
    <t>Plot no 25,jai bhawani road , adke nagar 3,Nashik Road , Nashik-422101</t>
  </si>
  <si>
    <t xml:space="preserve">Flat 205, Girindu Lodha Appartment, opposite Mit Academy of Engineering, Alandi ,Pune </t>
  </si>
  <si>
    <t>Oracle Cloud Infrastructure 2022 Foundations Associate</t>
  </si>
  <si>
    <t>Coursera : Introduction to the Internet of Things and Embedded Systems
Coursera: Introduction to CSS3</t>
  </si>
  <si>
    <t xml:space="preserve">Codekul; - The Gurukul for Coders !
Web Development and Designing 
</t>
  </si>
  <si>
    <t xml:space="preserve">TCR Innovation 
Web Development and Designing </t>
  </si>
  <si>
    <t>COLOR THEORY</t>
  </si>
  <si>
    <t>Python, C/C++, HTML, CSS, JavaScript, NodeJs</t>
  </si>
  <si>
    <t>PICT IMPETUS CONTEST 22 -  SECURED 2ND POSITION
MIT PROJECT EXPO-  SECURED 2ND POSITION
Participated in SIH (Smart India Hackathon)</t>
  </si>
  <si>
    <t>https://preskilet.com/gclikhar@mitaoe.ac.in</t>
  </si>
  <si>
    <t>https://drive.google.com/open?id=1qo1KNvWOgGPr_fg8c2AsbYjrJNV3XzFx</t>
  </si>
  <si>
    <t>https://drive.google.com/open?id=1s5NpR_fMXHZWztw3rz0d3jlXDaUtVjnU</t>
  </si>
  <si>
    <t>https://drive.google.com/open?id=16IY5wOfVsAZkU10DyC20X0qPg_a2dxcS</t>
  </si>
  <si>
    <t>https://drive.google.com/open?id=1rxMP7_ODOorHc2bJa45ERaIgJy1uFTL2</t>
  </si>
  <si>
    <t>https://drive.google.com/open?id=1ZJm5WuErd85nctrPLda-eLWp9N3GpD_a</t>
  </si>
  <si>
    <t>https://drive.google.com/open?id=1RVvvE4qk1sR_pT8TJu9f3O4PX_E5ST5h</t>
  </si>
  <si>
    <t xml:space="preserve">Not Updated
</t>
  </si>
  <si>
    <t>0120190597</t>
  </si>
  <si>
    <t>SANTOSHWAR</t>
  </si>
  <si>
    <t>deepsantoshwar7@gmail.com</t>
  </si>
  <si>
    <t>https://www.linkedin.com/in/deep-santoshwar-125064224</t>
  </si>
  <si>
    <t>PRASHANT SANTOSHWAR</t>
  </si>
  <si>
    <t>SONALI SANTOSHWAR</t>
  </si>
  <si>
    <t xml:space="preserve">plot no.1 renuka sai appartment falky layout , friends colony ,katol road ,Nagpur </t>
  </si>
  <si>
    <t>Microsoft Azure Certification : Azure Fundamentals (AZ-900)</t>
  </si>
  <si>
    <t>I have done SY Summer Internship in Codekul Private Limited . 
I was assigned a task of front end developer using ReactJs to build a Customer Relationship Management (CRM) dashboard .My major contribution in this internship was to design a web portal with login/signup authentication and indicate activities of users on CRM dashboard .This internship helps me in enhancing my skills and gave me an IT industry exposure .
I also did an internship in cloud computing at Skillvertex, which was a training-based internship where I gained exposure with ec2, vpc, application load balancer, and other AWS and Azure services.</t>
  </si>
  <si>
    <t>I work with Celebal Technologies in the domain of cloud infrastructure on the Microsoft Azure platform, where I perform a variety of tasks based on cloud architecture.</t>
  </si>
  <si>
    <t xml:space="preserve">IoT Based Smart Health Monitoring and Alert System </t>
  </si>
  <si>
    <t>Successfully accomplished internal assessment for
Smart India Hackathon</t>
  </si>
  <si>
    <t>https://preskilet.com/dpsantoshwar@mitaoe.ac.in</t>
  </si>
  <si>
    <t>https://drive.google.com/open?id=1J5DFBKt5G-IiHpM-flm7jVe87TtbfZ_o</t>
  </si>
  <si>
    <t>https://drive.google.com/open?id=1-CXaomhJI7JVdA2BkMGjDmtUbI1g1FV8</t>
  </si>
  <si>
    <t>https://drive.google.com/open?id=1vM-hFR3WMpR3k_O53-fDY9FhMFE7IXRr</t>
  </si>
  <si>
    <t>https://drive.google.com/open?id=1LPSwh8ral6_txROxqsUGXF9YbmEoG8G1</t>
  </si>
  <si>
    <t>https://drive.google.com/open?id=1gMZaI-ux7TK4SE3EVCsP7sLp54VEJOZo</t>
  </si>
  <si>
    <t>https://drive.google.com/open?id=1QYyJgcgvc_kxaG0cYg_53j_IFnaQO_Fh</t>
  </si>
  <si>
    <t>0120190625</t>
  </si>
  <si>
    <t>AJINKYA</t>
  </si>
  <si>
    <t>MAHURE</t>
  </si>
  <si>
    <t>ajinkyamahure3@gmail.com</t>
  </si>
  <si>
    <t>https://www.linkedin.com/in/ajinkya-mahure-b21a411a4/</t>
  </si>
  <si>
    <t>83, New Adyalwale Layout, Bypass Road Umred. 441203</t>
  </si>
  <si>
    <t>Zensar ESD Certification</t>
  </si>
  <si>
    <t>Coursera - HTML For Everyone</t>
  </si>
  <si>
    <t>Interned for a position of a Front End Developer at OakByteMedia.
- Developed front-end of the website for a Bhopal based startup
named MEDORN</t>
  </si>
  <si>
    <t>Machine Learning Developer at Feynn Labs Services
- Working on different ML projects during the internship tenure</t>
  </si>
  <si>
    <t xml:space="preserve">SMART TRAFFIC SYSTEM </t>
  </si>
  <si>
    <t>Python, C/C++, HTML, CSS, JavaScript, TypeScript, Dart</t>
  </si>
  <si>
    <t>Participated in DATATHON - A National level Machine Learning Competition
Seminar on Application Of Mathematics in Industries
Attended Guest Lecture on Deployment of Machine Learning Programs on websites</t>
  </si>
  <si>
    <t>Represented College in various Cricket Tournaments on National and University level
Participated in PratibhaSangam - A National Level Literary Competition
Co-authored an anthology titled -'An Astounding Collection' (also available on Amazon)</t>
  </si>
  <si>
    <t>https://preskilet.com/watch?v=62b2ccc3cd590700045fb360</t>
  </si>
  <si>
    <t>https://drive.google.com/open?id=1EJPvPCYQeMLuALI_ecRK_SiuFiZkSWLo</t>
  </si>
  <si>
    <t>https://drive.google.com/open?id=1ivuudtMJvgk8ZPEvgEUVwUP6VpsCB_bL</t>
  </si>
  <si>
    <t>https://drive.google.com/open?id=10ijGiJ_kP6JDhn-dX5mjCmwaGKBu3YOy</t>
  </si>
  <si>
    <t>https://drive.google.com/open?id=1lQOXH4OV9SmWsNldPSW6JoeVHLbkUOIH</t>
  </si>
  <si>
    <t>https://drive.google.com/open?id=1pxPPTpvKsZp7DmWc8o6Iq3vDzqajSVmJ</t>
  </si>
  <si>
    <t>https://drive.google.com/open?id=1gGjhkfHLB35KXU9IB4v11Ocg_APTZBpp</t>
  </si>
  <si>
    <t>0120190630</t>
  </si>
  <si>
    <t>HARIOM</t>
  </si>
  <si>
    <t>hariomhari76@gmail.com</t>
  </si>
  <si>
    <t>https://www.linkedin.com/in/hariom-singh-1a77541b5</t>
  </si>
  <si>
    <t>SUSHIL KUMAR SINGH</t>
  </si>
  <si>
    <t>KANCHAN SINGH</t>
  </si>
  <si>
    <t>Karma Bhagwan, Aurangabad, Bihar-824101</t>
  </si>
  <si>
    <t>Rohit pawar building, Near sai dham girls hostel, road number-2, hindavi colony, alandi, Pune-412105</t>
  </si>
  <si>
    <t>CS224L-Programming Laboratory</t>
  </si>
  <si>
    <t xml:space="preserve">Internship:- Frontend Developement Libraries(FreeCodeCamp),
Project :- Build a School Finder App in Minor Project using HTML,CSS,JavaScript,PHP, MySQL.
</t>
  </si>
  <si>
    <t>Internship:- Esamyak Software, 
Project:- Major project is sponsored by Esamyak Software in which we are working on Accounting module.</t>
  </si>
  <si>
    <t>E-Samyak Software.</t>
  </si>
  <si>
    <t>Accounting and Inventory Management system(E-samyak)</t>
  </si>
  <si>
    <t>Participated in DATATHON Competition in Machine Learning in 2022.</t>
  </si>
  <si>
    <t>Zensar ESD (Employability Skill Development Programme)</t>
  </si>
  <si>
    <t>Participated in College Annual sports representing First Year in 2020 in volleyball and short put in which secured overall third position in short put. 
In 2020, participated in Hostel Premiere League(cricket) in college hostel in which our team was runner-up in that tournament and I was the Man of the tournament. 
Again in 2022, I represented IT department in volleyball and short put in which secured overall 3rd position in volleyball and 4th in short put.</t>
  </si>
  <si>
    <t>https://preskilet.com/watch?v=62a38f7aa6956a0004600862</t>
  </si>
  <si>
    <t>https://drive.google.com/open?id=13HXtMEWYmNw2P1CEUxdVa1O2OJtqzfAE</t>
  </si>
  <si>
    <t>https://drive.google.com/open?id=1kvNQ2woaY3nUJ2WTTB2FdvCaZA5QZofO</t>
  </si>
  <si>
    <t>https://drive.google.com/open?id=119H2tbKy6WZ6137Xv6PBUewkOZhyRuGE</t>
  </si>
  <si>
    <t>https://drive.google.com/open?id=11jgn_Wk2z8L0bWaxfaYzwQTaAnqy-TCO</t>
  </si>
  <si>
    <t>https://drive.google.com/open?id=1SMiECsdHr00EJx7IuSq1QIaoE_T-bQqm</t>
  </si>
  <si>
    <t>Updated the technical certification status and TY cgpa</t>
  </si>
  <si>
    <t>0120190637</t>
  </si>
  <si>
    <t>prajwalkumbhar90@gmail.com</t>
  </si>
  <si>
    <t>https://www.linkedin.com/in/prajwal-kumbhar-7b03b91b1/</t>
  </si>
  <si>
    <t>JAGANNATH KUMBHAR</t>
  </si>
  <si>
    <t>SUSHAMA KUMBHAR</t>
  </si>
  <si>
    <t>Gandharva Nagari,Phase-2,Tapkir Nagar,Moshi,Pune-412105</t>
  </si>
  <si>
    <t>(e+l+q/3)=672</t>
  </si>
  <si>
    <t>(e+l+q/3)=866</t>
  </si>
  <si>
    <t>Redhat Certified System Administrator-I(Level),Redhat Certified System Administrator-II(Level)</t>
  </si>
  <si>
    <t xml:space="preserve">Technical Content and SEO Intern at EngineeringTimes.in (July 2020 – September 2020)
</t>
  </si>
  <si>
    <t xml:space="preserve">Software Engineer Intern(Full Stack) at Codekul.Inc (June 2021 – August 2021)
Student Partner Intern at StartUp 201 (September 2021 – October 2021)
Mini Project:- Build an Online Web Application for Funding Startups
</t>
  </si>
  <si>
    <t>Data Science Intern at LetsGrowMore.Inc (June 2022 - July 2022)
Minor Project:- To build an automated Facial Mask Detection System using CNN</t>
  </si>
  <si>
    <t>Major Project:- To build an automated Facial Mask Detection System using CNN</t>
  </si>
  <si>
    <t>Python, Java, C/C++, HTML, CSS, JavaScript, PHP, Bootstrap</t>
  </si>
  <si>
    <t>React.js (JavaScript/Typescript), Laravel (PHP), Node Js</t>
  </si>
  <si>
    <t>Secured a Seat for SUSE Cloud Native Foundations Scholarship(2021) organized by Udacity for Upskill Cloud
Foundations course of two month period.
• Successfully completed and contributed to Github DigtialOcean Hactoberfest Challenge for 2 consecutive
years(2020,2021) with 12+ successful PRs
• Completed Google Cloud Platform organized Google Cloud Skills Training Challenge(2 months duration)and earned
Cloud Essential Skill Badges</t>
  </si>
  <si>
    <t xml:space="preserve">• Executive Member - Code chef Campus Chapter MITAOE
• Student Member - Google Developer Students Club MITAOE
• Participation in various college events and intra-college competitions
• Volunteered in various seminars organized by college faculty and socities
</t>
  </si>
  <si>
    <t>https://preskilet.com/watch?v=62bf02782c9a6200041e136b</t>
  </si>
  <si>
    <t>https://drive.google.com/open?id=1UCYQVg5FfNqBag22wkwV1OkEVD6TSZUj</t>
  </si>
  <si>
    <t>https://drive.google.com/open?id=1w1fUTngOXZ1wrOd4NQnXK8vzUXAt-JbF</t>
  </si>
  <si>
    <t>https://drive.google.com/open?id=1XQA-Wq1UWBjY4Mtu4vZJGr_bNBSTuWix</t>
  </si>
  <si>
    <t>https://drive.google.com/open?id=1XIGkXNlpvJjpu0xUQyq1VuQ5nVCXxFV_</t>
  </si>
  <si>
    <t>https://drive.google.com/open?id=1R39OMUvHzdjZelc1s8vhRE87IAFHgVlE</t>
  </si>
  <si>
    <t>https://drive.google.com/open?id=1QGvowccNMRGaImq5CJi9kxGvPFZCJ--s</t>
  </si>
  <si>
    <t>https://drive.google.com/open?id=15mKWALli_foV096hX3YKfNvm_Lm2ze7I</t>
  </si>
  <si>
    <t xml:space="preserve">Respected Sir/Ma’am,
I had previously uploaded AWS Academy Certificate instead of my AWS Cloud Practitioner Certificate(Valid Certificate ID:- V3TDPNZLPNF41P3P) , kindly check and update my status and kindly me eligible for campus, sorry for inconvenience caused,thank you  
</t>
  </si>
  <si>
    <t>0220200017</t>
  </si>
  <si>
    <t>MANIK</t>
  </si>
  <si>
    <t>santdnyanrajmauli@gmail.com</t>
  </si>
  <si>
    <t>https://www.linkedin.com/in/sameer-patil-16022316b/</t>
  </si>
  <si>
    <t>MANIK PANDURANG PATIL</t>
  </si>
  <si>
    <t>PALLAVI MANIK PATIL</t>
  </si>
  <si>
    <t>Plot no 3, Ring Road, Hareshwar Nagar, Jalgaon, 425001</t>
  </si>
  <si>
    <t>Dehu Phata, Alandi, 412105</t>
  </si>
  <si>
    <t>Microsoft AI-900: Microsoft Data AI Fundamentals</t>
  </si>
  <si>
    <t>Microsoft DP-900: Microsoft Data Data Fundamentals
Oracle OCI Architect Associate
Oracle OCI Architect Professional</t>
  </si>
  <si>
    <t>BMC Software</t>
  </si>
  <si>
    <t>Dranzer Drone (Mobile App Controlled drone)</t>
  </si>
  <si>
    <t>Figma, MATLAB</t>
  </si>
  <si>
    <t>Spanish</t>
  </si>
  <si>
    <t>JP Morgan code for good hackathon
Smart India Hackathon
Datathon 2022
Google cloud challenge 2021
Codebytes Pair Programming
Polyhack Hongkong 2022
Google cloud Facilitator program 2022</t>
  </si>
  <si>
    <t>Zensar ESD program 2021-22</t>
  </si>
  <si>
    <t>Winning member IT chess department 2021</t>
  </si>
  <si>
    <t>https://preskilet.com/watch?v=62a07b708fdf6d0004435e87</t>
  </si>
  <si>
    <t>https://drive.google.com/open?id=1_jG91noeX95fkzzEa0rp5ygQ7bznn47d</t>
  </si>
  <si>
    <t>https://drive.google.com/open?id=1d1oVvfRmGF5kliVcsmh3ULSWiRKCfG97</t>
  </si>
  <si>
    <t>https://drive.google.com/open?id=1roC_vu7g2KMie4poS1Qd6Nn2Hye6MY9Y</t>
  </si>
  <si>
    <t>https://drive.google.com/open?id=1Pd4dSunymcI91XZexgJ1JZyfSQVOHYFh</t>
  </si>
  <si>
    <t>https://drive.google.com/open?id=15_mL495fK469mJCUExKaQOQTFmqFYyiS</t>
  </si>
  <si>
    <t>https://drive.google.com/open?id=1Ug-2yav9aY7S2_8gfinpl-8a9DxcG8cp</t>
  </si>
  <si>
    <t>0220200026</t>
  </si>
  <si>
    <t>kkpatil2601@gmail.com</t>
  </si>
  <si>
    <t>linkedin.com/in/komal-patil-41426222b</t>
  </si>
  <si>
    <t>KISHOR PATIL</t>
  </si>
  <si>
    <t>ASHA PATIL</t>
  </si>
  <si>
    <t>Plot no 20,Prem Nagar ,Vaki Road , Jamner Taluka-Jamner,District-Jalgaon 424206</t>
  </si>
  <si>
    <t xml:space="preserve">Palo Alto Network Cyber security Academy-Cybersecurity Foundation  </t>
  </si>
  <si>
    <t>1.Oracle Cloud Infrastructure Foundations 2021 Certified Associate
2.Microsoft AI-900: Microsoft Azure AI Fundamentals
2.Palo Alto-Cybersecurity Virtual Internship</t>
  </si>
  <si>
    <t xml:space="preserve"> Microsoft Azure Data Fundamentals</t>
  </si>
  <si>
    <t>Internshala Training on Web Development</t>
  </si>
  <si>
    <t xml:space="preserve">Summer Intern at Celebal Technologies 
Working  in Node Js Domain
</t>
  </si>
  <si>
    <t>Diploma Project-Water Distribution System
B-Tech Project- Smart Parking System Using IOT</t>
  </si>
  <si>
    <t>Participate in National Science Day Quiz organized by Institution’s Innovation Council,MITAOE</t>
  </si>
  <si>
    <t>https://preskilet.com/watch?v=62a312b7a6956a00045ff84a</t>
  </si>
  <si>
    <t>https://drive.google.com/open?id=14-MiY7-G79a9WwulgPE_NC28kNnD7gF1</t>
  </si>
  <si>
    <t>https://drive.google.com/open?id=1NVilNrLkX1NC0UVsf7wYSUKPAZp2vbo1</t>
  </si>
  <si>
    <t>https://drive.google.com/open?id=1gAlNORynPMV4z9BN8U3Pj-gHYrqu0ASf</t>
  </si>
  <si>
    <t>https://drive.google.com/open?id=1VaKIxk6udyz2-1TQnjrHPGY-gkEN9psg</t>
  </si>
  <si>
    <t>https://drive.google.com/open?id=1KV2M1qXuI9n5w9OQaOH0oxurVCTMehpr</t>
  </si>
  <si>
    <t>https://drive.google.com/open?id=1HU8alsrCXlTotI52RNnVFy8M4B3t6lqr</t>
  </si>
  <si>
    <t>https://drive.google.com/open?id=15ZuDh8mpiaPzSGW4oKJfiDLKGhx7FkiL</t>
  </si>
  <si>
    <t>https://drive.google.com/open?id=1pzwLRH4kpAJSlvE58a5WoDsFlA71Y3oY</t>
  </si>
  <si>
    <t>https://drive.google.com/open?id=1HY-9vecWiJJfrWHMJS3IKFOW6UEXH-8J</t>
  </si>
  <si>
    <t>1.Internship certificates updated
2.Recently I have completed also one technical certification from Microsoft
3.SY AMCAT report updated because recently it was downloaded from amcat website</t>
  </si>
  <si>
    <t>0220200076</t>
  </si>
  <si>
    <t xml:space="preserve">PRAJYOTI </t>
  </si>
  <si>
    <t>prajyoti731@gmail.com</t>
  </si>
  <si>
    <t>https://www.linkedin.com/in/prajjo/</t>
  </si>
  <si>
    <t>785 A, Himrai , Patil Mala , Kole, 415103</t>
  </si>
  <si>
    <t>A-301, Disha Horizon, opposite to HP petrol pump, Dehu Phata, Alandi.</t>
  </si>
  <si>
    <t>AWS Academy Graduate - AWS Academy Cloud Foundations
Amazon Web Services Cloud Practitioner
Oracle Cloud Infrastructure Foundations 2021 Certified Associate</t>
  </si>
  <si>
    <t>Company: Pristine Accounting and IT Solutions LLP.
Role: Native Android Developer
Period: 6 months
In this internship, I was a part of native android developer team of four members. We developed an application 'Connect4U' (available on google play store). This application is for companies to manage their events, accounts and extra curricular activities. Technologies used to build this application are android, java, firebase, postgresql.</t>
  </si>
  <si>
    <t>Company: Youth India Foundation
Role: MERN Developer
Period: 3 months
I am working on a service called 'Youth India E-School' started by 'Youth India Foundation'. This consist of web application that will provide ease at teaching as well as learning. We are developing different aspects of online education like attendance system,report cards,student information management and student-teacher collaboration etc. Technologies being used in this internship are React JS, Node JS, Figma, Prisma ORM etc.</t>
  </si>
  <si>
    <t>Kid-O-Pedia' an AR application to study rhymes for primary students
'Be-Safe' an Android application for women Safety</t>
  </si>
  <si>
    <t>Codechef chapter MITAOE - Management Team
Project Expo 2022 participation</t>
  </si>
  <si>
    <t>Unnat Bharat Abhiyan Hackahon Winner 2022</t>
  </si>
  <si>
    <t>Lila Poonawalla Foundation Scholarship</t>
  </si>
  <si>
    <t>Persistent Training Internship
Microsoft Azure Fundamental training</t>
  </si>
  <si>
    <t>Kho-kho (State level gold medalist)
Yogasana (District level bronze medalist)
Surya-Namaskara (Winner in competition organized by Arban Club Karad)</t>
  </si>
  <si>
    <t>https://preskilet.com/watch?v=62b3027acd590700045fb4ec</t>
  </si>
  <si>
    <t>https://drive.google.com/open?id=1Jz5VdVRPgRGZ8I7aYrF0hFy08dQhzO77</t>
  </si>
  <si>
    <t>https://drive.google.com/open?id=1qiDI7Eu2rvIqrPQjq2s_OJg3_gUYv2TF</t>
  </si>
  <si>
    <t>https://drive.google.com/open?id=1OU7JjPHOBE6lqxCe80RingEKIN9svD4J</t>
  </si>
  <si>
    <t>https://drive.google.com/open?id=1oBU1GSNZ-d1Thp2Fqr-3oRkEAmZ98ers</t>
  </si>
  <si>
    <t>https://drive.google.com/open?id=19VyNaR9E6Ogq5ATG7Rgqqx9CiuDKwwKf</t>
  </si>
  <si>
    <t>https://drive.google.com/open?id=1zM4KMUfssUfhvlggkgLRYJ4pDo65xaox</t>
  </si>
  <si>
    <t>0220200078</t>
  </si>
  <si>
    <t>atharvajoshi1007@gmail.com</t>
  </si>
  <si>
    <t>www.linkedin.com/in/atharvajoshi10</t>
  </si>
  <si>
    <t>ANAND VISHNU JOSHI</t>
  </si>
  <si>
    <t>MADHU ANAND JOSHI</t>
  </si>
  <si>
    <t>flat no.2 , Kamalpushpa Appt., Gulmohar road, savedi, Ahmednagar-414003</t>
  </si>
  <si>
    <t>Oracle Cloud Infrastructure 1Z0-997-21: Architect Professional 2021</t>
  </si>
  <si>
    <t>Google Data Analytics Specialization Certification</t>
  </si>
  <si>
    <t>Config Solutions, Ahmednagar May 2019 - June 2019 : 
Full stack Developer
Work:
• Task Management-Work Distribution
• Manual Testing of Live Projects
• Database migration and optimization
• Business Analyst and Intelligence
• Backend Development
• Full stack Architecture working
Achievement :- completed with in hand offer of PPO for Full time joining</t>
  </si>
  <si>
    <t>Data Visualization 300+ hours Open Internship with FreeCodeCamp 
As part of this open Internship Program, I built the following projects and got all automated test suites to pass:
Visualize Data with a Bar Chart: solution
Visualize Data with a Scatterplot Graph: solution
Visualize Data with a Heat Map: solution
Visualize Data with a Choropleth Map: solution
Visualize Data with a Treemap Diagram: solution</t>
  </si>
  <si>
    <t>Web Developing Intern with Swapra Technologies from 1 June 2022 to 31 July 2022
Project:
Portfolio site for the organization.</t>
  </si>
  <si>
    <t xml:space="preserve">Government Polytechnic Ahmednagar (Visiting Faculty Billing Software) </t>
  </si>
  <si>
    <t>B.Tech -Minor Project (Smart Attendance System)
B.Tech Major Project (Expressive Text Synthesis)</t>
  </si>
  <si>
    <t>Python, Java, C/C++, C#, HTML, CSS, JavaScript, Dart, PLSQL</t>
  </si>
  <si>
    <t>Android Development (Java/Kotlin), Angular, Spring &amp; Hibernate (Java), Django (Python), Flutter</t>
  </si>
  <si>
    <t>SIH 2022
Coderbytes 2022 (MITAOE)
Coderbyte 2019 (Government Polytechnnic, Ahmednagar)</t>
  </si>
  <si>
    <t>State level Poster Presentation 2020
State Level Science Exhibiition 2015
Blind Coding Runner Up</t>
  </si>
  <si>
    <t>• Currently Performing Lead position in Diploma 
  Alumnus Group for organising small workshops 
for juniors.
• Class Representative of IT Division
• Placement Cell head Assistant at Placement Office of College
• Was Committee Secretary in College for Organizing Annual
Event
• Designed Annual magazine for Diploma college</t>
  </si>
  <si>
    <t>https://preskilet.com/watch?v=62a215c3fed70c00042b6840</t>
  </si>
  <si>
    <t>https://drive.google.com/open?id=1Wx7IzZO4Z18Ovmsz8e0xs-DE5YCGxzZ0</t>
  </si>
  <si>
    <t>https://drive.google.com/open?id=1FK8yk76_4JaLGHffuzg4Vx7E2TeYR05i</t>
  </si>
  <si>
    <t>https://drive.google.com/open?id=1iQ2jLGLu39ou2000a6H8CghSZzcHhV4b</t>
  </si>
  <si>
    <t>https://drive.google.com/open?id=1DZ3qi-Q08KeGAIjR9qfLU7LrQypd8Uq0</t>
  </si>
  <si>
    <t>https://drive.google.com/open?id=16QNLMhP34i8tM3nn9QviGsDhcAamNLJZ</t>
  </si>
  <si>
    <t>https://drive.google.com/open?id=1aTrtdk9nl1sRWdTHq3dATzdE3XK2Rsp_</t>
  </si>
  <si>
    <t>0220200210</t>
  </si>
  <si>
    <t>SATHE</t>
  </si>
  <si>
    <t>sathemayuri52@gmail.com</t>
  </si>
  <si>
    <t>www.linkedin.com/in/mayuri-s-7a2857221</t>
  </si>
  <si>
    <t>ARCHANA</t>
  </si>
  <si>
    <t>Nimgaon(M) Tal. Malshiras Dist. Solapur</t>
  </si>
  <si>
    <t>Alandi Tal. Khed Dist. Pune</t>
  </si>
  <si>
    <t>CS342T - Theory of Computation</t>
  </si>
  <si>
    <t>Palo Alto - Cyber security Foundation</t>
  </si>
  <si>
    <t xml:space="preserve">Project Title : Android based Smart Health Monitoring System
It is an app which suggest diet according to BMI level. It also give water alarm. </t>
  </si>
  <si>
    <t>Celebal Technology as Data Analyst</t>
  </si>
  <si>
    <t>Online Exam System</t>
  </si>
  <si>
    <t>https://preskilet.com/watch?v=62a386eea6956a000460062e</t>
  </si>
  <si>
    <t>https://drive.google.com/open?id=16G9jbRrNMDXcBGdX02QWTdfcLmT4VQwM</t>
  </si>
  <si>
    <t>https://drive.google.com/open?id=1SnJjP5usk2OBzKLiMI2RylI2lf8FVch6</t>
  </si>
  <si>
    <t>https://drive.google.com/open?id=13i20SWrMWLgXgr_zzV-awWBM5-LWCRs6</t>
  </si>
  <si>
    <t>https://drive.google.com/open?id=1EhEN6PsVGj08t1O75EmCxuh8Sk87s9VQ</t>
  </si>
  <si>
    <t>https://drive.google.com/open?id=1DZ-R22g9NE_4SrfZmAGhGF6OuCsciz0D</t>
  </si>
  <si>
    <t>https://drive.google.com/open?id=1FVgWtyZlonrgmdwMMedsf7Vv-GW_NBuy</t>
  </si>
  <si>
    <t>https://drive.google.com/open?id=1Ao6Exj4McW0J_0Waco9n2GrYKgVlLt0p</t>
  </si>
  <si>
    <t>https://drive.google.com/open?id=1m8jy7mcipoFq3V-pnJxbsYQfIvCdEpnV</t>
  </si>
  <si>
    <t>0120190103</t>
  </si>
  <si>
    <t>DATTATRAY</t>
  </si>
  <si>
    <t>gawadeharshadad@gmail.com</t>
  </si>
  <si>
    <t>www.linkedin.com/in/harshada-gawade-ab82a6230</t>
  </si>
  <si>
    <t>DATTATRAY B GAWADE</t>
  </si>
  <si>
    <t>SHALAN D GAWADE</t>
  </si>
  <si>
    <t>Matoshree, At post Dhanore, Alandi-Markal road,Tal-khed,Dist-Pune 412105</t>
  </si>
  <si>
    <t>AS105T-Calculus and Differential Equations
CV102T-Applied Mechanics
CS223L-Computer Graphics
CS224L-Programming Laboratory</t>
  </si>
  <si>
    <t>Zensar Employability Skill Development Programme: Zensar Technologies Ltd.</t>
  </si>
  <si>
    <t>Oracle: Oracle Cloud Infrastructure Foundations 2021 Certified Associate
Infosys Springboard: Introduction to Python
Infosys Springboard: Introduction to Data Science
MathWorks: MATLAB Onramp</t>
  </si>
  <si>
    <t>Microsoft DP-900: Microsoft Azure Data Fundamentals
Infosys Springboard : Learn Spring Boot in 100 steps -Beginner to Expert</t>
  </si>
  <si>
    <t>INTERNSHALA TRAINING Programming with C and C++.</t>
  </si>
  <si>
    <t>Industrial Trainee at Samyak Software, Mumbai. working as Frontend developer.</t>
  </si>
  <si>
    <t>Samyak Software: Web Based ERP Development for Gems and Jewellery Industry .</t>
  </si>
  <si>
    <t>Sponsored project from Samyak Software ,Mumbai: Web Based ERP Development for Gems and Jewellery Industry .</t>
  </si>
  <si>
    <t>Zensar Employability Skill Development Program (Provided by Zensar Technologies Ltd.)</t>
  </si>
  <si>
    <t>Participated and got certify: National Quiz on "Yoga and Meditation" organized by MIT AOE Alandi ,Pune
Participated and got certify: Aptitude test organized by Department of IT, RMD Sinhgad School of Engineering, Warje Pune 58
Participated and got certify: National Science Day Quiz organized by IIC MITAOE Alandi, Pune</t>
  </si>
  <si>
    <t>https://preskilet.com/watch?v=62a39748a6956a0004600996</t>
  </si>
  <si>
    <t>https://drive.google.com/open?id=1K2JhOhq2Hfcff1xjhHrfofC9nQ7JVE0H</t>
  </si>
  <si>
    <t>https://drive.google.com/open?id=1BFAWA4cwwg2T3bTq1ajO97JY-rsjL91n</t>
  </si>
  <si>
    <t>https://drive.google.com/open?id=17_h8Xj3BgrOVvChdGs50SEJEjiBBmr_a</t>
  </si>
  <si>
    <t>https://drive.google.com/open?id=1lrwQ-stbYGHPo9-dLwiiGKsLhWS9JUM2</t>
  </si>
  <si>
    <t>https://drive.google.com/open?id=1diQaWdBRx6saGaRxPfkkVPNPH-TDNxEa</t>
  </si>
  <si>
    <t>https://drive.google.com/open?id=1aSdM73Zv2-3mZSjTROa7erOOhQkYx6Oq</t>
  </si>
  <si>
    <t>https://drive.google.com/open?id=1lnhaOMUCPsmGyChFPYds6y8CY6VTpbwI</t>
  </si>
  <si>
    <t>https://drive.google.com/open?id=1a6u_r5otqRgUwBhn0yxFrgq1nHCaOFNA</t>
  </si>
  <si>
    <t>Educational Certifications: In earlier submission the documents are not in proper sequence.</t>
  </si>
  <si>
    <t>sjkolhe@mitaoe.ac.in</t>
  </si>
  <si>
    <t>0120190176</t>
  </si>
  <si>
    <t>JAYAWANT</t>
  </si>
  <si>
    <t>KOLHE</t>
  </si>
  <si>
    <t>sakshikolhe23@gmail.com</t>
  </si>
  <si>
    <t>www.linkedin.com/in/sakshi-kolhe-</t>
  </si>
  <si>
    <t>JAYAWANT KOLHE</t>
  </si>
  <si>
    <t>BEBI KOLHE</t>
  </si>
  <si>
    <t>Plot no.24 Mathura nagar hsg society kharadi road, Chandan nagar, Pune - 411014</t>
  </si>
  <si>
    <t>Oracle (1Z0-1072-21): Oracle Cloud Infrastructure 2021 Architect associate</t>
  </si>
  <si>
    <t>Oracle (1Z0-1085-21): Oracle Cloud Infrastructure 2021 Foundations Associate
AWS Academy Graduate - AWS Academy Cloud Foundations 
Internshala: Web Development 
MathWorks: MATLAB Onramp
Coursera: Cryptography University of Maryland
Autodesk: Introduction to 3D Modeling</t>
  </si>
  <si>
    <t xml:space="preserve">Internship: Celebal Technologies 
Domain of internship : Cloud Infrastructure 
Time Period: 8 weeks (2 months)
Working on Microsoft Azure
</t>
  </si>
  <si>
    <t xml:space="preserve">Web Application for Multiple Disease Detection using Machine Learning Algorithms </t>
  </si>
  <si>
    <t>https://preskilet.com/watch?v=62bf3cf36fcd0b00049647d0</t>
  </si>
  <si>
    <t>https://drive.google.com/open?id=1kVwfslEEBltW5eiZ46zCQIe1eurBpaP3</t>
  </si>
  <si>
    <t>https://drive.google.com/open?id=162293fl_pZMbIE_LgOf0T9ZF5-AG-LWN</t>
  </si>
  <si>
    <t>https://drive.google.com/open?id=1-EnmqN19iMDumI0R8oIoG2380b47_pu1</t>
  </si>
  <si>
    <t>https://drive.google.com/open?id=14jMBx2a4iT_ruOTyOvy4u625TbmiXgjU</t>
  </si>
  <si>
    <t>https://drive.google.com/open?id=1fsDfSr2PCrC4aSu9_vuz4pnUrilpD2Ux</t>
  </si>
  <si>
    <t>https://drive.google.com/open?id=1JF9zT-DYzWZdxego0QurIrzaIzy7QW0g</t>
  </si>
  <si>
    <t>https://drive.google.com/open?id=1klZn1l73MnOBU8tIeGyNJ4hFgBOppqlU</t>
  </si>
  <si>
    <t xml:space="preserve">SY AMCAT RESULT AND TY AMCAT RESULT 
Earlier the reports of amcat assessment were not available. </t>
  </si>
  <si>
    <t>abhijeet.gandhi@mitaoe.ac.in</t>
  </si>
  <si>
    <t>0220200160</t>
  </si>
  <si>
    <t>GANDHI</t>
  </si>
  <si>
    <t>https://www.linkedin.com/in/abhijeet--gandhi/</t>
  </si>
  <si>
    <t>03, Om Residency, Sangale Lane, Ahmednagar, 414001.</t>
  </si>
  <si>
    <t>06, Nanashree Apartment, Opp. MITAOE, Dehu Road, Alandi, Pune, 412105</t>
  </si>
  <si>
    <t>Incorrect Results</t>
  </si>
  <si>
    <t>Plato Solutions - Machine Learning Engineer</t>
  </si>
  <si>
    <t>Diploma - Autonomous RC car 
BE - Emotion Dependent Text to Speech Synthesis</t>
  </si>
  <si>
    <t>TensorFlow, Unittest</t>
  </si>
  <si>
    <t xml:space="preserve">Datathon - 2022 (Winner)
SIH 2022 (Ongoing)
Paper presentation winner, Topic - Automation </t>
  </si>
  <si>
    <t>Google Developer Student Clubs - Tech Member
IT cricket team player in annual event</t>
  </si>
  <si>
    <t>https://drive.google.com/drive/folders/1Ck3RMVuC-oljqvmjRGG8clahFCGTN3mw?usp=sharing</t>
  </si>
  <si>
    <t>https://drive.google.com/open?id=1xeI7ghTQdO442GhWK6Z3WPnjakwCOq-a</t>
  </si>
  <si>
    <t>https://drive.google.com/open?id=1GcmUx74ClDwXLCoY2VQhmAp80ebR6hql</t>
  </si>
  <si>
    <t>https://drive.google.com/open?id=1iwjej4NTTgfqDDay3tDiGY5IU1Y8toFf</t>
  </si>
  <si>
    <t>https://drive.google.com/open?id=1hOj2XtUe3F3L5fJ1ttK4mjZkr1OsEUEU</t>
  </si>
  <si>
    <t>https://drive.google.com/open?id=13rGrO47oorSeG6Siumo1M9JNqBCMesb7</t>
  </si>
  <si>
    <t>https://drive.google.com/open?id=16dmyvNl24YzTlwi1h0Q79QPU-sUV1IOi</t>
  </si>
  <si>
    <t>pranil.ghatage@mitaoe.ac.in</t>
  </si>
  <si>
    <t>0220200086</t>
  </si>
  <si>
    <t>PRANIL</t>
  </si>
  <si>
    <t>GHATAGE</t>
  </si>
  <si>
    <t>https://www.linkedin.com/in/pranil-ghatage-299882214/</t>
  </si>
  <si>
    <t xml:space="preserve">Katkar building, Injubai Colony, Gargoti, Kolhapur, Maharashtra, 416209 </t>
  </si>
  <si>
    <t>A-301, Disha Horizon, Opposite to Traffic Police station, Alandi, Pune</t>
  </si>
  <si>
    <t>Intern in eSamyak software, Mumbai.
 Working on development of ERP system. This system is been developed for Japanese  erms and Jewelry industry.
Zensar Technologies, India
 Worked as Apprenticeship Taken training on MySql, Core Java, Advance Java, Python.</t>
  </si>
  <si>
    <t>Web Based ERP Development for Germs and Jewellery Industry - Web Based
This project is belonging to E-Samyak Pvt. Ltd company. This is an already developed web application. The developed web application needs to upgrade whit new technology. I am getting tasks related to this project. Because of this project, I am getting a chance to work on industry project and solve real life problems.
Android Based Online police complaint registration Application - Android
An android based application where users can register an online complaint from their mobile. This complaint gets registered in the nearest station to the user. Police can login to this application and can check newly registered complaints. Police can update the status on the application.</t>
  </si>
  <si>
    <t xml:space="preserve">1) In Diploma:- 'Code-war' at Tech Rising 2020 - got 1st price.
2) In Diploma:- C-Challenge Organized by Infonix. - got 1st price.
3) In Diploma:- 'C' contest organized by Softclones 2k20 - got 2nd prize.
4) In MITAOE:- 'DATATHON' National Level Technical Event Organized By Equilibrium MITAOE.  </t>
  </si>
  <si>
    <t>1) In Diploma:- 'Code-war' at Tech Rising 2020 - got 1st price.
2) In Diploma:- C-Challenge Organized by Infonix. - got 1st price.
3) In Diploma:- 'C' contest organized by Softclones 2k20 - got 2nd prize.
4) In MITAOE:- 'DATATHON' National Level Technical Event Organized By Equilibrium MITAOE. - gone to Final Round.</t>
  </si>
  <si>
    <t>Zensar Technologies, India
Taken training on MySql, Core Java, Advance Java, Python.</t>
  </si>
  <si>
    <t>https://preskilet.com/watch?v=62a32b60a6956a00045ffaae</t>
  </si>
  <si>
    <t>https://drive.google.com/open?id=1F1WGETKrz097QWrOzrPy_ydhsG3yNJJ2</t>
  </si>
  <si>
    <t>https://drive.google.com/open?id=1MsiN2NKHI4kYISNVuxEe-Erf9YTN88MW</t>
  </si>
  <si>
    <t>lmpetkule@mitaoe.ac.in</t>
  </si>
  <si>
    <t>0120190419</t>
  </si>
  <si>
    <t>PETKULE</t>
  </si>
  <si>
    <t>lalitpetkule30@gmail.com</t>
  </si>
  <si>
    <t>https://www.linkedin.com/in/lalitpetkule/</t>
  </si>
  <si>
    <t>MANOHAR PETKULE</t>
  </si>
  <si>
    <t>VANMALA PETKULE</t>
  </si>
  <si>
    <t>Gajanan Nagari, Bramhapuri, Tah-Bramhapuri, Dist-Chandrapur, Maharshtra, Pin Code-441206</t>
  </si>
  <si>
    <t>OCI Foundations Associate : Oracle</t>
  </si>
  <si>
    <t>Machine Learning Intern : VIEH Group</t>
  </si>
  <si>
    <t>Cotton Disease Prediction : Web application is designed to detect diseased plant using Transfer Learning which is a Deep Learning Concept.
Sentimental Analysis and Detection of Spam Reviews : A web application which removes the spam and fake reviews according to the algorithm which we have build, Sentimental analysis is done to analyze sentiment.</t>
  </si>
  <si>
    <t>https://drive.google.com/file/d/159COFqO0gQxoMtNOlTP8W6gZ5kVC5dZ9/view?usp=sharing</t>
  </si>
  <si>
    <t>https://drive.google.com/open?id=1EUuRHI53JdvG_MCqOhwpVbTZ65t0q2Hj</t>
  </si>
  <si>
    <t>https://drive.google.com/open?id=1ANnkTmWGehz_KLOJouPEEnk9iEDxofIY</t>
  </si>
  <si>
    <t>aishwarya.chouthe@mitaoe.ac.in</t>
  </si>
  <si>
    <t>0220200151</t>
  </si>
  <si>
    <t xml:space="preserve">AISHWARYA </t>
  </si>
  <si>
    <t xml:space="preserve">UMAKANT </t>
  </si>
  <si>
    <t xml:space="preserve">CHOUTHE </t>
  </si>
  <si>
    <t xml:space="preserve">aishwarya.chouthe@mitaoe.ac.in </t>
  </si>
  <si>
    <t>https://www.linkedin.com/in/aishwarya-chouthe-1a9b3a229</t>
  </si>
  <si>
    <t xml:space="preserve">UMAKANT CHOUTHE </t>
  </si>
  <si>
    <t xml:space="preserve">Sai Bhavan ' , Plot No 1 , Tirupati Nagar , Garkheda Parisar , Isaq Nagar , Aurangabad </t>
  </si>
  <si>
    <t xml:space="preserve">Oracle Certified Foundation Associate </t>
  </si>
  <si>
    <t xml:space="preserve">AWS practitioner  , OCI Solution Architects </t>
  </si>
  <si>
    <t xml:space="preserve">Project title is Smart Interactive Farmer Bot . We have developed python based Chabot software for farmers where farmers can ask queries and the software will provide solutions the software will take the help of API’s to answer the questions regarding the weather predictions and for other queries the software will provide 
answers by using a data set and processing the historic data given in it to predict the conditions.
Currently we have developed for just 
Writing queries in English language only but in Future will also going to devloped by using regionals language as well as will be trying to developed voice recognition with any language that will be better for farmers who don't know English </t>
  </si>
  <si>
    <t xml:space="preserve">Industrial Pollution Monitoring System </t>
  </si>
  <si>
    <t>https://preskilet.com/aishwarya.chouthe@mitaoe.ac.in</t>
  </si>
  <si>
    <t>https://drive.google.com/open?id=1NImdTz8r-NpcXs3yz_ESt3lucmwdNzbx</t>
  </si>
  <si>
    <t>https://drive.google.com/open?id=1OBI8-6LL_NrgV6OrdLdvZ32KvOy_ZPVy</t>
  </si>
  <si>
    <t>https://drive.google.com/open?id=1CmU-eNNOYKRhVWSw77Vln1gB4GAm7Z0c</t>
  </si>
  <si>
    <t>kunal.shinde@mitaoe.ac.in</t>
  </si>
  <si>
    <t>0220200179</t>
  </si>
  <si>
    <t>https://www.linkedin.com/in/kunal-shinde-1b17a2205/</t>
  </si>
  <si>
    <t>flat no 1,ganesh complex,om sai nagar ,ambegaon pathar , katraj ,pune-46</t>
  </si>
  <si>
    <t xml:space="preserve"> Oracle Cloud Infrastructure certified foundations associate</t>
  </si>
  <si>
    <t>Esamyak E-commerce website</t>
  </si>
  <si>
    <t>SMART GARBAGE MONITORING SYSTEM</t>
  </si>
  <si>
    <t>1st Prize winner in UBA Hackathon for Rural Development</t>
  </si>
  <si>
    <t>1)Part of Cricket Team</t>
  </si>
  <si>
    <t>https://preskilet.com/watch?v=62a33f2ca6956a00045ffc76</t>
  </si>
  <si>
    <t>https://drive.google.com/open?id=1gQZrQVKY08k_UJPY2bGWVzeUHfF1D5wP</t>
  </si>
  <si>
    <t>https://drive.google.com/open?id=1TXSWhMFlQp44Dc4O6e21hBJvBQSCJDgA</t>
  </si>
  <si>
    <t>Department selection as it was not selected</t>
  </si>
  <si>
    <t>niraj.dete@mitaoe.ac.in</t>
  </si>
  <si>
    <t>0220200229</t>
  </si>
  <si>
    <t>NIRAJ</t>
  </si>
  <si>
    <t>DETE</t>
  </si>
  <si>
    <t>https://www.linkedin.com/in/niraj-dete-512aaa223</t>
  </si>
  <si>
    <t>sr no. 51 plot no. 240 bhairav nagar, dhanori road, pune</t>
  </si>
  <si>
    <t>Microsoft AZ-900: Microsoft Azure</t>
  </si>
  <si>
    <t>Oracle Cloud Infrastructure 2021 Architect Associate
AWS Academy Graduate - AWS Academy Cloud Foundations</t>
  </si>
  <si>
    <t xml:space="preserve">Cloud computing 
Company: QSET technology </t>
  </si>
  <si>
    <t>Kid-O-pedia (AR application for students)</t>
  </si>
  <si>
    <t>React.js (JavaScript/Typescript), Angular, Laravel (PHP), Spring &amp; Hibernate (Java)</t>
  </si>
  <si>
    <t>AutoCAD, Fusion 360, CATIA, Adobe XD</t>
  </si>
  <si>
    <t xml:space="preserve">UBA Hackathon for Rural Development Winner
Participation in MIT-AOE project Expo
</t>
  </si>
  <si>
    <t>Basketball interzonal (Maharashtra state) - Winner
Basketball zonal (Pune D2 division) - Winner
Basketball zonal (Pune D2 division) - Runner-up
Zeal state level basketball tournament - Winner</t>
  </si>
  <si>
    <t>Executive Member at ASSCET- MIT AOE</t>
  </si>
  <si>
    <t>https://preskilet.com/watch?v=62a34b87a6956a00045ffdb8</t>
  </si>
  <si>
    <t>https://drive.google.com/open?id=11xhfhZFFi4awfRahTY8hT8Dsimk3A1a1</t>
  </si>
  <si>
    <t>https://drive.google.com/open?id=16xhQSnLqAccxw3GKUVOlGRR9jH_CG_kE</t>
  </si>
  <si>
    <t>https://drive.google.com/open?id=1ppcpUw8unDkTKFnvHa-LItXhKbiKAAjA</t>
  </si>
  <si>
    <t>swaraj.kurapati@mitaoe.ac.in</t>
  </si>
  <si>
    <t>0220200070</t>
  </si>
  <si>
    <t>SWARAJ</t>
  </si>
  <si>
    <t>PRAVINKUMAR</t>
  </si>
  <si>
    <t>KURAPATI</t>
  </si>
  <si>
    <t>www.linkedin.com/in/swaraj-kurapati23</t>
  </si>
  <si>
    <t>PADMA</t>
  </si>
  <si>
    <t>33/3/59 NEW PACCHA PETH , SAIBABA CHOWK , SOLAPUR 413006</t>
  </si>
  <si>
    <t xml:space="preserve">Palo Alto  -  Fundamentals of Cyber security
Fortinet  -  NSE 1  and NSE 2 Network Security Associate </t>
  </si>
  <si>
    <t>Cyber Security Analyst at Cyber Vidyapeeth Foundation</t>
  </si>
  <si>
    <t>Women Security Android Application
Stock Market Prediction using Data Science Approach</t>
  </si>
  <si>
    <t>Android Development (Java/Kotlin), Angular, Django (Python), Flask (Python)</t>
  </si>
  <si>
    <t>Tech Member at TEDxMITAOE
Executive Member at ASSCET MITAOE
Team Member of Saksham Foundation</t>
  </si>
  <si>
    <t>DIPEX State level competition participated</t>
  </si>
  <si>
    <t>IDEATHON Event Participated
Workshop attended on Cyber Security awareness
Workshop attended on Calligraphy</t>
  </si>
  <si>
    <t>https://preskilet.com/watch?v=62a3731fa6956a00046001ff</t>
  </si>
  <si>
    <t>https://drive.google.com/open?id=1-axGusp-AK6NHSRbPRdv4pjtK0CEL1tK</t>
  </si>
  <si>
    <t>https://drive.google.com/open?id=1E2g3uuq0lj95ycuK9Iom4Y1YuF0NEPYB</t>
  </si>
  <si>
    <t>https://drive.google.com/open?id=1HTIC0ZALsE-vWZgU0EahOvDWNF_9rKFe</t>
  </si>
  <si>
    <t>https://drive.google.com/open?id=1VGTzQ4_gLp4GZF9jewnKXp8eOfWY0gk7</t>
  </si>
  <si>
    <t>https://drive.google.com/open?id=1glTtzCjPztxwb_XtT24HkDMzm-KVuwzQ</t>
  </si>
  <si>
    <t>https://drive.google.com/open?id=1fHuDcQl8tYh6Z9h3Qim7DJgG3TCPrs71</t>
  </si>
  <si>
    <t>https://drive.google.com/open?id=1kkE-zoilZJwETG_1Dr1jOIWUdpxp6YZB</t>
  </si>
  <si>
    <t>https://drive.google.com/open?id=1NVN5gUiYlkjRdcfJS6ldKw1qIL_zWpBZ</t>
  </si>
  <si>
    <t xml:space="preserve">Internship certificate : Updated one 
Educational certificate : Formatted properly
Technical certificate : delay in certificates
SY Amcat : unable to download report  
TY Amcat : unable to download report </t>
  </si>
  <si>
    <t>tdkathane@mitaoe.ac.in</t>
  </si>
  <si>
    <t>0120190157</t>
  </si>
  <si>
    <t>DILIPRAO</t>
  </si>
  <si>
    <t>KATHANE</t>
  </si>
  <si>
    <t>tanmaykathane68@gmail.com</t>
  </si>
  <si>
    <t>https://www.linkedin.com/in/tanmay-kathane-05682b204?lipi=urn%3Ali%3Apage%3Ad_flagship3_profile_view_base_contact_details%3BIaDvSnX8RWie%2BfITx3whJg%3D%3D</t>
  </si>
  <si>
    <t>DILIPRAO KATHANE</t>
  </si>
  <si>
    <t>PRATIBHA KATHANE</t>
  </si>
  <si>
    <t>Saneguruji nagar ward no03 near arvi naka wardha 442001</t>
  </si>
  <si>
    <t xml:space="preserve">AWS ACADEMY GRADUATE - AWS ACADEMY CLOUD FOUNDATION </t>
  </si>
  <si>
    <t>Microsoft AI Azure Fundamental</t>
  </si>
  <si>
    <t>INDUSTRIAL
TRAINING/INTERNSHIP ON “IOT” CONDUCTED BY ENOVATE SKILL VIA ICT
MODE. HIS/HER PERFORMANCE IN THE TRAINING IS RATED HIGH.</t>
  </si>
  <si>
    <t>Web Development trainings/internship on Internshala.</t>
  </si>
  <si>
    <t xml:space="preserve">Internship at VIEH Group </t>
  </si>
  <si>
    <t xml:space="preserve">Color Theory </t>
  </si>
  <si>
    <t>https://preskilet.com/watch?v=62b548c0af4f2700045cdad4</t>
  </si>
  <si>
    <t>https://drive.google.com/open?id=1BVbe3sZGtI8I3pQhpLWS7XhddMNCTEfU</t>
  </si>
  <si>
    <t>https://drive.google.com/open?id=1FPS3QH48UBDG4JVi4rLeRPpRa1hQnsn3</t>
  </si>
  <si>
    <t>https://drive.google.com/open?id=1JoIeJfA8m2kC9KZ2cwUxAtRXyf6RRJwT</t>
  </si>
  <si>
    <t>https://drive.google.com/open?id=1eTPjS_6Q4RB206gYWRRiZCTsFGtpWC9a</t>
  </si>
  <si>
    <t>https://drive.google.com/open?id=1IgTcCLg2ydK7OGb4xvlGxbZvhYAleSSQ</t>
  </si>
  <si>
    <t>https://drive.google.com/open?id=1fYJ1SehiA8O2RuPtOQK9y05m5HIvqa7d</t>
  </si>
  <si>
    <t>Not updated certifications.</t>
  </si>
  <si>
    <t>omnehere@mitaoe.ac.in</t>
  </si>
  <si>
    <t>0120190158</t>
  </si>
  <si>
    <t>NEHERE</t>
  </si>
  <si>
    <t>omkarnehere18@gmail.com</t>
  </si>
  <si>
    <t>https://www.linkedin.com/in/omkar-nehere-8933b71ab</t>
  </si>
  <si>
    <t>Niraj apartment, jaihind colony, sambhaji nagar, bhosari pune 411039</t>
  </si>
  <si>
    <t xml:space="preserve">"AS106T - Engineering Physics"
"CS101T - Logical Development - C Programming"
"EX102T - Electrical and Electronics Engineering"
"ME104T - Engineering Graphics"
"CS361T - PROJECT MANAGEMENT"
</t>
  </si>
  <si>
    <t>Microsoft  AZ-900: Microsoft Azure Fundamentals</t>
  </si>
  <si>
    <t>Infosys springboard : Programming using java
AWS Academy Graduate - AWS Academy Cloud Foundations</t>
  </si>
  <si>
    <t>Python Data structure certification</t>
  </si>
  <si>
    <t>SQL for Data Science certification</t>
  </si>
  <si>
    <t>VIEH Group : Employee Attrition Prediction</t>
  </si>
  <si>
    <t>Pulmonary nodule detection using 3D CNN with Adaboost</t>
  </si>
  <si>
    <t>winner in kabaddi.
Volunteering in sports events.</t>
  </si>
  <si>
    <t>https://preskilet.com/watch?v=62b461ce30b2800004523299</t>
  </si>
  <si>
    <t>https://drive.google.com/open?id=1YdR41T2bKndkF2be5oymyFsKgzi9nI_h</t>
  </si>
  <si>
    <t>https://drive.google.com/open?id=117U6pLfdyZIy2jZ9AmjC0ZEkKRHW4PBZ</t>
  </si>
  <si>
    <t>https://drive.google.com/open?id=1a15gGy_v01xx6rTuHuqImzOD40y4tvah</t>
  </si>
  <si>
    <t>https://drive.google.com/open?id=1P7hPDmp4BhB3PHYQPsq0JZWTDuglKpII</t>
  </si>
  <si>
    <t>https://drive.google.com/open?id=1gWhjtFsQavd5sAVrr-U26DHML6xSgmJM</t>
  </si>
  <si>
    <t>https://drive.google.com/open?id=1kINJOANjF9luRQEl-4B3OGT7QgcR3sy0</t>
  </si>
  <si>
    <t>https://drive.google.com/open?id=1ZuJs_P_Ktob40hlM_NIPtIu1En0fkYMm</t>
  </si>
  <si>
    <t>i had uploaded the screenshot of amcat result</t>
  </si>
  <si>
    <t>0120190143</t>
  </si>
  <si>
    <t>KALURAM</t>
  </si>
  <si>
    <t>atharvkad9922@gmail.com</t>
  </si>
  <si>
    <t>https://www.linkedin.com/in/atharv-kad-a41a301a6</t>
  </si>
  <si>
    <t>KALURAM DNYANESHWAR KAD</t>
  </si>
  <si>
    <t>VAIJAYANTI KALURAM KAD</t>
  </si>
  <si>
    <t>G NO-337 Santoshnagar, Khed ,Pune Waki bk 410501.</t>
  </si>
  <si>
    <t>AS106T ENGINEERING PHYSICS
AS105T CALCULUS AND DIFFERENTIAL EQUATIONS
EX102T ELECTRICAL AND ELECTRONICS ENGINEERING</t>
  </si>
  <si>
    <t>Infosys springboard : Programming using java</t>
  </si>
  <si>
    <t>AWS - AWS Academy Cloud Foundations</t>
  </si>
  <si>
    <t>Microsoft AZ-900 :  Microsoft Azure fundamentals</t>
  </si>
  <si>
    <t>Python Data structure certification.</t>
  </si>
  <si>
    <t>SQL For Data-science certification</t>
  </si>
  <si>
    <t>Pulmonary nodule detection using 3D CNN with Adaboost.</t>
  </si>
  <si>
    <t>Volunteering in cultural event.
Participation in Fashion show Nakshtra.
Participation in sport event.</t>
  </si>
  <si>
    <t>https://preskilet.com/watch?v=62b4a02c30b2800004523652</t>
  </si>
  <si>
    <t>https://drive.google.com/open?id=1pcErPkwa5SRz025mB6Nyq0_5pwvYfeGj</t>
  </si>
  <si>
    <t>https://drive.google.com/open?id=1xI8RDYSSNrQkjFeXzNXi04ET6r6hW6dv</t>
  </si>
  <si>
    <t>https://drive.google.com/open?id=1061kRAw48Igd5TGnxiBgzO9OmbI1Ax6W</t>
  </si>
  <si>
    <t>https://drive.google.com/open?id=1BhLKsI4t8WqpGCHrOsgp6H8oHCDcRAvn</t>
  </si>
  <si>
    <t>https://drive.google.com/open?id=1iH-m7pSecrjtJAARXYZIWYtKHXPF_TlL</t>
  </si>
  <si>
    <t>https://drive.google.com/open?id=1cxSMA0op2GBflgraUWRzwEcaEvDgo5QC</t>
  </si>
  <si>
    <t>https://drive.google.com/open?id=1lL1r7tyCc62shMyJZkTjv60ZE_Fi2XCZ</t>
  </si>
  <si>
    <t>https://drive.google.com/open?id=1UaL2wXN6nK_prK7M2NZbQP6cxTDtZFCg</t>
  </si>
  <si>
    <t xml:space="preserve">Uploaded the screenshot of AMCAT result before now uploaded the downloaded report from amcat website and one more technical certification added </t>
  </si>
  <si>
    <t>ajpawar@mitaoe.ac.in</t>
  </si>
  <si>
    <t>0120190160</t>
  </si>
  <si>
    <t xml:space="preserve">ADARSH </t>
  </si>
  <si>
    <t xml:space="preserve">JAGDISH </t>
  </si>
  <si>
    <t>adarshpawar30@gmail.com</t>
  </si>
  <si>
    <t>https://www.linkedin.com/in/adarsh-pawar-1959851a7</t>
  </si>
  <si>
    <t xml:space="preserve">JAGDISH PAWAR </t>
  </si>
  <si>
    <t xml:space="preserve">SUJATA PAWAR </t>
  </si>
  <si>
    <t>B.U Bhandari Skyline, Plot No-64, A-1,dighi,dutta nagar,pune-411015</t>
  </si>
  <si>
    <t xml:space="preserve">CV102T-Applied Mechanics
AS105T-Calculus and Differential equations </t>
  </si>
  <si>
    <t xml:space="preserve">On-going </t>
  </si>
  <si>
    <t>Programming with Python course - Internshala</t>
  </si>
  <si>
    <t>Suven Consultants &amp; Technology Pvt Ltd.</t>
  </si>
  <si>
    <t>UI/UX technologies using bootstrap for building websites similar to tutorials point or other education sites.</t>
  </si>
  <si>
    <t>To create a unique human identification system using django.</t>
  </si>
  <si>
    <t>React.js (JavaScript/Typescript), Angular, Laravel (PHP), Spring &amp; Hibernate (Java), Django (Python)</t>
  </si>
  <si>
    <t>1.Python Data Structures-Coursera
2.CSS-Coursera
3.HTML-Coursera</t>
  </si>
  <si>
    <t>1.Introduction to 3D modelling - Autodesk design Academy
2."Online e-Quiz Program" on Engineering Mechanics organized by “Department of 
Engineering Sciences” in Marathwada Mitra Mandal Institute of Technology.
3.MATLAB on-ramp course.</t>
  </si>
  <si>
    <t>https://preskilet.com/watch?v=62b4b97530b28000045238a5</t>
  </si>
  <si>
    <t>https://drive.google.com/open?id=1V4Ty9bujUdjCxHZ-SpjtfxdF6B_kRWqf</t>
  </si>
  <si>
    <t>https://drive.google.com/open?id=1voxpNRMleD3RUW2iDxXnThpnRFzhXkYD</t>
  </si>
  <si>
    <t>https://drive.google.com/open?id=105wE3MudpGw-zEIhSbkFecsYE9TK3MT7</t>
  </si>
  <si>
    <t>https://drive.google.com/open?id=1H_NVDxb1RK6wyB9PstVNMXQR9WLdWai3</t>
  </si>
  <si>
    <t>https://drive.google.com/open?id=1qwGlluInGnb2YwGYVD8tr-og1Ilklkm8</t>
  </si>
  <si>
    <t>https://drive.google.com/open?id=18KNUcHUiBOBjVJsKFdCGZAOZdAQ9oTPZ</t>
  </si>
  <si>
    <t>0120190079</t>
  </si>
  <si>
    <t>DEVENDRA</t>
  </si>
  <si>
    <t>SHEGOKAR</t>
  </si>
  <si>
    <t>shegokarrohan@gmail.com</t>
  </si>
  <si>
    <t>http://linkedin.in/in/nikhilshegokar</t>
  </si>
  <si>
    <t>DEVENDRA SHEGOKAR</t>
  </si>
  <si>
    <t>VANDANA SHEGOKAR</t>
  </si>
  <si>
    <t>Prathamesh Apts, Sector 5, Airoli, Navi Mumbai 400708</t>
  </si>
  <si>
    <t xml:space="preserve"> OCI 2022 Foundations Associate Certification</t>
  </si>
  <si>
    <t>Video Editor - MITAOE Placement Cell</t>
  </si>
  <si>
    <t>ML Intern @ Phoenixgen Systems Pvt Ltd
- Development of ML and DL algorithm for predictive analysis of stock price action on a real time basis.
- Data outsourcing from technical as well as fundamental stock analysis sources, deduction of key business insights.
- Deploying ML models and Deep neural networks in python development environment.
- Back Testing on cloud machine-learning platforms on a real time basis.
- Trading Strategy Formulation.
Research Intern @ University of East Anglia, UK
- Studied the effects of gamification on the yield and quality of responses from first year undergraduate students.
- Developed required python applications, a web-based game for the test.
- Conducted seminars for gathering data from hundreds of students.
- Studied patterns and trends found to predict an occupation, given the user's traits.</t>
  </si>
  <si>
    <t>ML Intern @ YourMauka
Developing ML Applications as necessary (currently undergoing)</t>
  </si>
  <si>
    <t xml:space="preserve">Development of Platform to Conduct Private Artificial Intelligence (Split Learning, Developed by the MIT Media Lab)
Development of an easy to navigate platform for commoners to conduct confidential machine learning. The project aims to eliminate the risks associated with sending personal and confidential data to data servers for training and testing. This risk is bypassed by having the data never leaving the users' device. </t>
  </si>
  <si>
    <t>Django (Python), Flask (Python), Express.js</t>
  </si>
  <si>
    <t>Figma, Adobe XD, MySQL, Docker, Apache Airflow, Advanced Excel</t>
  </si>
  <si>
    <t>2nd Runner-Up at National-Level Event Datathon 2022, Equillibrium
Working as mentor, providing AIML Internships to Second Year students
Completed Advanced Computer Vision with Tensorflow - from Coursera - Deeplearning.AI</t>
  </si>
  <si>
    <t>2nd Runner-Up at National-Level Event Datathon 2022, Equillibrium</t>
  </si>
  <si>
    <t xml:space="preserve">Working as head of Japanese Language Club in college, conducted seminars creating awareness about life and opportunities in Japan.
Also currently collaborating with overseas universities to conduct events, for cultural exchanges. </t>
  </si>
  <si>
    <t>https://preskilet.com/watch?v=62bde3a19535010004fd2ba8</t>
  </si>
  <si>
    <t>https://drive.google.com/open?id=13uJjcp2zpf8iUFG83cV93Tm0JC7AtNn9</t>
  </si>
  <si>
    <t>https://drive.google.com/open?id=1zzmtSeVaMSrFCeiExpCpKBgpOJN8bzsT</t>
  </si>
  <si>
    <t>https://drive.google.com/open?id=1veZdcVYQDnceZhf3id1EgnsFYm4ylduD</t>
  </si>
  <si>
    <t>https://drive.google.com/open?id=1cQnEcnEHhdZdIgZVXGAZCX5F2H6GQj8X</t>
  </si>
  <si>
    <t>https://drive.google.com/open?id=1IpE-3kRSGuf5N7qIItgiVNBt4lsL5mHh</t>
  </si>
  <si>
    <t>Technical certification, because azure AI exam is on 28 July and it would be too late for that. Hence doing OCI instead. Updated Preskillet Video Link</t>
  </si>
  <si>
    <t>BODKE</t>
  </si>
  <si>
    <t>adityabodke06@gmail.com</t>
  </si>
  <si>
    <t>https://www.linkedin.com/in/aditya-bodke-b03126236</t>
  </si>
  <si>
    <t>ARUN GANPAT BODKE</t>
  </si>
  <si>
    <t>SARLA ARUN BODKE</t>
  </si>
  <si>
    <t>3, Unique Park , Siddheshwar Nagar , Jail Road, Nashik Road, Nashik, 422101</t>
  </si>
  <si>
    <t xml:space="preserve">In Process </t>
  </si>
  <si>
    <t>Responsive Web Page Development : FreeCodeCamp</t>
  </si>
  <si>
    <t xml:space="preserve">Interning at Nill Sagar Dream Planet PVT LTD as a web development trainee for 4 weeks </t>
  </si>
  <si>
    <t>Automatic query generation using passage classification to retrieve PPI
verification techniques</t>
  </si>
  <si>
    <t>Python, Java, C/C++, C#, HTML, CSS, JavaScript, PHP, Kotlin</t>
  </si>
  <si>
    <t>I had participated in the Firodiya Competition, held in Pune, as an Actor in the college team.</t>
  </si>
  <si>
    <t>https://preskilet.com/aabodke@mitaoe.ac.in</t>
  </si>
  <si>
    <t>https://drive.google.com/open?id=1d3WvuXb6JCAI43msutF89EPkuravLy8H</t>
  </si>
  <si>
    <t>https://drive.google.com/open?id=1ZFIDgn8UuS7mqshXBpgjEXoXIiZbtpp_</t>
  </si>
  <si>
    <t>https://drive.google.com/open?id=1oiXGSwM4R9PdJrD2hY7-Igom7Y-HUo-h</t>
  </si>
  <si>
    <t>https://drive.google.com/open?id=1JyYagXYf3lZEJoKHVmwSaD39mStvbn4g</t>
  </si>
  <si>
    <t>https://drive.google.com/open?id=1W7J5njs41ppDRxKKcDCMpIaZJ26tjihH</t>
  </si>
  <si>
    <t>https://drive.google.com/open?id=1a_mhm4Exhu_PiFqGv-oVpZJha1zabP4c</t>
  </si>
  <si>
    <t>https://drive.google.com/open?id=1V_oRS7iTh60AG76HPruS9lLVppfBEuPH</t>
  </si>
  <si>
    <t>https://drive.google.com/open?id=1MQg-F04LhkUU-Z_fz7pZim2889e67iVH</t>
  </si>
  <si>
    <t xml:space="preserve">I updated the status of technical certification as I am in the process of completing it. </t>
  </si>
  <si>
    <t>0120190573</t>
  </si>
  <si>
    <t>SNEHA</t>
  </si>
  <si>
    <t>KHARATE</t>
  </si>
  <si>
    <t>snehalkharate4@gmail.com</t>
  </si>
  <si>
    <t>https://www.linkedin.com/in/sneha-kharate-a54286213</t>
  </si>
  <si>
    <t>D-22 Vishwakarmanagar susroad pashan pune 21</t>
  </si>
  <si>
    <t>T-10 om shanti complex, vighnaharta chowk, susroad pashan</t>
  </si>
  <si>
    <t>AS105T - calculus and differential equations
EX102T - electrical and electronics engineering</t>
  </si>
  <si>
    <t>AZ-900 Microsoft Azure Fundamentals</t>
  </si>
  <si>
    <t>Aashmaan foundation for widows as a management intern</t>
  </si>
  <si>
    <t>Codekul pvt ltd as a Web developer intern</t>
  </si>
  <si>
    <t>U-SMART AI as cloud computing Intern</t>
  </si>
  <si>
    <t>smart grading and feedback system using machine learning</t>
  </si>
  <si>
    <t xml:space="preserve">firodia karandak </t>
  </si>
  <si>
    <t>https://drive.google.com/file/d/1q_Fli0jDKBG58gsbuNQXhXaZ5jmde28Z/view?usp=sharing</t>
  </si>
  <si>
    <t>https://drive.google.com/open?id=15_hH4T3panFHHy1e-U2Jih92_FuYJYKa</t>
  </si>
  <si>
    <t>https://drive.google.com/open?id=17Swufh97E988scwbpS2RlQvFhzhdOIAZ</t>
  </si>
  <si>
    <t>https://drive.google.com/open?id=1zzKjTZDFli5GeAZ5K3C3hNmz73mo8KLG</t>
  </si>
  <si>
    <t>https://drive.google.com/open?id=1In68lWaJvlOGDfe5iJ7p1rLQYuTH-zJt</t>
  </si>
  <si>
    <t>https://drive.google.com/open?id=1lKxOjfgJ-1KSRuvn_pp9XkqFeI_7L4nU</t>
  </si>
  <si>
    <t>https://drive.google.com/open?id=1Y5QZLkvFqy_5QmEfMdGq4-JDeMyo39TY</t>
  </si>
  <si>
    <t>0120190603</t>
  </si>
  <si>
    <t xml:space="preserve">MUSKAN </t>
  </si>
  <si>
    <t>KUMARI</t>
  </si>
  <si>
    <t>singhmuskan21520@gmail.com</t>
  </si>
  <si>
    <t>http://www.linkedin.com/in/muskan-kumari-304b71217</t>
  </si>
  <si>
    <t>NIRAJ KUMAR</t>
  </si>
  <si>
    <t>ROYAL RESDENCE HARNICHAK ,ANISADBAD, PATNA,BIHAR</t>
  </si>
  <si>
    <t xml:space="preserve">
ROYAL RESDENCE HARNICHAK ,ANISADBAD, PATNA,BIHAR
</t>
  </si>
  <si>
    <t xml:space="preserve"> CS347L-Design Analysis of Algorithm
CS-342T-Theory of Coumputation</t>
  </si>
  <si>
    <t>Data Base Management System Lab
Science Of Nature Lab
Engineering Graphics Lab 
Programming with C</t>
  </si>
  <si>
    <t>Programming with java Infosys Springboard</t>
  </si>
  <si>
    <t>Data Science-Intershala
AWS Academy Graduate - AWS Academy Cloud Foundations</t>
  </si>
  <si>
    <t>AZ-900: Microsoft Azure Fundamentals
Django- Infosys Springboard</t>
  </si>
  <si>
    <t>VIEH GROUPS- MAChine Learning Domain</t>
  </si>
  <si>
    <t>Steganography</t>
  </si>
  <si>
    <t>Python, HTML, CSS, JavaScript, Dart</t>
  </si>
  <si>
    <t>Executive Member- Mozilla Club
Secretory- Mozilla Club</t>
  </si>
  <si>
    <t>Cyber Security bootcamp by shapeai</t>
  </si>
  <si>
    <t>https://preskilet.com/watch?v=62b5594baf4f2700045cdd29</t>
  </si>
  <si>
    <t>https://drive.google.com/open?id=13br3mmG8tXm6fPrxo-YfHNOld-41igbW</t>
  </si>
  <si>
    <t>https://drive.google.com/open?id=13szX7EQ0PlKPBrTFZf23YAfbqhhVQhpj</t>
  </si>
  <si>
    <t>https://drive.google.com/open?id=1bc4udQErBbFS5NLr-RFo08nsYpeiWE1v</t>
  </si>
  <si>
    <t>0120190554</t>
  </si>
  <si>
    <t>ANJANI</t>
  </si>
  <si>
    <t>NANDAN</t>
  </si>
  <si>
    <t>anjaninandan1234@gmail.com</t>
  </si>
  <si>
    <t>https://www.linkedin.com/in/anjani-nandan-107a701a4/</t>
  </si>
  <si>
    <t>ASHOK KUMAR OJHA</t>
  </si>
  <si>
    <t>KARUNA OJHA</t>
  </si>
  <si>
    <t>B-151,Police Colony,Anisabad,Patna-2</t>
  </si>
  <si>
    <t>psaydan boys hotel,infornt of mitaoe gate,near atithi hotel,room no.5</t>
  </si>
  <si>
    <t>CS101L - LOGIC DEVELOPMENT - C PROGRAMMING</t>
  </si>
  <si>
    <t xml:space="preserve">
Palo Alto Networks: Cybersecurity Foundation 
</t>
  </si>
  <si>
    <t>Vieh group cyber security image encryption based Project</t>
  </si>
  <si>
    <t>Image Encrpytion</t>
  </si>
  <si>
    <t xml:space="preserve">Kabbadi,singing </t>
  </si>
  <si>
    <t>https://preskilet.com/anjaninandan1234@gmail.com</t>
  </si>
  <si>
    <t>https://drive.google.com/open?id=1jg3ET7-zzGJ0V357NnOWaAevhmtFiwAe</t>
  </si>
  <si>
    <t>https://drive.google.com/open?id=1QjDc50DhJiKkb82aE9croZYruCf_Bapo</t>
  </si>
  <si>
    <t>https://drive.google.com/open?id=1P7aUkpRcJK-xyYi7CXI3dQMwX1A7iFtk</t>
  </si>
  <si>
    <t>https://drive.google.com/open?id=1Hu6fN6RKJ-4jGPdOuZN6z3L7WkR24k6v</t>
  </si>
  <si>
    <t>kumarabhishek@mitaoe.ac.in</t>
  </si>
  <si>
    <t>0120190325</t>
  </si>
  <si>
    <t>abhishekkumarraj838@gmail.com</t>
  </si>
  <si>
    <t>Kumarabhishek@mitaoe.ac.in</t>
  </si>
  <si>
    <t>https://www.linkedin.com/in/abhishek-kumar-168823106</t>
  </si>
  <si>
    <t>ABHINANDAN KUMAR MANDAL</t>
  </si>
  <si>
    <t>KUMARI MALA</t>
  </si>
  <si>
    <t>TAPUA TOLA, CHOUSA(852213),MADHEPURA, BIHAR</t>
  </si>
  <si>
    <t xml:space="preserve">AASRA GYANTHIRTH ALANDI, MAHARASHTRA </t>
  </si>
  <si>
    <t xml:space="preserve">. </t>
  </si>
  <si>
    <t xml:space="preserve">I have done oracle cloud certification </t>
  </si>
  <si>
    <t xml:space="preserve">I was done SY summer Internship at monk bike </t>
  </si>
  <si>
    <t>Android Development (Java/Kotlin), Angular, Laravel (PHP)</t>
  </si>
  <si>
    <t>https://preskilet.com/watch?v=62b9777dbd2b77000426767d</t>
  </si>
  <si>
    <t>https://drive.google.com/open?id=1L93X4fJgY6_1Kx6UqukWReY2VKCiRAfO</t>
  </si>
  <si>
    <t>https://drive.google.com/open?id=1xFUHioS_SEadHKB14irz92HZVINKq5ge</t>
  </si>
  <si>
    <t>https://drive.google.com/open?id=1v_MkaZJDbJ8pgB16LkmgAr-ZHj7dVmEr</t>
  </si>
  <si>
    <t>https://drive.google.com/open?id=1J3TGwc2eTn-uD2y2f13lwR86s5oP4oUt</t>
  </si>
  <si>
    <t>https://drive.google.com/open?id=1eDULvu-UEYRuYZhV4pvHCJMaOrV6XCel</t>
  </si>
  <si>
    <t>https://drive.google.com/open?id=1Uq7IPY0UwVyvmBOK_saUsqj9anP2F-ol</t>
  </si>
  <si>
    <t>I'm not did any update</t>
  </si>
  <si>
    <t>0120190615</t>
  </si>
  <si>
    <t>RANE</t>
  </si>
  <si>
    <t>yashprane16@gmail.com</t>
  </si>
  <si>
    <t>www.linkedin.com/in/yashrane16</t>
  </si>
  <si>
    <t>PRANJALI</t>
  </si>
  <si>
    <t>101,DEVASHREE APARTMENT,NEAR ISCKON TEMPLE,RATHI NAGAR,AMRAVATI,PIN-444604</t>
  </si>
  <si>
    <t>809, Punyavastu Apartment By Triaa Housing,alandi Road,choviswadi,vishrantwadi,pune</t>
  </si>
  <si>
    <t>AS105T CALCULUS AND DIFFERENTIAL EQUATIONS
AS106T ENGINEERING PHYSICS
ME104T ENGINEERING GRAPHICS</t>
  </si>
  <si>
    <t>Oracle Cloud Infrastructure 2022 Foundations Associate (1Z0-1085-22)</t>
  </si>
  <si>
    <t>Web Development 
Android App Development</t>
  </si>
  <si>
    <t>Project- "Online Platform for Entrepreneurs and Investors to Collaborate in Startups"
This is the website which will bring Investors and Entrepreneurs together so that they can start their business startup. Entrepreneurs can submit their Ideas regarding their startup and Investor can invest his money in that startup or business.</t>
  </si>
  <si>
    <t>Internship - TechSword Solutions
Project-“Classification of pathological types of lung cancer from CT images”
In this Project we are helping Cancer Patients to detect the disease in Early Stages. Using AI&amp;Ml we create and implement heuristic deep learning algorithms, that are trained specially for detecting cancerous lung nodules in their early stage. And to ensure erroneous results as close as 1% &amp; easily accessible as a service or interface,so that non-IT person like doctors can utilize it.</t>
  </si>
  <si>
    <t>Classification of pathological types of lung cancer from CT images</t>
  </si>
  <si>
    <t>CodeByte Competition</t>
  </si>
  <si>
    <t>Java DSA Course (Unacademy)</t>
  </si>
  <si>
    <t>PUNE START-UP FEST'20</t>
  </si>
  <si>
    <t>https://preskilet.com/watch?v=62bea8e22c9a6200041e123a</t>
  </si>
  <si>
    <t>https://drive.google.com/open?id=1ue4qo0lpZQlWl_NIrNiOHRV97QeIaD-M</t>
  </si>
  <si>
    <t>https://drive.google.com/open?id=1VodI-Bs9izGyTbi_VzmHl7mncnTuCRY9</t>
  </si>
  <si>
    <t>https://drive.google.com/open?id=1cx85Pt-Qs1SQfZbEdOOu5pZxKm7H5-jd</t>
  </si>
  <si>
    <t>https://drive.google.com/open?id=1AtdLlOUKQhK0CFJPJQnn7WXt759Qsv9F</t>
  </si>
  <si>
    <t>https://drive.google.com/open?id=1UntnOmiAiX-yJiqTdhG_vwzMpvyCpLQg</t>
  </si>
  <si>
    <t>0120190056</t>
  </si>
  <si>
    <t>RIDDHESH</t>
  </si>
  <si>
    <t>GANDRE</t>
  </si>
  <si>
    <t>riddhesh.gandre@gmail.com</t>
  </si>
  <si>
    <t>https://www.linkedin.com/in/riddhesh-gandre-7425bb1a3</t>
  </si>
  <si>
    <t>C/702 Gopal Heights Near Saptashrungi Mandir Badlapur East 421503</t>
  </si>
  <si>
    <t>Infosys Python: Infosys Python Programmer</t>
  </si>
  <si>
    <t>Internshala training: Programming with C and C++</t>
  </si>
  <si>
    <t>Internshala training on Programming with C and C++: Learned Fundamentals about C and C++ through training, also learned about oops concept</t>
  </si>
  <si>
    <t>Marketing Intern at Atlas Copco(India) pvt. ltd.</t>
  </si>
  <si>
    <t>Design, analysis and optimization of Universal Paddock Stand for bikes</t>
  </si>
  <si>
    <t>AutoCAD, Fusion 360, SolidWorks, CATIA, ANSYS, cura</t>
  </si>
  <si>
    <t xml:space="preserve">Upraised Embark Design 
ARAI's Vehicle Dynamics proficiency improvement
Marathwada Mitramandal's Institute of Technology "Online e-quiz program" on Engineering Mechanics </t>
  </si>
  <si>
    <t>ARAI's Vehicle Dynamics Proficiency Improvement Program</t>
  </si>
  <si>
    <t>Completed Iskcon's "Gita Art of Life" course. Used to attend spiritual programs at Iskcon.
Member at Ignited Mind's club. We used to organize various cultural activities and session's that help to develop spiritual thought process.
Attended  IP awareness/training program under National Intellectual Property Awareness Mission.
Attended workshop on "Attitude as a learning domain".</t>
  </si>
  <si>
    <t>https://preskilet.com/watch?v=62b2fa47cd590700045fb49e</t>
  </si>
  <si>
    <t>https://drive.google.com/open?id=16f5tFtNq2uYTMTwX55S_jKGV5gXlsybt</t>
  </si>
  <si>
    <t>https://drive.google.com/open?id=1sv3ngkUi0D_ZGrQ1Yh2wODSRUi5K9it0</t>
  </si>
  <si>
    <t>https://drive.google.com/open?id=1IqQNYoHAhpN5oHzy4pdI8Nlx41OwiCmO</t>
  </si>
  <si>
    <t>https://drive.google.com/open?id=1pgrfMdoANXwhjbOzG06BJ4TbONfL5xpV</t>
  </si>
  <si>
    <t>https://drive.google.com/open?id=1RjUxRGMcOn4LueveUtiyFYZCwnSO1mzR</t>
  </si>
  <si>
    <t>https://drive.google.com/open?id=1iVzx2vcmtvbXvmUq1lZ3icthqCv18nKO</t>
  </si>
  <si>
    <t>0120190046</t>
  </si>
  <si>
    <t>PALLAVI</t>
  </si>
  <si>
    <t>pallavigaikwad200@gmail.com</t>
  </si>
  <si>
    <t xml:space="preserve">ppgaikwad@mitaoe.ac.in </t>
  </si>
  <si>
    <t>https://www.linkedin.com/in/pallavi-gaikwad-6771331b0</t>
  </si>
  <si>
    <t>VANDANA</t>
  </si>
  <si>
    <t xml:space="preserve">Panchashil nager darwha </t>
  </si>
  <si>
    <t xml:space="preserve">Hrushiprasad girls hostel Alandi </t>
  </si>
  <si>
    <t xml:space="preserve">ME343T-hydrolics and pneumatic </t>
  </si>
  <si>
    <t xml:space="preserve">AS105T-calculuse and differential equation CH101Tscience of nature CS101L logic development in c  CV102T Applied mechanics ME222T Engineering informatics </t>
  </si>
  <si>
    <t xml:space="preserve">1) Introduction of python by Infosys springboard                       2) Robotics and automation by AICTE </t>
  </si>
  <si>
    <t>1) Robotics and automation by AICTE
2) Google digital marketing
3) Google digital ads
4)Two days national workshop on multi criteria dicidion making 
5)Fundamentals of python by Infosys springboard 
6) AZ900 Microsoft Azure fundamental by springboard 
7) Lear programing with java</t>
  </si>
  <si>
    <t xml:space="preserve">Google digital marketing </t>
  </si>
  <si>
    <t>Google ads</t>
  </si>
  <si>
    <t xml:space="preserve">autoclusture reasarch and development institute pimpri </t>
  </si>
  <si>
    <t xml:space="preserve">Airbag for two wheeler vehicle </t>
  </si>
  <si>
    <t>Robot Framework</t>
  </si>
  <si>
    <t xml:space="preserve">Space apps challenge by nasa 
Sketching and painting in college fest
Technophilla Project compition </t>
  </si>
  <si>
    <t>Training on cube robot by SDnx</t>
  </si>
  <si>
    <t xml:space="preserve">Aptitude test by Sinhgad college of engineering </t>
  </si>
  <si>
    <t>https://preskilet.com/628c8b74c52b2600046c5397</t>
  </si>
  <si>
    <t>https://drive.google.com/open?id=1ap6qGrs723vZVbrr1NQ09lbbNqlm8oPF</t>
  </si>
  <si>
    <t>https://drive.google.com/open?id=1EWzucqHv9xMk8-CyEJ_oILxdItMCRGVu</t>
  </si>
  <si>
    <t>https://drive.google.com/open?id=1ooekSXirTum7wBlKNCrPiUUIFvmhGAFn</t>
  </si>
  <si>
    <t>https://drive.google.com/open?id=1MiJirm9UD1Wwjxkzq6vRFssjDCYDLIcs</t>
  </si>
  <si>
    <t>0120190187</t>
  </si>
  <si>
    <t>HITANSHU</t>
  </si>
  <si>
    <t>MACHHI</t>
  </si>
  <si>
    <t>hitum08@gmail.com</t>
  </si>
  <si>
    <t>https://www.linkedin.com/in/hitanshu-machhi-b004b0176/</t>
  </si>
  <si>
    <t>House No 1479 , Asangaon , Dandipada , Tal. Dahanu, Dist. Palghar Pin-401103</t>
  </si>
  <si>
    <t xml:space="preserve">
D-3/5 Adani Colony, Tal. Dahanu, Dist. Palghar Pin-401608</t>
  </si>
  <si>
    <t>CS101T - Logic Development C Programming</t>
  </si>
  <si>
    <t>Python Programmer Certification</t>
  </si>
  <si>
    <t>Adani Thermal Power Plant, Dahanu</t>
  </si>
  <si>
    <t>design and analysis of adjustable cost effective lower limb exoskeleton</t>
  </si>
  <si>
    <t>AutoCAD, Fusion 360, CATIA, Figma, MATLAB</t>
  </si>
  <si>
    <t>State Level Online Chess Competition organised By MITAOE,</t>
  </si>
  <si>
    <t>https://preskilet.com/hrmachhi@mitaoe.ac.in</t>
  </si>
  <si>
    <t>https://drive.google.com/open?id=1N43bD-c0QJbCF8ioHyJz2xgP-I0Xdiiw</t>
  </si>
  <si>
    <t>https://drive.google.com/open?id=1eC0yXwgGkPn6lloPJaHpeeKZY3qbSRT7</t>
  </si>
  <si>
    <t>https://drive.google.com/open?id=1j_EaOk_SNwVFjJ2JHBfPhro1ko9bZvFs</t>
  </si>
  <si>
    <t>0120190273</t>
  </si>
  <si>
    <t>LAHU</t>
  </si>
  <si>
    <t>CHENDAGE</t>
  </si>
  <si>
    <t>onkarchendage19@gmail.com</t>
  </si>
  <si>
    <t xml:space="preserve">olchendage@mitaoe.ac.in </t>
  </si>
  <si>
    <t>https://in.linkedin.com/in/onkar-chendage</t>
  </si>
  <si>
    <t>VIDYA</t>
  </si>
  <si>
    <t>Kolgaon, Tal. Karmala 413203</t>
  </si>
  <si>
    <t>Asra Dyaanteerth, Oppo. SaiDhaam Hostel, Dehu Phata, Alandi, Pune 412105</t>
  </si>
  <si>
    <t>Google Data Analytics Professional Certificate
Microsoft AZ-900: Microsoft Azure Fundamentals
Microsoft DP-900: Microsoft Azure Data Fundamentals</t>
  </si>
  <si>
    <t>Internshala Trainings: Core Java Course</t>
  </si>
  <si>
    <t>Company: Bird Vision Consulting Pvt. Ltd.
Domain: Machine Learning</t>
  </si>
  <si>
    <t>Student' Support System</t>
  </si>
  <si>
    <t>Python, Java, C/C++, HTML, CSS, JavaScript, R</t>
  </si>
  <si>
    <t>Fusion 360, SolidWorks, CATIA, MATLAB</t>
  </si>
  <si>
    <t>Participated in “Datathon” organized by GirlsScript MITAOE
 Participated in “CodeBytes” organized by CodeChef MITAOE</t>
  </si>
  <si>
    <t>https://preskilet.com/watch?v=62c40c75d97d820004605e93</t>
  </si>
  <si>
    <t>https://drive.google.com/open?id=1p5odqkX3MmsLf-nDtSD5seXvWObtkvv6</t>
  </si>
  <si>
    <t>https://drive.google.com/open?id=1yejR-Aw6gJI7efVaGvI0_0BAaUfHcsrG</t>
  </si>
  <si>
    <t>https://drive.google.com/open?id=16FnGh9f-9dtfirOHBCXWJSycLTYvLv3g</t>
  </si>
  <si>
    <t>https://drive.google.com/open?id=1G-R6-Dzpi5e3J6gVf7x3Mbw4z3aD1iPK</t>
  </si>
  <si>
    <t>https://drive.google.com/open?id=1WVmObtgHRLidx3-C0rHAB4J6gsf_7ZX9</t>
  </si>
  <si>
    <t>https://drive.google.com/open?id=1QcZVOHSxJPLKJxN7Cw6Kq9RBSGlXDOVy</t>
  </si>
  <si>
    <t>https://drive.google.com/open?id=1LYoHSXd6QnjBGjUY9LO0GubJP8eBCfVm</t>
  </si>
  <si>
    <t>https://drive.google.com/open?id=19f1NAAOZOb3A1dkUITVUv4FjoigV_kTE</t>
  </si>
  <si>
    <t>Current internship certificate(offer letter), Google Data Analytics certificate was missing</t>
  </si>
  <si>
    <t>0120190120</t>
  </si>
  <si>
    <t>RANJEET</t>
  </si>
  <si>
    <t>VIJAYRAO</t>
  </si>
  <si>
    <t>ranjeetbhosale7020@gmail.com</t>
  </si>
  <si>
    <t>www.linkedin.com/in/ranjeet-bhosale-121065212</t>
  </si>
  <si>
    <t>MANJUSHA</t>
  </si>
  <si>
    <t xml:space="preserve">pal,tal.karad,Dist.Satara, Maharashtra- 415014 </t>
  </si>
  <si>
    <t>Flat no 707,phase 2,Vision Kalpavriksha,Dudulgaon,Pune 412105</t>
  </si>
  <si>
    <t>"Microsoft Python Certification: Python course by Inflow technology".</t>
  </si>
  <si>
    <t>Internship at GREEN SHUTTLE TECHNOLOGY PRIVATE LIMITED(GSTPL).At GSTPL Pollution-free electric vehicles like E-Garbage Vehicle, E-Rickshaw, E-Cart, E-Mini Flat Loader and E-Scooter, etc are manufactured.Here I am working in various departments and getting knowledge regarding Design, Quality, Assembly etc.</t>
  </si>
  <si>
    <t>Stair climbing universal mechanism.</t>
  </si>
  <si>
    <t>AutoCAD, Fusion 360, SolidWorks, CATIA, ANSYS, MSC Nastran,MSC Apex,MSC Patran</t>
  </si>
  <si>
    <t>I had completed course "Programming for Everybody (Getting Started with Python): an online non-credit course authorized by University of Michigan and offered through Coursera".</t>
  </si>
  <si>
    <t>First Prize in project competition of Computer Science and Information Technology in "Quantum 2021-A National Level Technical Symposium" held on 5 July, 2021 at Rajarambapu Institute of Technology, Rajaramnagar.</t>
  </si>
  <si>
    <t>ANSYS Internshala Training Jun 2021 - Jul 2021.</t>
  </si>
  <si>
    <t>1.Newtonian Reflecting Telescope Making at IUCAA pune
2.Completed 4 months online course of Classical Electromagnetism - 1 (Electrostatics)
( August 15 to December 13, 2020 )And got Certificate from the Centre for Continuing Education (CCE), IIT Kanpur.</t>
  </si>
  <si>
    <t>https://preskilet.com/watch?v=6295a14f716ac10004981377</t>
  </si>
  <si>
    <t>https://drive.google.com/open?id=13cHNVRWKAbrLNUxDbzE9HDk8fBjGGdcb</t>
  </si>
  <si>
    <t>https://drive.google.com/open?id=12cxcXdbHUySiuotgmpeqUQhI09Rp_XVX</t>
  </si>
  <si>
    <t>https://drive.google.com/open?id=1iMtFzwctG-308jRScrsXlXDwiZElP57i</t>
  </si>
  <si>
    <t>https://drive.google.com/open?id=1RvsWLgBTKHCyNT4zZaRnoJVREdqax0jo</t>
  </si>
  <si>
    <t>https://drive.google.com/open?id=1CQe9VmK9oFJt0WmbUc9unMRnB8YqSc0f</t>
  </si>
  <si>
    <t>https://drive.google.com/open?id=1KjMyj6Y4sfSJ41mhEjnFLhzsReIYumCy</t>
  </si>
  <si>
    <t>I have updated Technical certifications because on the previous page (Document Submissions) I had uploaded a different document in the place of Industry Certifications.</t>
  </si>
  <si>
    <t>0120190114</t>
  </si>
  <si>
    <t>YOGRAJ</t>
  </si>
  <si>
    <t>DHANDE</t>
  </si>
  <si>
    <t>mohitdhande93@gmail.com</t>
  </si>
  <si>
    <t>https://www.linkedin.com/in/mohit-dhande-3b9a45230</t>
  </si>
  <si>
    <t>YOGRAJ DHANDE</t>
  </si>
  <si>
    <t>NALINI DHANDE</t>
  </si>
  <si>
    <t>Khat Road, Bhandara, Maharashtra</t>
  </si>
  <si>
    <t>" Python Programmer Certification: Infosys Springboard"</t>
  </si>
  <si>
    <t>"Google IT Automation with Python: Google"</t>
  </si>
  <si>
    <t>Ansys Training Internship : Internshala</t>
  </si>
  <si>
    <t>Machine Learning Internship - YBI Foundation</t>
  </si>
  <si>
    <t>Design and Development of Adjustable Lower limb Exoskeleton</t>
  </si>
  <si>
    <t>https://preskilet.com/watch?v=62b3d89930b2800004522d77</t>
  </si>
  <si>
    <t>https://drive.google.com/open?id=1jjB6qCIIpGUlBs-AI6DW3PueHht5yhjg</t>
  </si>
  <si>
    <t>https://drive.google.com/open?id=1R0GFE0KoYX2Gm0CemzPlNrbUqr4hQVjk</t>
  </si>
  <si>
    <t>https://drive.google.com/open?id=1w8aiBdnOKOgMTsrbWiP70VjyP6d_wXud</t>
  </si>
  <si>
    <t>https://drive.google.com/open?id=1Qdt4TnFW40MojLCqeJh1NqBnWjZ6Pgwx</t>
  </si>
  <si>
    <t>https://drive.google.com/open?id=1CQ8KX9iT7DwWPcL2njK0BOwqfNGc0JQb</t>
  </si>
  <si>
    <t>https://drive.google.com/open?id=1rmekb1OsW1B1vWOMdcEwVXOytJNtiAVj</t>
  </si>
  <si>
    <t xml:space="preserve">TY semesters SGPA as I recieved them </t>
  </si>
  <si>
    <t>0220200142</t>
  </si>
  <si>
    <t>imavpathak@gmail.com</t>
  </si>
  <si>
    <t xml:space="preserve">pathak.aditya@mitaoe.ac.in </t>
  </si>
  <si>
    <t>https://www.linkedin.com/in/aditya-pathak-55b722169</t>
  </si>
  <si>
    <t>VIVEK MORESHWAR PATHAK</t>
  </si>
  <si>
    <t>VANITA VIVEK PATHAK</t>
  </si>
  <si>
    <t xml:space="preserve">Near Maheshwari bhavan, Shivaji vesh, sarafa Khamgaon, dist buldhana, Maharashtra, 444303 </t>
  </si>
  <si>
    <t>Gilbile colony , near Aditi collection , Alandi Pune, 412105</t>
  </si>
  <si>
    <t>Infosys Springboard : Programming Fundamentals using Python - Science Graduates - Foundation Program</t>
  </si>
  <si>
    <t>Infosys springboard : Basics of Python</t>
  </si>
  <si>
    <t xml:space="preserve">AUTOMATIC DISC POLISHING MACHINE. </t>
  </si>
  <si>
    <t>INTERNSHIP AT VIKAMSHI FABRICS PVT. LTD.</t>
  </si>
  <si>
    <t xml:space="preserve">AUTOMATIC BOTTLE FILLING MACHINE </t>
  </si>
  <si>
    <t xml:space="preserve">1) TECHNICAL QUIZ COMPITION HELD AT GOVT POLYTECHNIC KHMAGAON
2) PARTICIPATED IN CHESS COMPITITION HELD BY MITAOE.
3) PARTICIATED IN SINGING IN ANNUAL GATHERING AT GOVT POLYTECHNIC KHMAGAON </t>
  </si>
  <si>
    <t xml:space="preserve">1) A CHESS PLAYER AT VARIOUS TOURNAMENT </t>
  </si>
  <si>
    <t>https://drive.google.com/file/d/1NkE0zi38Yuibe-H4oPiIKecJpBkxtVGi/view?usp=sharing</t>
  </si>
  <si>
    <t>https://drive.google.com/open?id=1UFnZTr4k0iXpY5lUlbqkALym-8WQ2j23</t>
  </si>
  <si>
    <t>https://drive.google.com/open?id=1AtI4yj2X2MKdEChSjJDGyP0pdCSFyHXp</t>
  </si>
  <si>
    <t>https://drive.google.com/open?id=1Lhjknv3FUVGnJorLMmInbZSi8IfY-KGv</t>
  </si>
  <si>
    <t>https://drive.google.com/open?id=18uHRTiUptb62DMX_sSFA8wK8rTYmu5Ss</t>
  </si>
  <si>
    <t>https://drive.google.com/open?id=1fXvw-tWg4UXF-bRJaMA_TYYz7BPKN2GC</t>
  </si>
  <si>
    <t>https://drive.google.com/open?id=1H1Yd12uZtpv8Pn60c4cjTkvJa3-Pz8TY</t>
  </si>
  <si>
    <t>0120190131</t>
  </si>
  <si>
    <t>BHARARE</t>
  </si>
  <si>
    <t>ombharare120@gmail.com</t>
  </si>
  <si>
    <t>https://www.linkedin.com/in/om-bharare-4270b4213</t>
  </si>
  <si>
    <t>MANJU</t>
  </si>
  <si>
    <t>Laxmi nagar, Taluka Digras, dist. Yavatmal.</t>
  </si>
  <si>
    <t>Dehu fata ,Alandi 412105</t>
  </si>
  <si>
    <t>Introduction to 3D Modelling</t>
  </si>
  <si>
    <t xml:space="preserve">CNC Machinist, 3 axis machining,
Infosys springboard: Object oriented using python </t>
  </si>
  <si>
    <t xml:space="preserve">Building project based on accident prevention using pressure sensors. </t>
  </si>
  <si>
    <t xml:space="preserve">Jayahind Industry located in Akurdi. </t>
  </si>
  <si>
    <t>PDC Die Manufacturing Process</t>
  </si>
  <si>
    <t xml:space="preserve">Effect of various surface heat treatment methods and its parametric variation on the hardness properties of different grades of steels.
</t>
  </si>
  <si>
    <t>AutoCAD, Fusion 360, SolidWorks, CATIA, ANSYS</t>
  </si>
  <si>
    <t xml:space="preserve"> https://preskilet.com/watch?v=62a389dea6956a00046006ca</t>
  </si>
  <si>
    <t>https://drive.google.com/open?id=1yZymLb5ZaweOZn-s82qTXfF1JLVbLmB5</t>
  </si>
  <si>
    <t>https://drive.google.com/open?id=1JlFQ-IMwfATXv6CYoGyKW-FOZV2wQlME</t>
  </si>
  <si>
    <t>https://drive.google.com/open?id=15v1yKu3Lie57q0mrdcSO73iOro0oMi4Z</t>
  </si>
  <si>
    <t>https://drive.google.com/open?id=1UXHpRdNOyqfAWcnBI4qZq_DpsbIYZewr</t>
  </si>
  <si>
    <t>https://drive.google.com/open?id=15WQxXzpEnhRDhywmcy4UTEEr2BFYq1z7</t>
  </si>
  <si>
    <t>https://drive.google.com/open?id=11NuBEiOPHeB9ZPaxa_p1Df5GzhA2sLaF</t>
  </si>
  <si>
    <t xml:space="preserve">I have updated Technical certificate.  </t>
  </si>
  <si>
    <t>0220200028</t>
  </si>
  <si>
    <t>MIHIR</t>
  </si>
  <si>
    <t>RAHUL</t>
  </si>
  <si>
    <t>MULAY</t>
  </si>
  <si>
    <t>mulaymihir3@gmail.com</t>
  </si>
  <si>
    <t>https://www.linkedin.com/in/mihir-mulay-ba985a192?lipi=urn%3Ali%3Apage%3Ad_flagship3_profile_view_base_contact_details%3Br%2BtZT6KvSPuzXRZPktH9hw%3D%3D</t>
  </si>
  <si>
    <t>RAHUL ASHOK MULAY</t>
  </si>
  <si>
    <t>SUSHRUTA RAHUL MULAY</t>
  </si>
  <si>
    <t>B2/104. BHUSHANKRIPA CHS, PAHADI ROAD 2, GOREGAON EAST, MUMBAI - 63</t>
  </si>
  <si>
    <t>508, PREMSAI APARTMENTS, DUDULGAON, NEAR ADITYA ENGLISH SCHOOL, ALANDI-412105</t>
  </si>
  <si>
    <t>PLC &amp; SCADA: Prolific Systems and Technologies</t>
  </si>
  <si>
    <t>Mitacs Globalink Research Internship at École de technologie supérieure ÉTS, Montreal, Canada</t>
  </si>
  <si>
    <t>Fabrication and Testing of a Wear Test Rig</t>
  </si>
  <si>
    <t>AutoCAD, Fusion 360, SolidWorks, CATIA, ANSYS, MATLAB, Creo</t>
  </si>
  <si>
    <t>Steering Team member at Team Niyudrath Karting.
Member at Literary club of Mitaoe
Treasurer at Prakruti club of Mitaoe</t>
  </si>
  <si>
    <t>Selected for a 12 week Research internship in Canada for the summer of 2022.</t>
  </si>
  <si>
    <t>https://drive.google.com/drive/folders/1NFySN4iGMHHlOixHllbfr-1-Y-0ePoCI?usp=sharing</t>
  </si>
  <si>
    <t>https://drive.google.com/open?id=1VOHU7uPYkD8XM0ANy4T9gP-Q7eI6AmSi</t>
  </si>
  <si>
    <t>https://drive.google.com/open?id=1sce62y0tUBklnxZY5m1RhtO5OH80oXgo</t>
  </si>
  <si>
    <t>0120190186</t>
  </si>
  <si>
    <t>SHESHERAO</t>
  </si>
  <si>
    <t>HALIKHEDE</t>
  </si>
  <si>
    <t>sachin.halikhede@gmail.com</t>
  </si>
  <si>
    <t>https://www.linkedin.com/in/sachin-halikhede-a154a31b3/</t>
  </si>
  <si>
    <t>SHESHERAO HALIKHEDE</t>
  </si>
  <si>
    <t>SAVITA HALIKHEDE</t>
  </si>
  <si>
    <t>Sambhaji Nagar, Nideban Road, Udgir, Dist. Latur PIN-413517.</t>
  </si>
  <si>
    <t xml:space="preserve">Tapakir Nagar,Pragati Apartment, Alandi Pune  </t>
  </si>
  <si>
    <t xml:space="preserve"> "Programming Fundamentals using Python: Infosys Springboard".       </t>
  </si>
  <si>
    <t>Python For Machine Learning
OCI Foundations Associate</t>
  </si>
  <si>
    <t>Machine Learning
Object Oriented Programming using Python</t>
  </si>
  <si>
    <t>Stair Climbing Robot Using Arduino : 
Done a project based on stair climbing mechanism which can travel in territory areas.</t>
  </si>
  <si>
    <t xml:space="preserve">Applying ROM on different applications :
By applying Reduced Order Modeling we can decrease the simulation time and nodes.
#Internship:- (Physically )
As an 'Research and Development Engineering intern' in Shri Sai Enterprises, Bhosari, Pune 
Working on different industrial projects. </t>
  </si>
  <si>
    <t>Applying ROM on different applications</t>
  </si>
  <si>
    <t xml:space="preserve">AutoCAD, Fusion 360, CATIA, ANSYS, Proteus, MATLAB, Creo, MSC Apex , Nastran , Patran </t>
  </si>
  <si>
    <t>German, Telugu , Kannada</t>
  </si>
  <si>
    <t>SAKSHAM: Child Education and Welfare Trust (01/2022 - Present): 
Volunteer and Team Member, participation in weekly campaigns, teaching underprivileged students, collaboration with other NGOs to host big events.</t>
  </si>
  <si>
    <t xml:space="preserve">1.C++ training - paid - BY upskills
2.Fusion 360 - Paid - Internshala
3.Machine Learning - 1Stop
</t>
  </si>
  <si>
    <t xml:space="preserve">Participated in One day workshop conducted by  MIT-WPU Pune.
Viral Fusion - Campus Ambassador </t>
  </si>
  <si>
    <t>https://preskilet.com/watch?v=62b2c05dcd590700045fb2ca</t>
  </si>
  <si>
    <t>https://drive.google.com/open?id=1Ww6OKUtfmg6qY7gi7-szMkoCHVnKZFpu</t>
  </si>
  <si>
    <t>https://drive.google.com/open?id=1I48Jjeqx_y5KKAE6TuEcJup8sub_Ymbh</t>
  </si>
  <si>
    <t>https://drive.google.com/open?id=1l19nvVnNDyLwc51RG_pKOkjr80l3aWrj</t>
  </si>
  <si>
    <t>https://drive.google.com/open?id=17563VHgSpKza-_kTuMQXU7iUzlNj7yjM</t>
  </si>
  <si>
    <t>https://drive.google.com/open?id=1_L2uT20eKtBzMSp_25N2cnibVAev_rDU</t>
  </si>
  <si>
    <t>https://drive.google.com/open?id=1NGpTR32lDkgTxsD4DZVBnEq0_DW9vF2A</t>
  </si>
  <si>
    <t>https://drive.google.com/open?id=1OK53v9VdSReJfpLt6icjbWRjmoxSzGhE</t>
  </si>
  <si>
    <t>I have updated internship certificate and TY marks because it was not with me before this.</t>
  </si>
  <si>
    <t>0220200088</t>
  </si>
  <si>
    <t>ASHISH</t>
  </si>
  <si>
    <t>MAHARUDRA</t>
  </si>
  <si>
    <t>BIRAJDAR</t>
  </si>
  <si>
    <t>ashishbirajdar0603@gmail.com</t>
  </si>
  <si>
    <t>https://www.linkedin.com/in/ashish-birajdar-018a70178</t>
  </si>
  <si>
    <t>MAHARUDRA BHAGWANRAO BIRAJDAR</t>
  </si>
  <si>
    <t>LATA MAHARUDRA BIRAJDAR</t>
  </si>
  <si>
    <t>Bhagwant niwas, sushiladevi nagar,old ausa road , Latur-413512</t>
  </si>
  <si>
    <t>Infosys springboard: Programming Fundamentals using Python - Science Graduates - Foundation Program</t>
  </si>
  <si>
    <t>Infosys springboard: Introduction to Python</t>
  </si>
  <si>
    <t>Project : 3D Model of River Cleaning Mechanism
               This project is about to design the river cleaning mechanism. in that the system is able to clean the floating solid waste over the river surface more efficiently by conveyor.</t>
  </si>
  <si>
    <t>Project:- Agricultural spraying drone 
               In this project  we have created Quadcopter drone for spraying pesticides.
Internship: Helix Integrated Learning
                    Design and simulation Internship / offline work /</t>
  </si>
  <si>
    <t>Project : Residential Hydro Turbine
Internship: - Dayasagar Engineering  Works</t>
  </si>
  <si>
    <t>AutoCAD, Fusion 360, CATIA, ANSYS, MATLAB, Creo, Hypermesh</t>
  </si>
  <si>
    <t>1] Six Sigma and the Organization (Advanced)
2] Introduction to Finite Element Analysis using ANSYS
3] Fusion 360: Foundational Concepts</t>
  </si>
  <si>
    <t xml:space="preserve">Participation in State level Cricket competition in 10th </t>
  </si>
  <si>
    <t xml:space="preserve">Catia : Sai Infotech </t>
  </si>
  <si>
    <t xml:space="preserve">https://preskilet.com/watch?v=629bb3a4d784290004e9666f                </t>
  </si>
  <si>
    <t>https://drive.google.com/open?id=1HxigiWQhXbhEwMCeTj-hLntNf5tV3MFG</t>
  </si>
  <si>
    <t>https://drive.google.com/open?id=1gpRsbNOP7PVeQAqRM7hbEkXw6hMn8_EW</t>
  </si>
  <si>
    <t>https://drive.google.com/open?id=13QfZunXLaU4i03MQBkcmvKT9AlY2djUt</t>
  </si>
  <si>
    <t>https://drive.google.com/open?id=1h25ATZo_XZBPKsTy-jpNH4eVoS3MZfy4</t>
  </si>
  <si>
    <t>https://drive.google.com/open?id=1RVzzMLcW5nL0raE0NDgUrXsrCrQ0CQFd</t>
  </si>
  <si>
    <t>https://drive.google.com/open?id=1Lo5GV3qgSr-u28ilpKWGCTr_QGt_FRNy</t>
  </si>
  <si>
    <t>Update TY sem 1 and sem 2 S.G.P.A</t>
  </si>
  <si>
    <t>0220200144</t>
  </si>
  <si>
    <t>ACHALKUMAR</t>
  </si>
  <si>
    <t>MALKUNJIKAR</t>
  </si>
  <si>
    <t>malkunjikarshubham412512@gmail.com</t>
  </si>
  <si>
    <t>https://www.linkedin.com/in/shubham-malkunjikar-719962208</t>
  </si>
  <si>
    <t>ACHALKUMAR MALKUNJIKAR</t>
  </si>
  <si>
    <t>VIDYA MALKUNJIKAR</t>
  </si>
  <si>
    <t>12 NO. PATI, SHYAMNAGAR, TQ. DIST. LATUR</t>
  </si>
  <si>
    <t>YASH NIWAS, KATE VASTI, ALANDI</t>
  </si>
  <si>
    <t>Programming Fundamentals using Python - Science Graduates - FoundationProgram</t>
  </si>
  <si>
    <t>Tableau Essential Training from LinkedIn Learning</t>
  </si>
  <si>
    <t>HELIX INTEGRATED LEARNING</t>
  </si>
  <si>
    <t>MANUALLY OPERATED DRAINAGE CLEANING MACHINE</t>
  </si>
  <si>
    <t>1. Tableau Essential Training
2. Programming Foundations Fundamentals
3. Three days National Level Workshop On “ Introduction to Finite Element Analysis using ANSYS”</t>
  </si>
  <si>
    <t>I have done foundational training of programming languages and aptitude preparation at Talent Battle Pvt. Limited.</t>
  </si>
  <si>
    <t>1. Won 1st price at intercollege cricket competation
2. Participated in eXEMPLAR 2022 Competition under the National Level Technical Event.
3. Participated in TCSion National Level Internship Program</t>
  </si>
  <si>
    <t>https://drive.google.com/file/d/12MMBUJ5FJ3-OEEquTGj8DmJc0V-0okAE/view?usp=sharing), ()</t>
  </si>
  <si>
    <t>https://drive.google.com/open?id=1IgEpn_V91uDJxTp8qGArr_busDWn34vY</t>
  </si>
  <si>
    <t>https://drive.google.com/open?id=1O93ph6qQMaDHtv-WGx6RpQweJNfsdu_E</t>
  </si>
  <si>
    <t>https://drive.google.com/open?id=1C6PwilNt4cyJAKbatyZjzjZIGnPchux1</t>
  </si>
  <si>
    <t>https://drive.google.com/open?id=19dXkk5SL7h1pPT0Qn9knbiig8fy1A3Fz</t>
  </si>
  <si>
    <t>https://drive.google.com/open?id=1o1cgUhq3eDATPTH7Gd79UbxpjS2YK-c1</t>
  </si>
  <si>
    <t>https://drive.google.com/open?id=1uNq7-qMkPN4buDln9lib8d_GRqedsKSb</t>
  </si>
  <si>
    <t>0120190119</t>
  </si>
  <si>
    <t>ROHAN</t>
  </si>
  <si>
    <t>rohankotkar17@gmail.com</t>
  </si>
  <si>
    <t>https://www.linkedin.com/in/rohan-kotkar-4195b8232/</t>
  </si>
  <si>
    <t>Sister colony , Naginabag ward no 1 , Dist.: Chandrapur
Pincode : 442401</t>
  </si>
  <si>
    <t>Opposite to MITAOE near Dhyanwardani hostel</t>
  </si>
  <si>
    <t>Infosys Springboard : Python Programmer Certification</t>
  </si>
  <si>
    <t xml:space="preserve">Done Course on Intern-shala  Platform on CATIA </t>
  </si>
  <si>
    <t xml:space="preserve">1 Month Internship at DHARIWAL INFRASTRUCTURE LIMITED COMPANY </t>
  </si>
  <si>
    <t>DESIGN , ANALYSIS AND OPTIMIZATION OF UNIVERSAL PADDOCK STAND FOR BIKES</t>
  </si>
  <si>
    <t>AutoCAD, Fusion 360, CATIA, ANSYS</t>
  </si>
  <si>
    <t>https://preskilet.com/watch?v=62b5305aaf4f2700045cd8e9</t>
  </si>
  <si>
    <t>https://drive.google.com/open?id=1J5HHI0g_ggEu42VO83qNB4jN0bNMLxEq</t>
  </si>
  <si>
    <t>https://drive.google.com/open?id=15gwYWvLv0NlRv69baP1SGJx1Ff6wiFid</t>
  </si>
  <si>
    <t>https://drive.google.com/open?id=17WL6rPBAEXocX8eC-z_n0CtIzNhaEIuQ</t>
  </si>
  <si>
    <t>https://drive.google.com/open?id=1HXsKtvwldDmQZWKsieTUY_d6uOWTRF_g</t>
  </si>
  <si>
    <t>https://drive.google.com/open?id=1_niv6z3Kz3TvvydyUgOE9hjAfUD90-Lf</t>
  </si>
  <si>
    <t>https://drive.google.com/open?id=1eUc1cNLTe2cyV_U7DRi041pkudQ4IXFf</t>
  </si>
  <si>
    <t>0220200061</t>
  </si>
  <si>
    <t>ASHUTOSH</t>
  </si>
  <si>
    <t>HARIDAS</t>
  </si>
  <si>
    <t>ashutoshshinde0506@gmail.com</t>
  </si>
  <si>
    <t>ashutosh.shinde@gmail.com</t>
  </si>
  <si>
    <t>https://www.linkedin.com/in/ashutosh-shinde-87972a1b4</t>
  </si>
  <si>
    <t>KASHIBAI</t>
  </si>
  <si>
    <t>A.P Anawali, Taluka Pandharpur, Dist. Solapur 413304</t>
  </si>
  <si>
    <t>Hindavi Colony -2, Dhananjay Boys Hostel, Alandi(D), Pune</t>
  </si>
  <si>
    <t>Infosys -The Complete Python Course</t>
  </si>
  <si>
    <t>Infosys-Complete Python scripting For automation</t>
  </si>
  <si>
    <t xml:space="preserve">VIEH Group Private Ltd- Web Devolopment Internship - Project Intern </t>
  </si>
  <si>
    <t xml:space="preserve">Manual Paddle Operated Sugar Cane cutter(Diploma), Analysis of heat transfer in gas solid fluidised bed using Machine Learning(B.tech). </t>
  </si>
  <si>
    <t>Java, C/C++, HTML, CSS, JavaScript, React Js , SQL, MySQL</t>
  </si>
  <si>
    <t>Event Student Coordinator At National Technical Event - 2020 CAD Race Organized At SVERI's College Of Engineering Polytechnic Pandharpur,
Volunteer as Participant in Same Event.</t>
  </si>
  <si>
    <t>Volunteer In ROBIN HOOD ARMY Alandi Pune Chapter Since February 2022.</t>
  </si>
  <si>
    <t>https://drive.google.com/file/d/1E1NuJhXzfqyzjCvBL5AABVTdRqmcfkcA/view?usp=drivesdk</t>
  </si>
  <si>
    <t>https://drive.google.com/open?id=1AQ0Isgqa9lSAkrRTBgua8Xhy91Xn1bk4</t>
  </si>
  <si>
    <t>https://drive.google.com/open?id=1XzjhNIKco0quKmyJHEUlb7Ey1VoWXMce</t>
  </si>
  <si>
    <t>https://drive.google.com/open?id=1xEZSp2gaMbz5Ddw8cG7VuFqwoHnUILrF</t>
  </si>
  <si>
    <t>https://drive.google.com/open?id=1XjO3HyCSYNCPGQq55lLxUV4WiyE_LwJ9</t>
  </si>
  <si>
    <t>https://drive.google.com/open?id=1KhsMjT2m0tw9CSLkgYKdeMquIeUWBB3h</t>
  </si>
  <si>
    <t>https://drive.google.com/open?id=1vYx7EvvpX6WHHylrfm9lk07GldwbB2ee</t>
  </si>
  <si>
    <t>0120190412</t>
  </si>
  <si>
    <t>DETHE</t>
  </si>
  <si>
    <t>samyakdethe045@gmail.com</t>
  </si>
  <si>
    <t>https://www.linkedin.com/in/samyak-dethe-152115241</t>
  </si>
  <si>
    <t>Bilt old colony, ballarpur</t>
  </si>
  <si>
    <t>Lane Beside Anand multispeciality , alandi</t>
  </si>
  <si>
    <t xml:space="preserve">CS101T-logical Development -C programming
CH101L- Science of nature
CH101T-Science of nature
ME231T- strength of material 
ME222L- engineering informatics 
</t>
  </si>
  <si>
    <t>Infosys springbaord- programming fundamentals using python</t>
  </si>
  <si>
    <t>Introduction to fusion 360</t>
  </si>
  <si>
    <t>Solidworks software</t>
  </si>
  <si>
    <t>Chandrapur super thermal power station - trainee</t>
  </si>
  <si>
    <t xml:space="preserve">Design and development of solar panel cleaning robot </t>
  </si>
  <si>
    <t>AutoCAD, Fusion 360, SolidWorks, CATIA, ANSYS, MATLAB</t>
  </si>
  <si>
    <t>https://preskilet.com/6295e3e8716ac1000498147c</t>
  </si>
  <si>
    <t>https://drive.google.com/open?id=19xlZUE9yyY0npjJdRHd2UHB5t88hS9wZ</t>
  </si>
  <si>
    <t>https://drive.google.com/open?id=1MUSyXrXlvxEiRiqi4G_KajBQTgGja-7A</t>
  </si>
  <si>
    <t>https://drive.google.com/open?id=1viFOUiOvcPq6xPcoPFSWgflftyalGk77</t>
  </si>
  <si>
    <t>https://drive.google.com/open?id=16X8JMmGdqPEnIV30_Qp_4eUuijouMms1</t>
  </si>
  <si>
    <t>https://drive.google.com/open?id=1DbhARxWnjqjaMYR58IMDpR68hZ2RBpCt</t>
  </si>
  <si>
    <t>https://drive.google.com/open?id=1xj5LT2MJKrYmVyOdCG_brpuJAeN_uuz-</t>
  </si>
  <si>
    <t>Branch 
Amcat report 
Technical certification 
 Because it was not available earlier</t>
  </si>
  <si>
    <t>0120190444</t>
  </si>
  <si>
    <t>SUCHAND</t>
  </si>
  <si>
    <t>PRUTHVIRAJ</t>
  </si>
  <si>
    <t>DONGARE</t>
  </si>
  <si>
    <t>suchanddongare829@gmail.com</t>
  </si>
  <si>
    <t>https://www.linkedin.com/in/suchand-dongare-901230241/</t>
  </si>
  <si>
    <t>PRUTHVIRAJ DONGARE</t>
  </si>
  <si>
    <t>INDU DONGARE</t>
  </si>
  <si>
    <t>saoli , dist.chandrapur, maharastra</t>
  </si>
  <si>
    <t>ME3423- Turbomachines
ME343T- Hydraulics and Pneumatics</t>
  </si>
  <si>
    <t>CV102T- Applied Mechanics 
CH101T- Science of nature
CS101T- Logic development C- Programing</t>
  </si>
  <si>
    <t xml:space="preserve">Infosys springboard: Object oriented using python </t>
  </si>
  <si>
    <t xml:space="preserve">Introduction to 3D modelling : AutoCAD
Infosys springboard: Object oriented using python 
Data Science: Internshala </t>
  </si>
  <si>
    <t xml:space="preserve">Introduction to AutoCAD </t>
  </si>
  <si>
    <t xml:space="preserve">internship in Jayant industry </t>
  </si>
  <si>
    <t>https://drive.google.com/drive/folders/1Afj3QlBKNzrmgDaxYYnGLScKomMel8Fl</t>
  </si>
  <si>
    <t>https://drive.google.com/open?id=1t1DHB6mwX8i3MaPy_NAsJUQkY8lYWEJb</t>
  </si>
  <si>
    <t>https://drive.google.com/open?id=1Z6T2Blc9BNVW5vN38dXuwPL6exYMrk8s</t>
  </si>
  <si>
    <t>https://drive.google.com/open?id=1APKhVS4G6ilyxkS3-vtcLzIZOgO2Wfub</t>
  </si>
  <si>
    <t>https://drive.google.com/open?id=1j1Pwm5R5MaUCMGJGRf5A-wjlP_oNvq0J</t>
  </si>
  <si>
    <t>https://drive.google.com/open?id=1SiosQ9EHY-szgcc4nGMi88L4VBRv5CJa</t>
  </si>
  <si>
    <t>https://drive.google.com/open?id=1uO7iEzmY2MsA9ZvsUPSTS4rKcTrbCQ2R</t>
  </si>
  <si>
    <t xml:space="preserve">I have uploaded my technical certificate </t>
  </si>
  <si>
    <t>0120190082</t>
  </si>
  <si>
    <t xml:space="preserve">SAUBHAGYA </t>
  </si>
  <si>
    <t>MONAL</t>
  </si>
  <si>
    <t>monalbansal15@gmail.com</t>
  </si>
  <si>
    <t>https://www.linkedin.com/in/saubhagya- monal-8ab9b0212</t>
  </si>
  <si>
    <t xml:space="preserve"> CHANDRADEO ROY</t>
  </si>
  <si>
    <t>Lohiya Nagar, near Satsang Bhawan, Scottish Public School, Barmasia, Katihar, Bihar-854105</t>
  </si>
  <si>
    <t>Dnyanyog Apartment, C-wing(101), opposite of BOI, Alandi, Pimpri-Chinchwad, Pune, Maharashtra-412105</t>
  </si>
  <si>
    <t>AS105T - CALCULUS AND DIFFERENTIAL EQUATIONS
CV102T - APPLIED MECHANICS
CH101T - SCIENCE OF NATURE</t>
  </si>
  <si>
    <t>Data Structures and Algorithm using Python, Infosys Springboard</t>
  </si>
  <si>
    <t>Google IT Automation with Python Specialization
Python Data Structure
Programming for Everybody(Getting Started with Python)
Statistics and Probability and Probability Distribution for Machine Learning</t>
  </si>
  <si>
    <t>Object-Oriented Programming using Python, Infosys Springboard</t>
  </si>
  <si>
    <t>Python data structure, Programming for Everybody(getting started with Python)</t>
  </si>
  <si>
    <t>Internship at MITAOE CORPORATE RELATIONS.
I was an intern in the MITAOE corporate relations cell for almost 6 weeks.
The main responsibility of this internship was to collect all the informations, databases about companies, to take interview sessions and to promote the same.</t>
  </si>
  <si>
    <t xml:space="preserve">I am going to do internship at Sunflag Iron and Steel  Co. Ltd., Bhandara Warthi Road, Warthi, Nagpur, Maharashtra from 1st July to 31st July 2022. </t>
  </si>
  <si>
    <t xml:space="preserve"> Potato Leaf diseases classification using Image Processing and machine Learning. </t>
  </si>
  <si>
    <t>Vehicle Routing Problem for Parcel Delivery via Drones and Travelling Salesman Problem</t>
  </si>
  <si>
    <t>Nakshatra, Goonj Club (MITAOE)</t>
  </si>
  <si>
    <t>https://preskilet.com/watch?v=6298c03a1eda900004ec123d</t>
  </si>
  <si>
    <t>https://drive.google.com/open?id=1BcJUrrvGpsy8JZqGdlZCG517mUO6IaZ-</t>
  </si>
  <si>
    <t>https://drive.google.com/open?id=1XixW_Xd-XQD58XPHC2DYLsfO9MvEq9ja</t>
  </si>
  <si>
    <t>https://drive.google.com/open?id=1FfX53P_nyDKOY84JNzCSHz3uKfxCM-Wq</t>
  </si>
  <si>
    <t>https://drive.google.com/open?id=1IzSzmineMJ2guuemznBb6AbvkxY2JcVq</t>
  </si>
  <si>
    <t>https://drive.google.com/open?id=1qPFu_EWylNvfN_u44joK2WPD3HbfmMEh</t>
  </si>
  <si>
    <t>https://drive.google.com/open?id=1H6ayuDaUe9B6OZwsWDCuJWmPktWB9XI-</t>
  </si>
  <si>
    <t>https://drive.google.com/open?id=1yW3iXf5hgCChIshZXdFVtsDOqlOF-wu3</t>
  </si>
  <si>
    <t>https://drive.google.com/open?id=15YRkH3LTYqopKx38vRhbhGlNtbVN1lhT</t>
  </si>
  <si>
    <t>https://drive.google.com/open?id=1IvsevRIoMR9PfZnSNxEhIHkmXYgSYvng</t>
  </si>
  <si>
    <t>I updated my technical certifications and Amcat result because I have not uploaded the following certificates earlier</t>
  </si>
  <si>
    <t>0120190455</t>
  </si>
  <si>
    <t>FALGUNI</t>
  </si>
  <si>
    <t>JITENDRA</t>
  </si>
  <si>
    <t>CHARDE</t>
  </si>
  <si>
    <t>chardefalguni.23@gmail.com</t>
  </si>
  <si>
    <t>https://www.linkedin.com/in/falguni-charde-2749511b0/</t>
  </si>
  <si>
    <t>JITENDRA KUMAR CHARDE</t>
  </si>
  <si>
    <t>PURNIMA CHARDE</t>
  </si>
  <si>
    <t>Flat No. 103, Aakruti Residency, Near Globalogic, Harihar Nagar, Besa, Nagpur. 440037</t>
  </si>
  <si>
    <t>2C-1, Near Modern school, WCL Umred Township, Umred. 441203</t>
  </si>
  <si>
    <t>Associate in IT Foundational skills (Python) by Infosys Springboard</t>
  </si>
  <si>
    <t>C++ programming from Speed Computer Guidance (2019)</t>
  </si>
  <si>
    <t>AWS Cloud Computing 101</t>
  </si>
  <si>
    <t>SY Internship: Intern at NCC limited (Umred based camp)
SY Project title: Bio-solar thermal heater
Worked on optimizing the solar structure for household purposes and incorporating biogas for environment friendliness.</t>
  </si>
  <si>
    <t>TY Internship (yet to be started): 1. Trainee intern at Sunflag iron and steel, Warthi, Bhandara
 2. Project based on thermal simulation and mathematical modelling under Head of innovation Thermax Ltd.
TY Project title: Design aspects of vertical farming
Working on making a vertical farming structure/arrangement for residential buildings, apartments, selection of appropriate plants and also incorporating IoT for constant monitoring.</t>
  </si>
  <si>
    <t>SY: Bio-solar thermal heater
TY: Design aspects of vertical farming</t>
  </si>
  <si>
    <t>1. National level workshop on "Introduction to FEA using ANSYS"
2. Virtual Design Now Workshop</t>
  </si>
  <si>
    <t>1. State level swimming</t>
  </si>
  <si>
    <t>MATLAB for Aerospace Applications by Brahmastra Aerospace</t>
  </si>
  <si>
    <t>Vice president at Shutterbugs (college photography club), Content writing lead at official college magazine, Volunteer at Saksham NGO, Member of Under25, Sports (Shotput, Swimming, Basketball)</t>
  </si>
  <si>
    <t xml:space="preserve"> https://preskilet.com/fjcharde@mitaoe.ac.in</t>
  </si>
  <si>
    <t>https://drive.google.com/open?id=1h89qKGJ3l6Vwu3REx1opGLZzASMkZa79</t>
  </si>
  <si>
    <t>https://drive.google.com/open?id=1qFCbqqDJSwpji6Bq-7KCpIvRpdrvebY-</t>
  </si>
  <si>
    <t>https://drive.google.com/open?id=1fvwunk8IFwi8t5E-fFlaDlCjdJLx9Ye9</t>
  </si>
  <si>
    <t>https://drive.google.com/open?id=1gna159mnBrPgJuOcWFkEy-QAiswhwPfp</t>
  </si>
  <si>
    <t>NAVNATH</t>
  </si>
  <si>
    <t>KHOSE</t>
  </si>
  <si>
    <t>ankitakhose1@gmail.com</t>
  </si>
  <si>
    <t>https://www.linkedin.com/in/ankita-khose-a85496226</t>
  </si>
  <si>
    <t>NAVNATH SURYABHAN KHOSE</t>
  </si>
  <si>
    <t>MIRA NAVNATH KHOSE</t>
  </si>
  <si>
    <t>At. Hingani Post- Vihamandwa, Tal-Paithan, Dist-Aurangabad</t>
  </si>
  <si>
    <t>Programming fundamentals using Python: Infosys Springboard"</t>
  </si>
  <si>
    <t xml:space="preserve">Project on Evaluation of Refrigerants for Domestic Refrigerator Using MADM Technique under guidance of Prof. Ashwin Chandore Sir
Internship at pune metro 
</t>
  </si>
  <si>
    <t>Hot Box Detector</t>
  </si>
  <si>
    <t>Fusion 360, CATIA, ANSYS, MATLAB, Creo</t>
  </si>
  <si>
    <t>Participated in various technical webinar on FEA Analysis , guest lectures on thermal analysis using MADM Technique</t>
  </si>
  <si>
    <t>Winner in Kho-Kho sports organized during nakshtra 2k22 at MITAOE
Runner up in throwball competition organized during nakshatra at MITAOE</t>
  </si>
  <si>
    <t>https://preskilet.com/watch?v=62b4a41230b28000045236e7</t>
  </si>
  <si>
    <t>https://drive.google.com/open?id=1TzWmq8sJlQeDfiGzvabsO84_RShqf7Ij</t>
  </si>
  <si>
    <t>https://drive.google.com/open?id=1dt9mPFcido2Jb6Eibo1ZPfn7GWLwh9ih</t>
  </si>
  <si>
    <t>https://drive.google.com/open?id=1XCIAc3EjkSovHyMXhLMaHd8LNtgfwTvy</t>
  </si>
  <si>
    <t>https://drive.google.com/open?id=1kbQ4p_a2V5B2JBQkVqCjt6UZYhXsA1IM</t>
  </si>
  <si>
    <t>https://drive.google.com/open?id=18lgMM2XTKVgHPfFeKHIUT--yrtylAVeX</t>
  </si>
  <si>
    <t>0120190086</t>
  </si>
  <si>
    <t>Gaikwadpratik1910@gmail.com</t>
  </si>
  <si>
    <t>https://www.linkedin.com/in/pratik-gaikwad-a12258196/</t>
  </si>
  <si>
    <t>VIJAYALAXMI</t>
  </si>
  <si>
    <t xml:space="preserve"> Aundh-Ravet BRT Road, Ravet, Pune - 412101</t>
  </si>
  <si>
    <t xml:space="preserve">Ethical Hacking From Scratch - course
Python for Everybody - course </t>
  </si>
  <si>
    <t xml:space="preserve">Corporate Relations(CR) MITAOE - Content Writer </t>
  </si>
  <si>
    <t>IIT- AIA Foundation for Smart Manufacturing (FSM)</t>
  </si>
  <si>
    <t>Steel Defect detection using Computer Vision</t>
  </si>
  <si>
    <t>Design and Development of Vertical Axis Wind Turbine</t>
  </si>
  <si>
    <t>Workshop: 5 Days aptitude workshop( Talent Battle)
Workshop:  2 Days National level workshop on multi criteria decision making methods
Certification: Object Oriented Programming using python(Infosys)</t>
  </si>
  <si>
    <t>I was CR for second Year(Mechanical-Division A)</t>
  </si>
  <si>
    <t>https://drive.google.com/drive/folders/19iLHdQuruJamKEBpYPFcMH5V0CyU8_ME?usp=sharing</t>
  </si>
  <si>
    <t>https://drive.google.com/open?id=1y_rDF6RlXpKXSsFoa0cAx6aznPdxFcLo</t>
  </si>
  <si>
    <t>https://drive.google.com/open?id=1HUsdP4YcUQownZisDH7D6Gckx6_-kxin</t>
  </si>
  <si>
    <t>https://drive.google.com/open?id=1wtYXvcCOF6IBPEBi3_g0dpxZBmLOcJTP</t>
  </si>
  <si>
    <t>https://drive.google.com/open?id=1lr9V82PqZw-FStwMeyKWzdK0v7cAt1mg</t>
  </si>
  <si>
    <t>https://drive.google.com/open?id=1VHMUFWO8LApMb97i8uWtFZkgrKOMAGPm</t>
  </si>
  <si>
    <t>https://drive.google.com/open?id=1SSRqkfWjoapqMZ5IEu2TQUjtNzDyIVKy</t>
  </si>
  <si>
    <t>https://drive.google.com/open?id=1ZvgfzZokh7jvwBgAaheT3F5HcQnDyqNd</t>
  </si>
  <si>
    <t>https://drive.google.com/open?id=1-6RPnjnd-03DtxOkfnRNJguRzymNClbP</t>
  </si>
  <si>
    <t xml:space="preserve">Earlier didn't upload amcat results </t>
  </si>
  <si>
    <t>0120190039</t>
  </si>
  <si>
    <t>GHOTANKAR</t>
  </si>
  <si>
    <t>apghotankar@gmail.com</t>
  </si>
  <si>
    <t>https://www.linkedin.com/in/amey-ghotankar-93274a234/</t>
  </si>
  <si>
    <t>Godavari Spun Pipe Co., Jalna Road, Near Beed Bypass, Georai, Dist. Beed</t>
  </si>
  <si>
    <t>Flat No.203, Asara Dyantirth, Opp. Mit College, Alandi, Pune</t>
  </si>
  <si>
    <t xml:space="preserve">Infosys Springboard- Python Programmer </t>
  </si>
  <si>
    <t>Python For Everybody Certificate Course</t>
  </si>
  <si>
    <t>TNR- College Autosport's Club -BAJA</t>
  </si>
  <si>
    <t>Summer Internship at SparkMinda Technical Centre, Chakan</t>
  </si>
  <si>
    <t>Vehicle Exhaust Treatment with integrated PFR and muffler</t>
  </si>
  <si>
    <t>AutoCAD, Fusion 360, CATIA, ANSYS, Proteus, MATLAB, Arduino UNO, MDSolids</t>
  </si>
  <si>
    <t xml:space="preserve">College Autosport's Club (BAJA) - Member, taken part in National level competition BAJA </t>
  </si>
  <si>
    <t xml:space="preserve">Photography club member, Organized Intra-college E-sports tournament </t>
  </si>
  <si>
    <t>https://preskilet.com/watch?v=62a36496a6956a00045fffd9</t>
  </si>
  <si>
    <t>https://drive.google.com/open?id=1eWA_iXYkCXVfJO8STzot0Wbyo4NBsLcq</t>
  </si>
  <si>
    <t>https://drive.google.com/open?id=1aewVYY09GeeZYdVrwwwuE8wXjNGj_wFK</t>
  </si>
  <si>
    <t>https://drive.google.com/open?id=1X8M7fk7g25MOTyPksUsEOEPFclTzIlyr</t>
  </si>
  <si>
    <t>https://drive.google.com/open?id=1a3Ru14IxLFmjv7IK2AmZ8lIXa-jdh1KR</t>
  </si>
  <si>
    <t>https://drive.google.com/open?id=1OUFplbRmPxeCP42Kpaa8uX14vv-e-Fuk</t>
  </si>
  <si>
    <t>https://drive.google.com/open?id=1s9pFnHrtDthB5VsLiR7hyJD1xbjeUKf0</t>
  </si>
  <si>
    <t>No updates</t>
  </si>
  <si>
    <t>0120190546</t>
  </si>
  <si>
    <t>TUKADUDAS</t>
  </si>
  <si>
    <t>CHACHARKAR</t>
  </si>
  <si>
    <t>lalitchacharkar1@gmail.com</t>
  </si>
  <si>
    <t>Ltchacharkar@mitaoe.ac.in</t>
  </si>
  <si>
    <t>www.linkedin.com/in/lalit-chacharkar-07a360191</t>
  </si>
  <si>
    <t>TUKADUDAS GOVINDRAO CHACHARKAR</t>
  </si>
  <si>
    <t>SAVITA TUKADUDAS CHACHARKAR</t>
  </si>
  <si>
    <t>SAMATA COLONY, BRAMHAPURI - 441206</t>
  </si>
  <si>
    <t>Associate in IT Foundation Skills (Python) : Infosys Springboard</t>
  </si>
  <si>
    <t>Blue Prism® Foundation Training : Robotics Process Automation
Blue Prism® Associate Developer (EN-2021) Learning Plan : Robotics Process Automation
Programming for Everybody (Getting Started with
Python) : Coursera
Python Data Structures : Coursera
Fundamentals of Graphic Design : Coursera</t>
  </si>
  <si>
    <t>SOCIAL MEDIA MARKETING : Harren</t>
  </si>
  <si>
    <t>Smart Irrigation System Using IOT</t>
  </si>
  <si>
    <t xml:space="preserve">
TY Summer Internship : Intern as Web Designer At Sparks Foundation</t>
  </si>
  <si>
    <t>Design Aspects of Vertical Farming Structure</t>
  </si>
  <si>
    <t>State level : Softball Player</t>
  </si>
  <si>
    <t>Basketball, swimming, weeb</t>
  </si>
  <si>
    <t>https://preskilet.com/watch?v=62b438fd30b280000452316b</t>
  </si>
  <si>
    <t>https://drive.google.com/open?id=16iP7kUjPXoOSe9NVczssQR0xuH3KYU3K</t>
  </si>
  <si>
    <t>https://drive.google.com/open?id=1Kb_ky0LJ5PPDRAwM-jchEI9LU2DF_-6R</t>
  </si>
  <si>
    <t>https://drive.google.com/open?id=16V6DX6JcTF2qZ5o48U7vaDXsO6OUQCbx</t>
  </si>
  <si>
    <t>https://drive.google.com/open?id=18vnHI_890QzzspJiIrK-1bEQE8u4-gb1</t>
  </si>
  <si>
    <t>https://drive.google.com/open?id=1leggXk6eWHPEkZtdpgjg99Vrfn7o2RQ8</t>
  </si>
  <si>
    <t>https://drive.google.com/open?id=10Cc5DEVjL4bntv1ra7lUdl6b7nag05PG</t>
  </si>
  <si>
    <t>0120190077</t>
  </si>
  <si>
    <t>JOTIRAM</t>
  </si>
  <si>
    <t>DADAS</t>
  </si>
  <si>
    <t>sandipdadas123@gmail.com</t>
  </si>
  <si>
    <t>https://www.linkedin.com/in/sandip-dadas-70590a212</t>
  </si>
  <si>
    <t>JOTIRAM KAMA DADAS</t>
  </si>
  <si>
    <t xml:space="preserve">Plot No. 13C ,Manohar Kotwal Nagar, Phulewadi Ring-Road, Kolhapur. </t>
  </si>
  <si>
    <t>Infosys springboard - Python programmer certification</t>
  </si>
  <si>
    <t xml:space="preserve">MATLAB : MATLAB Onramp,   Infosys Springboard : Introduction of python ,Python programmer certification, Blue prism - Robotics Process Automation  </t>
  </si>
  <si>
    <t>Coursera -Programming for Everybody</t>
  </si>
  <si>
    <t>Internshala Trainings : Machine learning.</t>
  </si>
  <si>
    <t>ACME TOOLS: Project on Drilling Robot with Automation</t>
  </si>
  <si>
    <t xml:space="preserve">TY Beth (major project ):  Manufacturing landmine detection ,diffusion and surveillance Rover </t>
  </si>
  <si>
    <t>https://preskilet.com/watch?v=629b775371d9d70004a56e74</t>
  </si>
  <si>
    <t>https://drive.google.com/open?id=1caNEXwQoB6nt8L3iZvKG9j4aobVFT_mN</t>
  </si>
  <si>
    <t>https://drive.google.com/open?id=1mmntpr9DkJz8Kl2_pq5I-aurATixhTjn</t>
  </si>
  <si>
    <t>https://drive.google.com/open?id=142N1OSA4zsKJtWjbOkDXQch5neos4iOp</t>
  </si>
  <si>
    <t>https://drive.google.com/open?id=1EOIQhlB2IeUzrvDVjF0ebO7QiZpdiljB</t>
  </si>
  <si>
    <t>https://drive.google.com/open?id=1YL1-TS8HpJ8C_UJ9UzkfYa3oEIBu0v18</t>
  </si>
  <si>
    <t>https://drive.google.com/open?id=1uUHItiPWlamF0OewUumjOaHEsDxvljFl</t>
  </si>
  <si>
    <t>https://drive.google.com/open?id=18BeY8_idMQr3wxJuBjOt8nT3PfQAlcv2</t>
  </si>
  <si>
    <t>I updated technical certificates because, I added them industrial certificates by mistake</t>
  </si>
  <si>
    <t>0120190340</t>
  </si>
  <si>
    <t>TILE</t>
  </si>
  <si>
    <t>aratitile155@gmail.com</t>
  </si>
  <si>
    <t>https://www.linkedin.com/in/aarti-tile-796101232</t>
  </si>
  <si>
    <t>SUBHASH BHIVAJIRAO TILE</t>
  </si>
  <si>
    <t>SUNITA SUBHASH TILE</t>
  </si>
  <si>
    <t>Prayag Nivas , Sai Nagar ,Bidar Gate , Udgir</t>
  </si>
  <si>
    <t>Mauli Krupa Sadan Girl's Hostel , Tapkir Nagar , Dehu Road , Aalandi</t>
  </si>
  <si>
    <t>Infosys/Springboard - Programming Fundamentals using Python - Science Graduates - Foundation Program</t>
  </si>
  <si>
    <t>MathWorks - MATLAB Onramp
Infosys - Introduction to Python
EduSkills/BluePrism - Robotic  Process Automation (RPA) Virtual Internship
Infosys/Springboard - CATIA V5 - Computer Aided Design (CAD)</t>
  </si>
  <si>
    <t>Infosys/Springboard - Learn Programming with Java - An Interactive Way
AUTODESK - Introduction to CAD and CAM  for Milling and Turning</t>
  </si>
  <si>
    <t>Coursera - Programming for Everybody
Coursera - Python Data Structure</t>
  </si>
  <si>
    <t>Coursera - Networking and Security Architecture with VMware NSX</t>
  </si>
  <si>
    <t>ACME TOOLS - Project on  Drilling Robot with Automation</t>
  </si>
  <si>
    <t>TY B.Tech.(Major Project) - Manufacturing of Landmine Detection , Diffusion and Surveillance Rover</t>
  </si>
  <si>
    <t>https://preskilet.com/watch?v=62979a9e5545ea0004a928e8</t>
  </si>
  <si>
    <t>https://drive.google.com/open?id=1ER2DFNwDSXYYpke_nArxjMzrgMbhyNH6</t>
  </si>
  <si>
    <t>https://drive.google.com/open?id=15e7AnSIm3RaRKgA9FLaTNzwHCYwf_zU0</t>
  </si>
  <si>
    <t>https://drive.google.com/open?id=1LcVbtt4HCprMrr-9yqEDJzLfde8MLz5S</t>
  </si>
  <si>
    <t>https://drive.google.com/open?id=17cFqIAoECKfp6j3wWB9yDjiCJyErtN4m</t>
  </si>
  <si>
    <t>https://drive.google.com/open?id=1xo4D8XholLpOH3Sec6TnvG34Vv_D9S9I</t>
  </si>
  <si>
    <t>https://drive.google.com/open?id=1UX01GCENo-itafDVEQoojqDRGiH4ls3z</t>
  </si>
  <si>
    <t>https://drive.google.com/open?id=1Hj8rLhG1w5SYvXlv_Xh5UOUCalA2HSNt</t>
  </si>
  <si>
    <t>https://drive.google.com/open?id=1-65qK8g8a7iJc02S4I9q2ciJNONeSlOA</t>
  </si>
  <si>
    <t>https://drive.google.com/open?id=1IZw79baszbei_ceOrdqh7zt0gW_NbvJh</t>
  </si>
  <si>
    <t xml:space="preserve">I have not submitted earlier the amcat results. </t>
  </si>
  <si>
    <t>0220200047</t>
  </si>
  <si>
    <t xml:space="preserve">MANAL </t>
  </si>
  <si>
    <t xml:space="preserve">YUVRAJ </t>
  </si>
  <si>
    <t xml:space="preserve">KAMBLE </t>
  </si>
  <si>
    <t>manalkamble007@gmail.com</t>
  </si>
  <si>
    <t xml:space="preserve">manal.kamble@mitaoe.ac.in </t>
  </si>
  <si>
    <t>https://www.linkedin.com/in/manal-kamble-6b856720a</t>
  </si>
  <si>
    <t xml:space="preserve">YUVRAJ VITTHAL KAMBLE </t>
  </si>
  <si>
    <t xml:space="preserve">SANJIVANI YUVRAJ KAMBLE </t>
  </si>
  <si>
    <t xml:space="preserve">Behind Nehru school Ghutkala ward Chandrapur </t>
  </si>
  <si>
    <t xml:space="preserve">1000 boys girls samaj kalayan hostel unit 1 vishrantwadi pune </t>
  </si>
  <si>
    <t xml:space="preserve">Microsoft  technology  Associate :  introduction to programming by using Python </t>
  </si>
  <si>
    <t>Infosys : springboard . Programming Fundamentals using Python - Science Graduates - Foundation
 Program</t>
  </si>
  <si>
    <t xml:space="preserve">Infosys springboard: Object Oriented Programming using Python </t>
  </si>
  <si>
    <t xml:space="preserve">Iot based solar panel cleaning </t>
  </si>
  <si>
    <t xml:space="preserve">Desing of military surveillance robot </t>
  </si>
  <si>
    <t xml:space="preserve">Box transfer mechanism prototype </t>
  </si>
  <si>
    <t>Fusion 360, CATIA, ANSYS, MATLAB</t>
  </si>
  <si>
    <t xml:space="preserve">Summer Training :- Maharashtra State Road Transport Corporation [MSRTC] During  Diploma </t>
  </si>
  <si>
    <t xml:space="preserve">Member of shutterbug photography club </t>
  </si>
  <si>
    <t>https://preskilet.com/watch?v=62bd89a09535010004fd2669</t>
  </si>
  <si>
    <t>https://drive.google.com/open?id=1_QrYzw9xIHy5bxlks717-OL8cfnsVsAL</t>
  </si>
  <si>
    <t>https://drive.google.com/open?id=16w-smS1Z2Yle8b0zxWb49L7rd6omXVDw</t>
  </si>
  <si>
    <t>https://drive.google.com/open?id=1lH9Utvb-ybmIvrkBaakDya8hzKaOTMsy</t>
  </si>
  <si>
    <t>https://drive.google.com/open?id=1sXpUOzoHqzNLcvQMNvaG_Xsr2iBZzv0t</t>
  </si>
  <si>
    <t>https://drive.google.com/open?id=10jZ4ENZ5Q-F-Snn-i_qo7pNyCvb7ZrcO</t>
  </si>
  <si>
    <t>https://drive.google.com/open?id=1XSvoUDRmwN1d8CZmHeuLrREgHHOXt4tl</t>
  </si>
  <si>
    <t>https://drive.google.com/open?id=1UxbxeASPmN-sOL_L7u-L5Cel4ZAHt1dx</t>
  </si>
  <si>
    <t>https://drive.google.com/open?id=1XKAEzjmTzvWjwV6d3yw5Aay6X8DEbINc</t>
  </si>
  <si>
    <t>https://drive.google.com/open?id=1H7NorN8UllzPJrYUvn7xqsz1qMVXWjnh</t>
  </si>
  <si>
    <t>https://drive.google.com/open?id=1mZ8og5hpryo5OFVgoDtijKyRWMT_SG0V</t>
  </si>
  <si>
    <t>https://drive.google.com/open?id=1A9rTN8wBRacWxao01HIzDiOVYh_D3rDI</t>
  </si>
  <si>
    <t>At previous form I didn't fill preskillet link and technical certification that why I edited the form and add the link and certificaties.</t>
  </si>
  <si>
    <t>0120190248</t>
  </si>
  <si>
    <t xml:space="preserve">VAIBHAV </t>
  </si>
  <si>
    <t xml:space="preserve">VIJAY </t>
  </si>
  <si>
    <t xml:space="preserve">GENGANE </t>
  </si>
  <si>
    <t>vaibhavgengane@gmail.com</t>
  </si>
  <si>
    <t>https://www.linkedin.com/in/vaibhav-gengane-8a15231ab</t>
  </si>
  <si>
    <t xml:space="preserve">VIJAY VASANT GENGANE </t>
  </si>
  <si>
    <t xml:space="preserve">SUREKHA VIJAY GENGANE </t>
  </si>
  <si>
    <t xml:space="preserve">B 121 Sindhu Vihar, Jule Solapur, Solapur 413004 </t>
  </si>
  <si>
    <t xml:space="preserve">Infosys springboard : Python Programming </t>
  </si>
  <si>
    <t>AUTODESK : Fusion 360
MathWorks : MATLAB Programming Techniques</t>
  </si>
  <si>
    <t xml:space="preserve">Ifortis Worldwide : Trainee, 
Universal tribes : Trainee </t>
  </si>
  <si>
    <t>Indian Railways : As a intern 
DRM Office Solapur.</t>
  </si>
  <si>
    <t>Analysis of variation of heat treatments and its 
parameters on various grades of steels</t>
  </si>
  <si>
    <t>International Youth Math Challenge : Participant</t>
  </si>
  <si>
    <t xml:space="preserve">Part of Sewa International as a volunteer </t>
  </si>
  <si>
    <t>https://preskilet.com/watch?v=62b5764eaf4f2700045cde9a</t>
  </si>
  <si>
    <t>https://drive.google.com/open?id=1KGIiuY-wK5HGgbfqtZ81bcnYKEND43xH</t>
  </si>
  <si>
    <t>https://drive.google.com/open?id=1WC_5CObZ8nggK89ThV5JJPbY5Wke7wiw</t>
  </si>
  <si>
    <t>https://drive.google.com/open?id=14oxxrBQhozrwlLld7MusJe7QXi3pRvjS</t>
  </si>
  <si>
    <t>https://drive.google.com/open?id=1AQyU1HjKOmbwOtE-bmT2h-_BXOEvQGL1</t>
  </si>
  <si>
    <t>https://drive.google.com/open?id=1wdaKdDCy_F2Y51PGJN0lEPrL63NJa9-w</t>
  </si>
  <si>
    <t>https://drive.google.com/open?id=1jFlCM4MKWL_iGES8Z89T7EowxVquTr1k</t>
  </si>
  <si>
    <t>https://drive.google.com/open?id=1w-XcPTvqJJxsafEbdJzhTJeEVVcrI3Du</t>
  </si>
  <si>
    <t>Internship Certificates All Compiled Updated . Because TY Internship certificate Is Remain</t>
  </si>
  <si>
    <t>0120190263</t>
  </si>
  <si>
    <t xml:space="preserve">PRIYANSHU </t>
  </si>
  <si>
    <t>TRIPATHI</t>
  </si>
  <si>
    <t>tripathipt2001@gmail.com</t>
  </si>
  <si>
    <t>linkedin.com/in/priyanshu-tripathi-4a768a1b7</t>
  </si>
  <si>
    <t>RAJESH TRIPATHI</t>
  </si>
  <si>
    <t>SANDHYA TRIPATHI</t>
  </si>
  <si>
    <t>202, UNIQUE ORBIT 1, NEAR RAMDEV PARK, RAMDEV JUNCTION, MIRA ROAD, THANE 401107</t>
  </si>
  <si>
    <t xml:space="preserve">Microsoft AI-900: Microsoft Azure AI Fundamentals </t>
  </si>
  <si>
    <t xml:space="preserve">Infosys: Associate In IT Foundation Skills (Python) </t>
  </si>
  <si>
    <t xml:space="preserve">CR Internship at MITAOE </t>
  </si>
  <si>
    <t>Machine Learning Intern at Suvidha Foundation</t>
  </si>
  <si>
    <t>Potato Leaf disease classification using Image Processing and Machine Learning</t>
  </si>
  <si>
    <t xml:space="preserve">1. Attended Google Cloud 24 Days Challenge
2. Completed 2 hours Master Class on P2B#151 Python and Machine Learning Fundamentals provided by Perfect Plan B ELearning Private Limited
</t>
  </si>
  <si>
    <t>I was Runner-up in Cricket and Carrom in the Sports held at MITAOE.</t>
  </si>
  <si>
    <t>https://preskilet.com/watch?v=629714fa5545ea0004a9235b</t>
  </si>
  <si>
    <t>https://drive.google.com/open?id=1l1Cr21T019A6NgTmdLMJN3T00G3Jwl0a</t>
  </si>
  <si>
    <t>https://drive.google.com/open?id=1mMIqvXLPgN3jOh9H-6msr5pPEBYuLGjc</t>
  </si>
  <si>
    <t>https://drive.google.com/open?id=1IMk9t1FOjZcYAoIeXEM4Lz3-Mub_vsxo</t>
  </si>
  <si>
    <t>https://drive.google.com/open?id=13pd4kxCVXlO_98G88-bo4ktMtupdTtPq</t>
  </si>
  <si>
    <t>https://drive.google.com/open?id=1cr6S2t5f0quzbe5aQoMRjaOiluyMbBtE</t>
  </si>
  <si>
    <t>0120190264</t>
  </si>
  <si>
    <t>SUDHAKAR</t>
  </si>
  <si>
    <t>DHAKNE</t>
  </si>
  <si>
    <t>dhakne.nishant1@gmail.com</t>
  </si>
  <si>
    <t>https://www.linkedin.com/in/nishant-dhakne-322134236</t>
  </si>
  <si>
    <t>SHITAL</t>
  </si>
  <si>
    <t>Plot No-33, Gut No-168, CIDCO MAHANAGAR-1, Waluj, Aurangabad, 431136</t>
  </si>
  <si>
    <t>C2-46, Heritage Complex, near Gajanan maharaj mandir sansthan, Dehu Phata, Alandi, Pune</t>
  </si>
  <si>
    <t>EX102T . ELECTRICAL AND ELECTRONICS ENGINEERING
ME104T . ENGINEERING GRAPHICS</t>
  </si>
  <si>
    <t>Programming Fundamentals using Python - part 2 (INFOSYS Springboard)</t>
  </si>
  <si>
    <t>1. Graphics Design by Internshala
2. Python for Everybody by Coursera</t>
  </si>
  <si>
    <t>Suryamitra : solar P.V. installer</t>
  </si>
  <si>
    <t>In FY I did python, MATLAB certification course instead of internship.</t>
  </si>
  <si>
    <t>I did Graphic designing 2 months certification course. I scored 80% marks.</t>
  </si>
  <si>
    <t>Currently I am doing Solar P.V. installer certification course. 
Also I am an Intern at Krishigati PVT LTD.</t>
  </si>
  <si>
    <t>1. Suryamitra: Solar P.V. Installer and EV Stations
2. Krishigati Pvt. Ltd.</t>
  </si>
  <si>
    <t>1. I was in the core committee and an active member of the " Team
Chakravyuh ". Where we have organized an intra college E-sport event of BGM ( 19th - 23rd March 2022 )
2. Active member of Robinhood Army</t>
  </si>
  <si>
    <t>I have availed free training at OM Mahabali Enterprises ( vendor of Endurance Pvt.Ltd ) for one month. where I did training on CNC , VMC, Drilling machines and lathe.</t>
  </si>
  <si>
    <t>I was in the core committee ( Event Manager ) and an active member of the " Team
Chakravyuh ". Where we have organized an intra college E-sport event of BGMI.</t>
  </si>
  <si>
    <t>https://preskilet.com/watch?v=62a2402afed70c00042b695f</t>
  </si>
  <si>
    <t>https://drive.google.com/open?id=1kA0JyicoXNWFV0wtJFcKP2ncqnUZK1nB</t>
  </si>
  <si>
    <t>https://drive.google.com/open?id=17GKMKeYiTprdHUB3idm67xm_h-JGxkaw</t>
  </si>
  <si>
    <t>https://drive.google.com/open?id=1E8K_8gU5iforyqDJIPyrSDefnqviK4c4</t>
  </si>
  <si>
    <t>0120190571</t>
  </si>
  <si>
    <t>SHRINIVAS</t>
  </si>
  <si>
    <t>BIRADAR</t>
  </si>
  <si>
    <t>amolshrinivas23@gmail.com</t>
  </si>
  <si>
    <t>https://www.linkedin.com/in/amol-biradar-9bb319223</t>
  </si>
  <si>
    <t>SHRINIVAS JAIHINDRAO BIRADAR</t>
  </si>
  <si>
    <t>MEENA SHRINIVAS BIRADAR</t>
  </si>
  <si>
    <t>NEAR PRIYADARSHANI SCHOOL INDRAYANI NAGAR, SEC NO 2 PLOT NO231 NISARAG COLONY, BHOSARI, Pune, Maharashtra, 411026</t>
  </si>
  <si>
    <t>Catia v5-(CAD) by Infosys</t>
  </si>
  <si>
    <t>60 HOURS (6 WEEKS) INDUSTRIAL TRAINING/INTERNSHIP ON "IOT" CONDUCTED BY ENOVATE SKILL VIA ICT MODE.
Certification in MS-CIT Course
Certification in Photoshop course</t>
  </si>
  <si>
    <t>Certification course in German language (1yr course)</t>
  </si>
  <si>
    <t>Certificates in elementary and intermediate grade drawing examinations</t>
  </si>
  <si>
    <t>Voluenteering at Adore India</t>
  </si>
  <si>
    <t>Management trainee at Adore India</t>
  </si>
  <si>
    <t xml:space="preserve">40 days Internship at Saptasatij industries </t>
  </si>
  <si>
    <t>Anti-collision system for drones/ UAV'S</t>
  </si>
  <si>
    <t xml:space="preserve">Part of Areo club drone </t>
  </si>
  <si>
    <t>Satalite leader at adore India worked as HR at it</t>
  </si>
  <si>
    <t>https://preskilet.com/watch?v=62a3893ba6956a00046006aa</t>
  </si>
  <si>
    <t>https://drive.google.com/open?id=19jgQ8yTzFmXWQMOwDST3aqYWzIDo3Si_</t>
  </si>
  <si>
    <t>https://drive.google.com/open?id=1ISZsmKaD13aPkqFiF_Kn7Xmibq86T22t</t>
  </si>
  <si>
    <t>https://drive.google.com/open?id=1w2mFIKFh0fsPkQP_qbZ8aIke2MG1Xfx-</t>
  </si>
  <si>
    <t>https://drive.google.com/open?id=1w9O3oa3zz1UIx5l_ModNbib3G2ZQPBc-</t>
  </si>
  <si>
    <t>https://drive.google.com/open?id=1apwrtO69e09JJeBLd5PpIV_vzHsYu32z</t>
  </si>
  <si>
    <t>https://drive.google.com/open?id=1aVaqKu7kgqwwnFv5mND2Z74lbnHnDHzt</t>
  </si>
  <si>
    <t>0120190194</t>
  </si>
  <si>
    <t>atharva.umbarkar2001@gmail.com</t>
  </si>
  <si>
    <t>https://www.linkedin.com/in/atharva-umbarkar-12a003194</t>
  </si>
  <si>
    <t>BALASAHEB UMBARKAR</t>
  </si>
  <si>
    <t>MANISHA UMBARKAR</t>
  </si>
  <si>
    <t>Plot no.9, "Punjai", Lane No.2, Near Podar High School,Uttaranagar, Tapovan Link Road, Nashik</t>
  </si>
  <si>
    <t>No Backlogs</t>
  </si>
  <si>
    <t>Infosys Springboard: Programming Fundamentals</t>
  </si>
  <si>
    <t>Project: Recycling the waste water from washing machine
In this, we research the current market need, understood and analyzed the major problem faced by common people, need of the customers and developed a mechanical prototype having the capacity to recycle 95% of waste water in addition to its reuse for the next rinsing cycle.</t>
  </si>
  <si>
    <t>Company Name: - Probion Tech Pvt. Ltd.
In this internship, I am being interned as a person who will be working in structural steel detailing. I will also  provide fabrication shop drawings and Erection drawings for field use. In addition to this, I will be studying and performing the analysis of architectural and structural drawings and also detailing of simple members followed by communication with senior for raising of queries.</t>
  </si>
  <si>
    <t>Project: Universal Stair Climbing Mechanism
In this project, an attempt was made to develop an automated and mechanical prototype which would facilitate an alternative to the conventional hydraulic lifts and serve the purpose of transporting the medical necessity from desired place to desired location.</t>
  </si>
  <si>
    <t>AutoCAD, Fusion 360, CATIA, Figma, Proteus, MATLAB</t>
  </si>
  <si>
    <t>https://preskilet.com/watch?v=6297057f5545ea0004a92318</t>
  </si>
  <si>
    <t>https://drive.google.com/open?id=1WyP63UgpcWQWwzlWgI1VzeW5I-1NHTGR</t>
  </si>
  <si>
    <t>https://drive.google.com/open?id=1qOb7hBQzTFS6Iv1Wwgs_VwDhuzOF9m7n</t>
  </si>
  <si>
    <t>https://drive.google.com/open?id=1VPdXmtSh7xGFO563MKWvqvfsrGsRS3H9</t>
  </si>
  <si>
    <t>https://drive.google.com/open?id=1taXvgSETwmlqkOWldu9orLSLxzgvar2B</t>
  </si>
  <si>
    <t>https://drive.google.com/open?id=1eYKs36QBQnhqErS6Q7-_cOtZ3xzjXteq</t>
  </si>
  <si>
    <t>0220200039</t>
  </si>
  <si>
    <t>RAMPELLIWAR</t>
  </si>
  <si>
    <t>sara007ram@gmail.com</t>
  </si>
  <si>
    <t>https://www.linkedin.com/in/sarang-rampelliwar-718794241</t>
  </si>
  <si>
    <t>SUSHMA</t>
  </si>
  <si>
    <t>Shri ram ward no: 2 Ghugus Dist: Chandrapur</t>
  </si>
  <si>
    <t xml:space="preserve">CAD DESK </t>
  </si>
  <si>
    <t xml:space="preserve">Solar panel Cleaning System </t>
  </si>
  <si>
    <t xml:space="preserve">Internship - Skey Products. </t>
  </si>
  <si>
    <t>Multi-point Spray Fertilizer</t>
  </si>
  <si>
    <t xml:space="preserve">1. Robotics Workshop. </t>
  </si>
  <si>
    <t xml:space="preserve">Post matrix scholarship for OBC </t>
  </si>
  <si>
    <t xml:space="preserve">1. SIX SIGMA YELLOW BELT. </t>
  </si>
  <si>
    <t xml:space="preserve">1. Diploma Final year CR. 
2. Member of NSS club. 
3. Conducted various event at my Diploma college. </t>
  </si>
  <si>
    <t>https://drive.google.com/drive/folders/1U-lWGp0Pu_wFNP1TWMHHhN2pTERPPPHQ</t>
  </si>
  <si>
    <t>https://drive.google.com/open?id=1clBvQ5rvs9icObsRiIaZ_HKxix4aOTaa</t>
  </si>
  <si>
    <t>https://drive.google.com/open?id=12zy6g-1jAgTNIeDNgrV9EFVVbtfAxzKq</t>
  </si>
  <si>
    <t>https://drive.google.com/open?id=1mAgchk5_C8dfsZzBxy8Y1-64sKV4qTeR</t>
  </si>
  <si>
    <t>https://drive.google.com/open?id=1pSSVj9tYNOH8rLSSg2q_2xcW9u14omuE</t>
  </si>
  <si>
    <t>https://drive.google.com/open?id=1qYNx2KQdei50zjvoqmxjoUn_nnuqQlW4</t>
  </si>
  <si>
    <t xml:space="preserve">Updated technical Certification as it was completed on 23rd June. </t>
  </si>
  <si>
    <t>0220200203</t>
  </si>
  <si>
    <t>ANURAJ</t>
  </si>
  <si>
    <t>MARATHE</t>
  </si>
  <si>
    <t>anurajmarathe4192@gmail.com</t>
  </si>
  <si>
    <t>https://www.linkedin.com/in/anuraj-marathe-9b2876228</t>
  </si>
  <si>
    <t>ANILRAO GOVINDRAO MARATHE</t>
  </si>
  <si>
    <t>RAJESHREE ANILRAO MARATHE</t>
  </si>
  <si>
    <t>Khote nagar, jalgaon ,425001</t>
  </si>
  <si>
    <t>FUNDAMENTALS OF PYTHON</t>
  </si>
  <si>
    <t>FUNDAMENTALS OF PYTHON, MATLAB ONRAMP</t>
  </si>
  <si>
    <t>Infosys springboard ( object oriented programming with python)</t>
  </si>
  <si>
    <t>PROJECT ON SELF SUSPENSION WHEEL</t>
  </si>
  <si>
    <t>PROJECT ON OPTIMIZATION OF BUS BODY</t>
  </si>
  <si>
    <t>FOURWAY SURFACE FINISHING MACHINE ( PATENT WORK ONGOING)</t>
  </si>
  <si>
    <t>MEMBER OF MESA COMMITTEE, CR COORDINATOR.</t>
  </si>
  <si>
    <t>ARYABHATTA MATH OLYMPIAD AIR 15, INDUSTRY 6.0 COMPITION AIR 3</t>
  </si>
  <si>
    <t>1)ATTENDS THE SEMINAR ON ROBOTICS ARM, 2)TOOK THE TRAINING AT POLYMER COMPANY AS SUPERVISOR
3)ATTENDS THE THE TECHNICAL SEMINARS ON MECHANICAL ENGINEERING
4) ATTENDS THE TECHNICAL DISCUSSION ON MECHANICAL ENGINEERING
5) ATTENDS THE VARIOUS PROBLEM SOLVING SESSION WHICH IS OCCURRED IN MECHANICAL ENGINEERING
6) TECHNICAL DISCUSSION ON TRENDING TECHANOLOGY IN MECHANICAL ENGINEERING.</t>
  </si>
  <si>
    <t>1) DOING RESEARCH ON NANOCOATING
2) DOING PATENT WORK ON FOURWAY SURFACE FINISHING MACHINE
3)ATTENDS THE SEMINAR ON ROBOTICS ARM, 4)TOOK THE TRAINING AT POLYMER COMPANY AS SUPERVISOR
5)ATTENDS THE THE TECHNICAL SEMINARS ON MECHANICAL ENGINEERING
6) ATTENDS THE TECHNICAL DISCUSSION ON MECHANICAL ENGINEERING
7)ATTENDS THE VARIOUS PROBLEM SOLVING SESSION WHICH IS OCCURRED IN MECHANICAL ENGINEERING
8)TECHNICAL DISCUSSION ON TRENDING TECHANOLOGY IN MECHANICAL ENGINEERING.</t>
  </si>
  <si>
    <t>https://drive.google.com/folderview?id=1Mr4GEDkXsY7FwzXXAIXZ_UaTgxNVOQkX</t>
  </si>
  <si>
    <t>https://drive.google.com/open?id=1lbkrKOIDXke3VoSLShTGhVSCk6zkTF6h</t>
  </si>
  <si>
    <t>https://drive.google.com/open?id=1sRGqNSaqEfZu8szaaDAjx1bATTtzOz1t</t>
  </si>
  <si>
    <t>https://drive.google.com/open?id=1nx_XM5c5K0LOK7dT0fu1nRp7G0k0Caqf</t>
  </si>
  <si>
    <t>https://drive.google.com/open?id=1FwYD0te4ov-umWbYeqm3-k7q3W3z8AN2</t>
  </si>
  <si>
    <t>0120190620</t>
  </si>
  <si>
    <t xml:space="preserve">MANAS </t>
  </si>
  <si>
    <t>SHANKAR</t>
  </si>
  <si>
    <t>manasmane77@gmail.com</t>
  </si>
  <si>
    <t>https://www.linkedin.com/in/manas-mane-529169197</t>
  </si>
  <si>
    <t>SHANKAR MANE</t>
  </si>
  <si>
    <t>CHANDRAKALA MANE</t>
  </si>
  <si>
    <t>Plot no. 10,Raj rachana nagar,devekar panand,kolhapur</t>
  </si>
  <si>
    <t>CV102- Applied Mechanics</t>
  </si>
  <si>
    <t>Programming Fundamentals using python: Infosys springboard</t>
  </si>
  <si>
    <t>Aerobotix techsolutions.</t>
  </si>
  <si>
    <t>Data science,Ai,Ml</t>
  </si>
  <si>
    <t>Solar panel cleaning robot.</t>
  </si>
  <si>
    <t>Data science
Artificial Intelligence 
Machine Learning</t>
  </si>
  <si>
    <t>Taekwondo championship:- State gold
Taekwondo National:- Silver</t>
  </si>
  <si>
    <t>https://preskilet.com/watch?v=62b54a26af4f2700045cdb15</t>
  </si>
  <si>
    <t>https://drive.google.com/open?id=1ECfXgCD7SP8JW2M0fkhelz3qRdwfuVxI</t>
  </si>
  <si>
    <t>https://drive.google.com/open?id=12sn7c-T40JVjhrpVQEBB--ph7S1I0Fty</t>
  </si>
  <si>
    <t>https://drive.google.com/open?id=18ThhL4A9lQqsHV9s3clcwpj76B-C5PH8</t>
  </si>
  <si>
    <t>0220200035</t>
  </si>
  <si>
    <t>JALINDAR</t>
  </si>
  <si>
    <t>omkarkale655@gmail.com</t>
  </si>
  <si>
    <t>https://www.linkedin.com/in/onkar-kale-246587240/</t>
  </si>
  <si>
    <t>At Post Sansar, Tal - Indapur, Dist - Pune 413104</t>
  </si>
  <si>
    <t>Production of Algae Bio fuel.
we are making a algae biofuel.</t>
  </si>
  <si>
    <t xml:space="preserve">Project :Experimental analysis of Algae bio fuel by RVM machine learning.
Internship : HBPL Marakal as Mechanical Products Designer. </t>
  </si>
  <si>
    <t>Experimental analysis of Algae bio fuel by RVM machine learning</t>
  </si>
  <si>
    <t xml:space="preserve">I am member of Team Niyudrath Racing Auto sport club of MIT AOE Alandi. </t>
  </si>
  <si>
    <t>https://preskilet.com/watch?v=62b58c99af4f2700045cdf52</t>
  </si>
  <si>
    <t>https://drive.google.com/open?id=1zhjSts3Re02OQIJaJFwaIfQiLqILFe-X</t>
  </si>
  <si>
    <t>https://drive.google.com/open?id=10tVm0EuoTZ00Oy2hjdE9QBTBUh-iY_5B</t>
  </si>
  <si>
    <t>https://drive.google.com/open?id=13eAPuoMGg6U81po6Ky_K_autr48NTmbu</t>
  </si>
  <si>
    <t>https://drive.google.com/open?id=18Pn-22e6DETNemTmInlcy_uqJ0bRpYER</t>
  </si>
  <si>
    <t>https://drive.google.com/open?id=17xZz6ok_nbyckWZFn52jp4N3qiMKzxnm</t>
  </si>
  <si>
    <t>0220200030</t>
  </si>
  <si>
    <t>PRANIT</t>
  </si>
  <si>
    <t>MAGDUM</t>
  </si>
  <si>
    <t>pranitmagdum10@gmail.com</t>
  </si>
  <si>
    <t xml:space="preserve">pranit.magdum@mitaoe.ac.in </t>
  </si>
  <si>
    <t>linkedin.com/in/pranit-magdum-5032b1167</t>
  </si>
  <si>
    <t>RAJENDRA CHINTAMANI MAGDUM</t>
  </si>
  <si>
    <t>RAJASHREE RAJENDRA MAGDUM</t>
  </si>
  <si>
    <t>A/P UMALWAD, NEAR JAIN MANDIR, UMALWAD, TAL- SHIROL, DIST- KOLHAPUR,PIN-416101</t>
  </si>
  <si>
    <t>New Mhada Colony, 8A 402,Krushna Building, Morwadi,Pimpri-411018</t>
  </si>
  <si>
    <t>Microsoft Technology Associate: Introduction to Programming using Python</t>
  </si>
  <si>
    <t>Bosch Rexroth Center of Excellence: Basics of Mechatronics.
Autocad 2D Mechanical.</t>
  </si>
  <si>
    <t>SkillUp by Simplilearn: Python for Begineers.</t>
  </si>
  <si>
    <t>2 Months Internship at Robotics Club of MIT Academy of Engineering.</t>
  </si>
  <si>
    <t>Diploma Project: DESIGN AND DEVELOPMENT OF TWO SPEED GEAR BOX FOR
AGRO MACHINERY</t>
  </si>
  <si>
    <t>AutoCAD, SolidWorks, CATIA, ANSYS, MATLAB</t>
  </si>
  <si>
    <t>Achieved 2nd Rank in Technical Paper Presentation Competition at National Level.</t>
  </si>
  <si>
    <t>https://preskilet.com/pranit.magdum@mitaoe.ac.in</t>
  </si>
  <si>
    <t>https://drive.google.com/open?id=1yg74GkLWM-yCRNd0QycG7stXOFfmLMqO</t>
  </si>
  <si>
    <t>https://drive.google.com/open?id=1nij7sD1xTbjxnsFc58l3jgkOYLaP3hNv</t>
  </si>
  <si>
    <t>https://drive.google.com/open?id=1wNccOmHt_eGegiExRUoyI9O0qdFr-1Ya</t>
  </si>
  <si>
    <t>https://drive.google.com/open?id=1VOv68dxPoYoqB_NoGZB4z2eo2qv3wnSV</t>
  </si>
  <si>
    <t>SGPA of all sem till now.</t>
  </si>
  <si>
    <t>0120190440</t>
  </si>
  <si>
    <t>KANATE</t>
  </si>
  <si>
    <t>vedkanate100@gmail.com</t>
  </si>
  <si>
    <t>www.linkedin.com/in/vedant-kanate-b71643219</t>
  </si>
  <si>
    <t xml:space="preserve">VIRENDRA </t>
  </si>
  <si>
    <t>Santosh Nagar, Near Anand park apartment, TTN college road, Akola</t>
  </si>
  <si>
    <t>Disha horizon, near RTO police station, Moshi road, Alandi.</t>
  </si>
  <si>
    <t>Infosys springboard: Python programmer certification</t>
  </si>
  <si>
    <t>SY project: Analysis and design of Tesla turbine
Internship: BAJA autosports club</t>
  </si>
  <si>
    <t>Current Project: Design, Analysis and manufacturing of custom CVT</t>
  </si>
  <si>
    <t>Current project of CVT is sponsored by a metrology company named AMS3D</t>
  </si>
  <si>
    <t xml:space="preserve"> Design, Analysis and manufacturing of custom CVT</t>
  </si>
  <si>
    <t>AutoCAD, Fusion 360, SolidWorks, CATIA, ANSYS, Figma, MATLAB, Blender, Inventor, Photoshop, Aftereffects, Premiere pro</t>
  </si>
  <si>
    <t>1. BAJA SAE India event organized by Mahindra</t>
  </si>
  <si>
    <t>2 times first runner up award in Go-green event in BAJA SAEINDIA national level event organized by mahindra</t>
  </si>
  <si>
    <t>1. BAJA SAEINDIA.</t>
  </si>
  <si>
    <t>https://drive.google.com/drive/folders/1sY790cxqSA1jbH6JbHxeDFyZEFWgqbCJ?usp=sharing</t>
  </si>
  <si>
    <t>https://drive.google.com/open?id=1vFMkwBdZLMsyeYZHbLWsxFLiwVoOGnFO</t>
  </si>
  <si>
    <t>https://drive.google.com/open?id=19ppRCS7m5_PXq2s85pdt1Gg1RhZS7VHm</t>
  </si>
  <si>
    <t>https://drive.google.com/open?id=1-jQJpq3UpCH3EqGuVNoIza5EZCy27Sko</t>
  </si>
  <si>
    <t>https://drive.google.com/open?id=1JUT0J1l8KdAWdyc6KIHft_veyY_v3hhr</t>
  </si>
  <si>
    <t>https://drive.google.com/open?id=1FdkC5Ru7qcz8GLqUSQntUzTG0fMdpw0z</t>
  </si>
  <si>
    <t>https://drive.google.com/open?id=1VGU00kNPrvqw_ThR5ypLGy2CbuOUKwDW</t>
  </si>
  <si>
    <t>https://drive.google.com/open?id=1RMDsV6hXb5i7dXNW5QJ2pzrsMXDJZlyF</t>
  </si>
  <si>
    <t>https://drive.google.com/open?id=1Eh0KqdiLH0r7bgw0jhrdfMub-Mrucc0d</t>
  </si>
  <si>
    <t>technical certification: certification was in progress 
educational certificates: by mistake industry certification was upoaded</t>
  </si>
  <si>
    <t>0220200201</t>
  </si>
  <si>
    <t>RAMLAL</t>
  </si>
  <si>
    <t>kunalrchaudhari19@gmail.com</t>
  </si>
  <si>
    <t>https://www.linkedin.com/in/kunal-chaudhari-a54b21215</t>
  </si>
  <si>
    <t>RAMLAL BHAGWAN CHAUDHARI</t>
  </si>
  <si>
    <t>MIRA RAMLAL CHAUDHARI</t>
  </si>
  <si>
    <t>8-KOOL HOMES,A-103,Devad-Vichumbe,New Panvel</t>
  </si>
  <si>
    <t xml:space="preserve">Kale colony Lane-2,Flat No.103,Mourya Hills, Alandi, pune </t>
  </si>
  <si>
    <t>Python certificate training by ATS</t>
  </si>
  <si>
    <t xml:space="preserve">Basics of Python by Infosys springboard </t>
  </si>
  <si>
    <t>Self balancing vehicle using brake energy</t>
  </si>
  <si>
    <t>Mechanical road cleaning machine</t>
  </si>
  <si>
    <t>Baja SAE India , Microsoft programming language</t>
  </si>
  <si>
    <t>Internship at CEAT Tyres</t>
  </si>
  <si>
    <t xml:space="preserve">District level kabaddi player </t>
  </si>
  <si>
    <t>https://drive.google.com/file/d/1lUEmFnWe2gRjXi523-_1KgfgHXfwT5oM/view?usp=sharing</t>
  </si>
  <si>
    <t>https://drive.google.com/open?id=1qxQeLab73mxARZLaVaZ86lYsJ98FATT-</t>
  </si>
  <si>
    <t>https://drive.google.com/open?id=1r3mDeb_y4BYVM91dEHgBX5aySQk8cOq6</t>
  </si>
  <si>
    <t>https://drive.google.com/open?id=1A-GlrZ9eX1m_Zbf30ZeanTFmz7nb4wnD</t>
  </si>
  <si>
    <t>https://drive.google.com/open?id=1GhUFFPyjMjTy_jS3sSTZyAL2E7oomQrq</t>
  </si>
  <si>
    <t>https://drive.google.com/open?id=1RsxXnkKoPHDET4GkQ-48tmWnOp989XNT</t>
  </si>
  <si>
    <t>https://drive.google.com/open?id=1pgow6mPk4hmaSkhc83EAu7jwS-Sgnyzl</t>
  </si>
  <si>
    <t>https://drive.google.com/open?id=1WgpmnnC-W_ZQgNesiBQViPVdhnUv3rog</t>
  </si>
  <si>
    <t>https://drive.google.com/open?id=1nkP1es4D4GjWDU1vsHcCwAm_ytb-p0zs</t>
  </si>
  <si>
    <t>Internship Certificates- Uploaded wrong Internship Certificates
Technical Certifications- Added one more technical certificate 
SY AMCAT Result- did not uploaded SY AMCAT Result
TY AMCAT Result- did not uploaded TY AMCAT Result</t>
  </si>
  <si>
    <t>0220200074</t>
  </si>
  <si>
    <t>BHAGWANRAO</t>
  </si>
  <si>
    <t>SARODE</t>
  </si>
  <si>
    <t>mayursarode068@gmail.com</t>
  </si>
  <si>
    <t>https://www.linkedin.com/in/mayur-sarode-5bb4b5232</t>
  </si>
  <si>
    <t>Properly from khalna, taluka Ner, District Yavatmal, Maharashtra</t>
  </si>
  <si>
    <t>Now living at Gopal nagar, near Rajiv Gandhi school in Datar house,Amravati, Maharashtra</t>
  </si>
  <si>
    <t>Overview on 5G Technology' on spring board platform</t>
  </si>
  <si>
    <t>Certification on 2 Days workshop on fusion 360</t>
  </si>
  <si>
    <t>Now starting 'introduction to python on spring board'</t>
  </si>
  <si>
    <t xml:space="preserve">Na. </t>
  </si>
  <si>
    <t xml:space="preserve">We have design 'vertical Axis wind Turbine' </t>
  </si>
  <si>
    <t>We have project on 'IOT based on farming'</t>
  </si>
  <si>
    <t>Intership doing on ' Talent sarv PVT LMT'</t>
  </si>
  <si>
    <t>In Ty We have Now Design 'Vertical Axis Wind Turbine'</t>
  </si>
  <si>
    <t>At Diploma level we have done 'Battery operated power wider' which is very much useful in farming'.</t>
  </si>
  <si>
    <t>I have participated in 'World copyright day'
Also Pass Quize competition on 'World book day'</t>
  </si>
  <si>
    <t>We have workshop on 'Fusion 360' 3 days at college level held online.</t>
  </si>
  <si>
    <t>At Diploma level I have take part in kabbadi, Cricket and lead both team as captain</t>
  </si>
  <si>
    <t>https://drive.google.com/file/d/1hF-eBZ7hEyYWIas-fkz4zoxWJFQshULz/view?usp=drivesdk</t>
  </si>
  <si>
    <t>https://drive.google.com/open?id=19NXEVRUxugaZMKy-qzBwaIuTfAYEU04x</t>
  </si>
  <si>
    <t>https://drive.google.com/open?id=1YnWBczO6ov06hOSILw_RBV1IAKI6M-xG</t>
  </si>
  <si>
    <t>https://drive.google.com/open?id=1KG-9IrpSb4yEwBPaxgU-ic_rUAoH3eqf</t>
  </si>
  <si>
    <t>https://drive.google.com/open?id=17XV_OPtvgINP06Q-UThPvfKfB3UpXoAL</t>
  </si>
  <si>
    <t>0120190441</t>
  </si>
  <si>
    <t>ARJUN</t>
  </si>
  <si>
    <t>RAJUSING</t>
  </si>
  <si>
    <t>PARDESHI</t>
  </si>
  <si>
    <t>arjunpardeshi6717@gmail.com</t>
  </si>
  <si>
    <t>https://www.linkedin.com/in/arjun-pardeshi-powertrain</t>
  </si>
  <si>
    <t>Big Gurudwara Behind,Manmad-423104.</t>
  </si>
  <si>
    <t>Dehu phata,Alandi road,Pune.</t>
  </si>
  <si>
    <t>INFOSYS-SPRINGBOARD-COMPUTER AIDED DESIGN(CATIA-V5)</t>
  </si>
  <si>
    <t>COMPUTER INTEGRATED MANUFACTURING</t>
  </si>
  <si>
    <t>FUNDAMENTALS OF PROGRAMMING USING PYTHON</t>
  </si>
  <si>
    <t>INTERN AT SARAVDNY INDUSTRIES PUNE(ONSITE)(It was not summer internship)</t>
  </si>
  <si>
    <t>INTERN-DESIGN AND ANLYSIS OF ATV AT MITAOE,PUNE(ONLINE)</t>
  </si>
  <si>
    <t>R &amp; D THERM INDIA PVT LTD(KORNAK GLOBAL) as a DESIGN &amp; ESTIMATION ENGINEER(ONSITE)</t>
  </si>
  <si>
    <t>Design,Analysis &amp; Developement of belt conveyor system for coal handling applications</t>
  </si>
  <si>
    <t xml:space="preserve">Design and Fabrication of ATV for BAJA SAEINDIA Competiton </t>
  </si>
  <si>
    <t>Fusion 360, CATIA, ANSYS, Proteus</t>
  </si>
  <si>
    <t xml:space="preserve">1.Design &amp; Fabrication Of ATV for Baja Sae India.
2.Developemnt of 3d models of buildings for game. </t>
  </si>
  <si>
    <t>Two times 2nd Go Green Award at BAJA SAE INDIA 2021&amp; 2022(National level)
Air 15 in 2021.
Air 19 in 2022.
Air 11 in virtual dynamic 2022.</t>
  </si>
  <si>
    <t>TFWS is similar to scholarship which provide financial aid for meritorious student by Minstry of Human Resource Development.</t>
  </si>
  <si>
    <t>(ONLINE) Mechatol Product Engineering Solution Pvt Ltd provide us training on standard selection of material,welidng and material costing, Sheet metal Fabrication,process planning etc.</t>
  </si>
  <si>
    <t>As part in Robin Hood Army
Robin Hood is zero-funds volunteer organization that works to get surplus food from restaurants and communities to serve the less fortunate. “Robins” are 
largely students and young working professionals – everyone does this in their free time. The lesser fortunate sections of society we serve include 
homeless families, orphanages, patients from public hospitals and old age homes.</t>
  </si>
  <si>
    <t>https://drive.google.com/drive/folders/1udG2x1ZTy_vQtZnlf-FWriHcvRFOyzP-</t>
  </si>
  <si>
    <t>https://drive.google.com/open?id=11NNuC-xxZ3QSEtjhFQh8HalGhVgCBnTy</t>
  </si>
  <si>
    <t>https://drive.google.com/open?id=1gOEvAwWL0-9SxCjgJkr_cUQcjg2GDYmz</t>
  </si>
  <si>
    <t>https://drive.google.com/open?id=1n07ZTWzLUyiEHJY8SfkCGZDeFm6z7iGo</t>
  </si>
  <si>
    <t>0120190080</t>
  </si>
  <si>
    <t xml:space="preserve">PRATHAMESH </t>
  </si>
  <si>
    <t xml:space="preserve">SADAKAL </t>
  </si>
  <si>
    <t>p.sadakal29@gmail.com</t>
  </si>
  <si>
    <t xml:space="preserve">prsadakal@mitaoe.ac.in </t>
  </si>
  <si>
    <t>https://www.linkedin.com/in/prathamesh-sadakal</t>
  </si>
  <si>
    <t>Gurudatt Colony,Dhawde Vasti , Bhosari Pune -39</t>
  </si>
  <si>
    <t xml:space="preserve">EX102T - Electrical And Electronics Engineering
CV102L - Applied Mechanics
</t>
  </si>
  <si>
    <t xml:space="preserve">Infosys Springboard </t>
  </si>
  <si>
    <t xml:space="preserve">Coursera Python </t>
  </si>
  <si>
    <t xml:space="preserve">Machine Learning Intershala </t>
  </si>
  <si>
    <t>Solar PV installer EJI Learning (Suryamitra)</t>
  </si>
  <si>
    <t>IOT Based Smart Farming- Hydroponic Farming</t>
  </si>
  <si>
    <t>AutoCAD, Fusion 360, SolidWorks, CATIA</t>
  </si>
  <si>
    <t xml:space="preserve">Class Representative </t>
  </si>
  <si>
    <t xml:space="preserve">Social Work
Member of Student Council
</t>
  </si>
  <si>
    <t xml:space="preserve">https://drive.google.com/file/d/1wArOyerV0wjxjoUiPgy5_-VAQ1YFXgsJ/view?usp=drivesdk </t>
  </si>
  <si>
    <t>https://drive.google.com/open?id=1b5xW-Ts50HVl3kxO5Nhq8jQhJLya0WFx</t>
  </si>
  <si>
    <t>https://drive.google.com/open?id=1Pc3mDASwYPqVTs5uKaTsoQjdfB7TReUa</t>
  </si>
  <si>
    <t>https://drive.google.com/open?id=1-2Ou7xt6i5_pepyqnyXTW2xgKzJoqOHp</t>
  </si>
  <si>
    <t>https://drive.google.com/open?id=18jGoFgm7DycltGyEX4C2lqOLVrKdgKqp</t>
  </si>
  <si>
    <t>https://drive.google.com/open?id=195X_WSh7n5rMcHzquyOBFqhzt5kX6WuQ</t>
  </si>
  <si>
    <t>https://drive.google.com/open?id=19pXXhQIHAkSblXOHp8ABzH3HMD5cbUlV</t>
  </si>
  <si>
    <t>https://drive.google.com/open?id=168ZskhVmhs0UM_W1dSDdR3Pwid_n0I1p</t>
  </si>
  <si>
    <t xml:space="preserve">Technical Certification Because at the timing of documents uploading my Technical Certification by mistake the technical certification certificate was not in the file of certification </t>
  </si>
  <si>
    <t>0220200025</t>
  </si>
  <si>
    <t>SAINATH</t>
  </si>
  <si>
    <t>AYEWAR</t>
  </si>
  <si>
    <t>sainathayewar92@gmail.com</t>
  </si>
  <si>
    <t>https://www.linkedin.com/in/sainath-ayewar-08b51b1a6</t>
  </si>
  <si>
    <t xml:space="preserve">AYEWAR UTTAM RAMA </t>
  </si>
  <si>
    <t>pahad Gali , behind police station Umri, TQ.Umri ,Dist. Nanded -431807</t>
  </si>
  <si>
    <t>Kale company , HP petrol Pump Alandi</t>
  </si>
  <si>
    <t xml:space="preserve">Microsoft techanolgy associate Python </t>
  </si>
  <si>
    <t>Innovative LPG Cylinder Lifting Trolley</t>
  </si>
  <si>
    <t>EJI - Solar P.V.  Installer</t>
  </si>
  <si>
    <t>Eco-friendly Leaf Bowl Making Machine</t>
  </si>
  <si>
    <t>https://preskilet.com/watch?v=62a389eda6956a00046006d0</t>
  </si>
  <si>
    <t>https://drive.google.com/open?id=1qAFolynYliZs1CM8iEG8QBO1EUrlDwHe</t>
  </si>
  <si>
    <t>https://drive.google.com/open?id=1Ards2BFluApy3bWBnanYwGGDHQAyzhSY</t>
  </si>
  <si>
    <t>https://drive.google.com/open?id=1P-TSEmorvTvLIpjnNMp5Mjo6SvCY-baD</t>
  </si>
  <si>
    <t>https://drive.google.com/open?id=1l_rR7xPEfPd1wnV7VfIC-X_osxFY9nWD</t>
  </si>
  <si>
    <t xml:space="preserve">Preskilled video link updated , in previous I was uploaded drive link.
</t>
  </si>
  <si>
    <t>0220200048</t>
  </si>
  <si>
    <t>TRUPTI</t>
  </si>
  <si>
    <t>DATTATRYA</t>
  </si>
  <si>
    <t>BARKADE</t>
  </si>
  <si>
    <t>truptibarkade9@gmail.com</t>
  </si>
  <si>
    <t>https://www.linkedin.com/in/trupti-barkade-567789218</t>
  </si>
  <si>
    <t>DATTATRYA SHANKAR BARKADE</t>
  </si>
  <si>
    <t>SUNITA DATTATRYA BARKADE</t>
  </si>
  <si>
    <t>Shivneri A5/5, ramnagar hos soc, gavhane vasti, bhosari, pune, 411039</t>
  </si>
  <si>
    <t>Infosys springboard: Catia v5</t>
  </si>
  <si>
    <t>MIT Academy of Engineering 'Autosports club'
Project: innovative stand for lifting LPG  gas cyclinder</t>
  </si>
  <si>
    <t>ACME TOOLS, MIDC bhosari, Pune
Project: Design, Analysis And Manufacturing Of Electro-spun Nanofiber Face Mask 
For Virus Protection/ Pollution Protection/ Automobile Paint Shops</t>
  </si>
  <si>
    <t>To find the solution for weld removal of two wheeler handle</t>
  </si>
  <si>
    <t>AutoCAD, Fusion 360, CATIA, ANSYS, MATLAB, Creo</t>
  </si>
  <si>
    <t>Certification in CAD-MECH by THECHWAVE
certification in ROBO RACE by TECHV
Certification in “EDGELINE GO-KART CHAMPIONSHIP” by “WISDOMATIC 
SWARMS”</t>
  </si>
  <si>
    <t>Go kart autoclub</t>
  </si>
  <si>
    <t>https://preskilet.com/trupti.barkade@mitaoe.ac.in</t>
  </si>
  <si>
    <t>https://drive.google.com/open?id=1mT2aO2T9R9q-2S3RcC3JUGWOOTosvKgS</t>
  </si>
  <si>
    <t>https://drive.google.com/open?id=1XhVjn1fTxQmVaDuLLKPoID9GGY3f862f</t>
  </si>
  <si>
    <t>https://drive.google.com/open?id=1xRJiR_QWLwdAQJE6UcM5L1Vccygr49Qx</t>
  </si>
  <si>
    <t>https://drive.google.com/open?id=1BjY6Il74BIL6ah6J8jVZyjqRfd2MFkDr</t>
  </si>
  <si>
    <t>https://drive.google.com/open?id=1C-04BRcBvE3B0-gsojWWc-qiU-INqdF4</t>
  </si>
  <si>
    <t>Technical Certifications</t>
  </si>
  <si>
    <t>0120190063</t>
  </si>
  <si>
    <t>GOURAV</t>
  </si>
  <si>
    <t>SURJEET</t>
  </si>
  <si>
    <t>GUPTA</t>
  </si>
  <si>
    <t>kgourav289@gmail.com</t>
  </si>
  <si>
    <t>www.linkedin.com/in/gourav-gupta-30b049210</t>
  </si>
  <si>
    <t>SURJEET KUMAR</t>
  </si>
  <si>
    <t>RENU GUPTA</t>
  </si>
  <si>
    <t>Ali nagar, bihar sharif, nalanda, bihar-803111</t>
  </si>
  <si>
    <t>202, prem sai apartment, alandi, pune, mahatashtra-412105</t>
  </si>
  <si>
    <t>Coursera: Neural Network and deep learning, Python for everybody specialization</t>
  </si>
  <si>
    <t>Statistics and probability and probability distribution for machine learning</t>
  </si>
  <si>
    <t>Associate in IT foundation- Python, springboard</t>
  </si>
  <si>
    <t>For the first year, I have opted the python course as my summer internship. There, I learned about python programming and libraries. After getting along with course, I have completed the specialization in same.</t>
  </si>
  <si>
    <t>I had done my SY Summer Internship in Team Niyudrath Racing. Team Niyudrath Racing is an automotive club of our college. There, I had learned about various components associated with cars specially in Off-Terrain vehicles. I was a part of powertrain department and there I designed, analyzed and manufactured various parts of powertrain department.</t>
  </si>
  <si>
    <t>I have got my TY Summer Internship in Sunflag Iron and steel company limited. I will be having an internship period of 1month where i would learn about various aspects related to iron and steel manufacturing.</t>
  </si>
  <si>
    <t>I have designed and manufactured an Off-terrain vehicle along with my other teammates which took part in SAE BAJA competition. The project is college and industrial sponsored. The vehicle was an Rear Engine Four-Wheel Drive which secured AIR 15.</t>
  </si>
  <si>
    <t>Hackathon 2022</t>
  </si>
  <si>
    <t>Secured an All-India Rank of 15 in SAE BAJA INDIA in 2020.
Secured an All-India Rank of 19 in SAE BAJA INDIA in 2021.</t>
  </si>
  <si>
    <t xml:space="preserve">I have been the part of my college football team. </t>
  </si>
  <si>
    <t>https://preskilet.com/watch?v=6297995c5545ea0004a928d6</t>
  </si>
  <si>
    <t>https://drive.google.com/open?id=14B4VadGcYbW4K6HbQujVLx15E3FzTXlj</t>
  </si>
  <si>
    <t>https://drive.google.com/open?id=11ykhSCGrBxVI3FZgyWTBXfxqVkJgWLpu</t>
  </si>
  <si>
    <t>https://drive.google.com/open?id=12V_DPmIY07FX-lhtk9zZwHWpBEyZH_b9</t>
  </si>
  <si>
    <t>https://drive.google.com/open?id=1M6OrbDZGfI_Osx0Ro9-o7gc_y9Ydxzwy</t>
  </si>
  <si>
    <t>https://drive.google.com/open?id=1o7rwpdXmDKbr76PwlqVLUWK2EK5jzUnB</t>
  </si>
  <si>
    <t>https://drive.google.com/open?id=1NX7iJsdQu9uMptYz9JxG6dM-0HGQSdKy</t>
  </si>
  <si>
    <t>0220200069</t>
  </si>
  <si>
    <t>PRAMODINI</t>
  </si>
  <si>
    <t>SANGAMESHWAR</t>
  </si>
  <si>
    <t>pramodini.patil11@gmail.com</t>
  </si>
  <si>
    <t>https://www.linkedin.com/in/pramodini-patil-89b629241/</t>
  </si>
  <si>
    <t>SANGAMESHWAR PATIL</t>
  </si>
  <si>
    <t>VARSHA PATIL</t>
  </si>
  <si>
    <t>Shivganga Niwas Nandadeep Col-4 Nadhe Nagar Kalewadi Pimpri Pune-411017</t>
  </si>
  <si>
    <t>NOO BACKLOG</t>
  </si>
  <si>
    <t>INFLOW TECHNOLOGY:MICROSOFT PYTHON CERTIFICATE</t>
  </si>
  <si>
    <t>APPLIED FOR ATLAS COPCO</t>
  </si>
  <si>
    <t>B.E-FABRICATION OF WEAR TEST RIG &amp; 
DIPLOMA-MULTI-FUNCTIONING REFRIGERATION SYSTEM</t>
  </si>
  <si>
    <t>AERO-A AERODYNAMIC CLUB
PAPER PRESENTATION</t>
  </si>
  <si>
    <t xml:space="preserve">Inter College Basket Ball Competition
Inter college State Level Project Competition </t>
  </si>
  <si>
    <t>https://preskilet.com/pramodini.patil11@gmail.com , drive link-https://drive.google.com/drive/folders/1-FWXIrQMpDyuL4O8GKChhoKPr47c80l9?usp=sharing</t>
  </si>
  <si>
    <t>https://drive.google.com/open?id=1F8s4QgZsnvBT7L8K01rurcwoslafQZPB</t>
  </si>
  <si>
    <t>https://drive.google.com/open?id=1XHiJCud---8H4AMlrUKM7Ppz-PKfXsp1</t>
  </si>
  <si>
    <t>https://drive.google.com/open?id=1l4ZBVBKvw0ccLIiJaY9XkO9ohiSsrOo-</t>
  </si>
  <si>
    <t>https://drive.google.com/open?id=1vM5WL8ONlTQyXL3GtcwbWzz86471sp8K</t>
  </si>
  <si>
    <t>https://drive.google.com/open?id=1ZqSrElQDYnI2qqFzttfHxR4P_zVOSe9l</t>
  </si>
  <si>
    <t>https://drive.google.com/open?id=1Sqlvjiq8ErcpxPre4lztq4pgvbV08EQ-</t>
  </si>
  <si>
    <t>got the technical certification after i submitted the form</t>
  </si>
  <si>
    <t>0120190316</t>
  </si>
  <si>
    <t>ANANSH</t>
  </si>
  <si>
    <t>anansh.135@gmail.com</t>
  </si>
  <si>
    <t>www.linkedin.com/in/anansh-gupta-ab9882212</t>
  </si>
  <si>
    <t>AVINASH GUPTA</t>
  </si>
  <si>
    <t>MAMTA GUPTA</t>
  </si>
  <si>
    <t>Swastik Agency, Behind post office, Civil ward, Sakoli, Dist. Bhandara, Maharashtra, 441802</t>
  </si>
  <si>
    <t>Kaivalya Apartment, Opposite of Nikhil Groceries world, Dehu Phata, Alandi, Pune, 412105</t>
  </si>
  <si>
    <t>The internship was offered by FSM Skills IITD-AIA Foundation. I was an Augmented Reality Intern. I have developed an app based on AR animations. The app was built for a Mechanism Kit located in FSM Skills Lab. This Kit focuses on improving Industry 4.0 .
The software used for developing UI and the app functions was Unity. Scripts were written on Visual Studio. The language used here was C#. Basically, the application scans an image target and then place a 3D CAD Model of a Mechanism Kit on it. Then we can perform assembly and disassembly based on our choice. Main objective behind creating these application was to reduce man effort required in explaining the procedures.</t>
  </si>
  <si>
    <t>I am currently doing an virtual internship in Suven Consultants &amp; Technology Pvt. Ltd. The internship is based on UI/UX development using bootstrap. This internship is based on coding languages.</t>
  </si>
  <si>
    <t>Automated Irrigation System
Design Aspects of Vertical Farming Structure Using IoT</t>
  </si>
  <si>
    <t>https://preskilet.com/watch?v=62b4639130b28000045232b4</t>
  </si>
  <si>
    <t>https://drive.google.com/open?id=1DmSzRLHWFCRjGXTkV2AIbxvpAqHf4AlA</t>
  </si>
  <si>
    <t>https://drive.google.com/open?id=10EqkOLMUmv-CT53AP4taDpJURrlgPqx9</t>
  </si>
  <si>
    <t>https://drive.google.com/open?id=17WRsR7wlHlvU5TUQ2eUcAbnPuGQ5Q05y</t>
  </si>
  <si>
    <t>https://drive.google.com/open?id=1RU27K0zDUC3uB90zMJetw7Cxjiao7c6D</t>
  </si>
  <si>
    <t>https://drive.google.com/open?id=1F-J_nAMGtdDbZPgtRWcpuhwXY7ADka-y</t>
  </si>
  <si>
    <t>https://drive.google.com/open?id=1DEBkQ9boziDY7iX3kW6fQqromOS3uJgY</t>
  </si>
  <si>
    <t>https://drive.google.com/open?id=1zH4MVPHXaW6h1Q4itkozdoXP4PHVUUhu</t>
  </si>
  <si>
    <t>I have updated the result of SSC. I had entered wrong percentage in SSC result. Also I have updated my Internship documents</t>
  </si>
  <si>
    <t>0220200189</t>
  </si>
  <si>
    <t>MANIKUMAR</t>
  </si>
  <si>
    <t>mchavhan389@gmail.com</t>
  </si>
  <si>
    <t>https://www.linkedin.com/in/manikumar-chavhan-1565041b4</t>
  </si>
  <si>
    <t xml:space="preserve">ARJUN CHAVHAN </t>
  </si>
  <si>
    <t xml:space="preserve">MEENA CHAVHAN </t>
  </si>
  <si>
    <t>At gandhinagar post harsul Tq digras Dist yavatmal,445203</t>
  </si>
  <si>
    <t>Manthan apartment, Talrkar chowk,  dudulgao near deghi RTO, Alandi, 412105</t>
  </si>
  <si>
    <t xml:space="preserve">"ME342T - Turbomachines "
"ME341T - Machine Design" </t>
  </si>
  <si>
    <t>Microsoft Technology Associate' - PYTHON</t>
  </si>
  <si>
    <t xml:space="preserve">Matlab Onramp Course, </t>
  </si>
  <si>
    <t>Infosys Springboard Object Oriented Programming'</t>
  </si>
  <si>
    <t>Milan steel and Metal Enterprises, Nagpur</t>
  </si>
  <si>
    <t xml:space="preserve">Design of Military surveillance robot </t>
  </si>
  <si>
    <t>Robotics Workshop, CAD Design Workshop</t>
  </si>
  <si>
    <t xml:space="preserve">Auto CAD training 
</t>
  </si>
  <si>
    <t xml:space="preserve">Volleyball player, Participated in IPl Auction, Participated in Character day event. </t>
  </si>
  <si>
    <t>https://drive.google.com/file/d/1pTg3w3GK3J3eQCPpJijWPajOj9kpg2oJ/view?usp=sharing</t>
  </si>
  <si>
    <t>https://drive.google.com/open?id=1CSsBM7XVS5lMjdeb4DEeRQjSpINC4mcu</t>
  </si>
  <si>
    <t>https://drive.google.com/open?id=1sUsyT0pei9ZGHkAO930yw3ojYnLmCP25</t>
  </si>
  <si>
    <t>https://drive.google.com/open?id=1wKw_wi3fmfB9RR2vIxfxkM5MNxTalO3s</t>
  </si>
  <si>
    <t>https://drive.google.com/open?id=1N0JwXu_zW84xgCr0bVoLVvCOoz9OYCul</t>
  </si>
  <si>
    <t>https://drive.google.com/open?id=1KStqlz0qqXZR1H9gCIbFnijWo8chduWa</t>
  </si>
  <si>
    <t>https://drive.google.com/open?id=13IKpYYNWNR8AWaf3GEK6Bz82fvclG6jg</t>
  </si>
  <si>
    <t>Certificates</t>
  </si>
  <si>
    <t>0120190130</t>
  </si>
  <si>
    <t>RAMACHANDRA</t>
  </si>
  <si>
    <t>WAGHAMODE</t>
  </si>
  <si>
    <t>pratikshawaghmode81@gmail.com</t>
  </si>
  <si>
    <t>prwaghamode@miatoe.ac.in</t>
  </si>
  <si>
    <t>https://www.linkedin.com/in/pratiksha-waghamode-39784a241</t>
  </si>
  <si>
    <t>RAMACHANDRA KASHINATH WAGHAMODE</t>
  </si>
  <si>
    <t>SUNITA RAMACHANDRA WAGHAMODE</t>
  </si>
  <si>
    <t>At-Guddewadi Post-Ankalage,Taluka-Akkalkot,Dist-Solapur,Maharatsra 413219</t>
  </si>
  <si>
    <t xml:space="preserve">coursera python for everybody </t>
  </si>
  <si>
    <t>Infosys:Programming Fundamentals using Python - Science Graduates - Foundation Program</t>
  </si>
  <si>
    <t>python for everybody(course)</t>
  </si>
  <si>
    <t>Automatic full body sanitizer tunnel</t>
  </si>
  <si>
    <t>innovative and affordable Crop protecter(specially for onions)
Poona industries(SIP)</t>
  </si>
  <si>
    <t>innovative and affordable Crop protecter(specially for onions)</t>
  </si>
  <si>
    <t>Go-karting</t>
  </si>
  <si>
    <t>Python from pregrad</t>
  </si>
  <si>
    <t xml:space="preserve">Sports(kho-kho ,Chess and throwball) </t>
  </si>
  <si>
    <t>https://preskilet.com/prwaghamode@mitaoe.ac.in</t>
  </si>
  <si>
    <t>https://drive.google.com/open?id=1oKviAtvv6CoCD9ysza9StJ99k8LEL9Se</t>
  </si>
  <si>
    <t>https://drive.google.com/open?id=1-4r0We4Z4y7AIDd7jSV3iEc1zeAWN8-Q</t>
  </si>
  <si>
    <t>https://drive.google.com/open?id=1lBxnhPQGR8dsQLgfWZO0816axG5vnci7</t>
  </si>
  <si>
    <t>https://drive.google.com/open?id=1T_kEPaDQh2KOFmi8_KHgXHTUFeQcxm5h</t>
  </si>
  <si>
    <t>https://drive.google.com/open?id=1_FA8zDGHdN50O5fZqzkaQRA0ubA7o1bN</t>
  </si>
  <si>
    <t>0120190485</t>
  </si>
  <si>
    <t>ATHAWALE</t>
  </si>
  <si>
    <t>athawalesneha3@gmail.com</t>
  </si>
  <si>
    <t>https://www.linkedin.com/in/sneha-athawale-19a7a0241</t>
  </si>
  <si>
    <t>MADHAVRAO GYANOBA ATHAWALE</t>
  </si>
  <si>
    <t>KALPANA MADHAVRAO ATHAWALE</t>
  </si>
  <si>
    <t>Pimpalgaon Korka , Nanded.</t>
  </si>
  <si>
    <t>https://drive.google.com/file/d/1g7GL9OS_LcWylxlDzx3NdUDb16l7Y4zG/view?usp=sharing</t>
  </si>
  <si>
    <t>https://drive.google.com/file/d/1udxNCvSv5zgkEL9pXKdujFzPemxJ57Bt/view?usp=sharing</t>
  </si>
  <si>
    <t>Catia , Solidwork , Ansys</t>
  </si>
  <si>
    <t>Solidwork</t>
  </si>
  <si>
    <t>Autodesk - Introduction to 3D Modeling</t>
  </si>
  <si>
    <t xml:space="preserve">AWS Machine Learning </t>
  </si>
  <si>
    <t>Saptasai Industry , Chikhali</t>
  </si>
  <si>
    <t>design and fabrication of solar powered wheelchair</t>
  </si>
  <si>
    <t>Sanskrit, Korean</t>
  </si>
  <si>
    <t xml:space="preserve">Aalekh Club In MIT College </t>
  </si>
  <si>
    <t xml:space="preserve">National Level Art Competition </t>
  </si>
  <si>
    <t>Art Exibition  , Aalekh .</t>
  </si>
  <si>
    <t>https://drive.google.com/file/d/1Ynm3zMTH6Jaa1SpoqstiEBsL70OitoV_/view?usp=sharing</t>
  </si>
  <si>
    <t>https://drive.google.com/open?id=1wQoaNHaf-F6yE0-EqqJLiQqAVSkgaR9-</t>
  </si>
  <si>
    <t>https://drive.google.com/open?id=1gSNe2tnQcJYdbq2SlKqfZS6dt6L8Y0py</t>
  </si>
  <si>
    <t>https://drive.google.com/open?id=1dhhloASTwV6cfZcbljIodi1l7J1gkv6F</t>
  </si>
  <si>
    <t>https://drive.google.com/open?id=1tj_YsKtKuzy-lviHYHy0T1LR0I26yJqF</t>
  </si>
  <si>
    <t>https://drive.google.com/open?id=1eSMLRWpR4ra8bZrRRdWbM0Q-Ltjj1BHY</t>
  </si>
  <si>
    <t>https://drive.google.com/open?id=1DlZt1IZ2fpyrUFw9pckObxBJlWHONUul</t>
  </si>
  <si>
    <t>0120190490</t>
  </si>
  <si>
    <t>METKARI</t>
  </si>
  <si>
    <t>metkariyogesh674@gmail.com</t>
  </si>
  <si>
    <t>https://www.linkedin.com/in/yogesh-metkari-846b43234</t>
  </si>
  <si>
    <t>DNYANESHWAR DILIP METKARI</t>
  </si>
  <si>
    <t>KAVITA DNYANESHWAR METKARI</t>
  </si>
  <si>
    <t>13 Tadiwala Road, Near Vishwadeep Tarun Mandal, Pune 01</t>
  </si>
  <si>
    <t>Infosys Springboard: Introduction to Python</t>
  </si>
  <si>
    <t>Pantech Prolabs : ESD, IOT and PCB Design</t>
  </si>
  <si>
    <t>Infosys Springboard: Programming using Java</t>
  </si>
  <si>
    <t>Certification: Programming for Everybody (Getting Started with
Python)</t>
  </si>
  <si>
    <t>Certification :Getting Started with AWS Machine Learning and Modeling and Design for Mechanical Engineers
with Autodesk Fusion 360</t>
  </si>
  <si>
    <t>Saptasatij Industries pvt. ltd.</t>
  </si>
  <si>
    <t>Design and Fabrication of Solar Powered Wheelchair</t>
  </si>
  <si>
    <t>AutoCAD, Fusion 360, CATIA, ANSYS, MSC Nastran, MSC Apex</t>
  </si>
  <si>
    <t>1. National Level Workshop On “ Introduction to Finite Element Analysis using ANSYS”
2. Winner of Quiz Competition by "Fest of Thoughts 2022"
3. PCB Design workshop by Pantech Solutions 
4. Workshop on Overview of CFD by Skill Lync</t>
  </si>
  <si>
    <t>1. Conducting classes for children in my locality from August 2020
2. Organized event on occasion of Dr. Babasaheb Ambedkar jayanti "Fest of Thoughts 2022"</t>
  </si>
  <si>
    <t>https://preskilet.com/watch?v=62a2ff44a6956a00045ff633</t>
  </si>
  <si>
    <t>https://drive.google.com/open?id=1PSzO1RN_NIqweL4KSvB1ydKYD7BZuLmi</t>
  </si>
  <si>
    <t>https://drive.google.com/open?id=1dUKn3E-2EpTDmT2UPF6pXMmfhLLAScjl</t>
  </si>
  <si>
    <t>https://drive.google.com/open?id=1nZiWaXMMPvSDW35ZrQeoZHmXtfZRZ8um</t>
  </si>
  <si>
    <t>https://drive.google.com/open?id=12Yr9lWosKuDy3AidmwTzOYylv7Vys5oA</t>
  </si>
  <si>
    <t>https://drive.google.com/open?id=187cSpAyndV5rYitNzedLsyoxLoNQWzUy</t>
  </si>
  <si>
    <t>https://drive.google.com/open?id=12TTNH2Y1F7X6JVjxG3vPEVyTuEW53job</t>
  </si>
  <si>
    <t>0220200056</t>
  </si>
  <si>
    <t>SHIRODE</t>
  </si>
  <si>
    <t>kalyani.shirode168146@gmail.com</t>
  </si>
  <si>
    <t xml:space="preserve">kalyani.shirode@mitaoe.ac.in </t>
  </si>
  <si>
    <t>http://www.linkedin.com/in/kalyani-shirode-9a431b235</t>
  </si>
  <si>
    <t xml:space="preserve">SUNIL VISHNU SHIRODE </t>
  </si>
  <si>
    <t xml:space="preserve">MANISHA SUNIL SHIRODE </t>
  </si>
  <si>
    <t xml:space="preserve">At Post - Saygaon, Tal - Chalisgaon , Dist - Jalgaon </t>
  </si>
  <si>
    <t>Near Venture City , Infront of Aai Hospital, Alandi .</t>
  </si>
  <si>
    <t>1)Infosys Springboard - Programming Fundamentals using Python.</t>
  </si>
  <si>
    <t>1)Robotics Society Of India - Robotics Workshop
2)Udemy :- UC-ad629212-a7da-4ea9-8dbd-5135422dbc08
3)Maharashtra Business Training Board NX CAD (NSK./059)
4) 1 year Apprentice - Trainee completion certificate from GE Aviation from date - 29/07/2019 to 29/07/2020</t>
  </si>
  <si>
    <t>1)Object Oriented Programming with Python by Infosys Springboard</t>
  </si>
  <si>
    <t>Solar Street Lightning System</t>
  </si>
  <si>
    <t>TY Summer Internship with Sany Heavy Industry Pvt .Ltd . India .</t>
  </si>
  <si>
    <t>Design and Validation of Vegetable Vending Machine</t>
  </si>
  <si>
    <t>Diploma Project - Demonstration of Hydraulic Braking System.
B.Tech Project - Design and Validation of Vegetable Vending Machine</t>
  </si>
  <si>
    <t xml:space="preserve">AutoCAD, Fusion 360, SolidWorks, CATIA, ANSYS, MATLAB, Creo, NX CAD </t>
  </si>
  <si>
    <t>Participated in TCS ION National Level Internship Eligibility Test organized by Talent Battle</t>
  </si>
  <si>
    <t xml:space="preserve"> state level Achievement in Dipstambh Foundation Jalgaon </t>
  </si>
  <si>
    <t>NMMS Scholarship in 8th standard</t>
  </si>
  <si>
    <t xml:space="preserve">  Electric Vehicle Design using MATLAB Simulink by Pantech  E Learning </t>
  </si>
  <si>
    <t xml:space="preserve">Participation in Elocution Competition. </t>
  </si>
  <si>
    <t>https://preskilet.com/watch?v=62a3183da6956a00045ff8c3</t>
  </si>
  <si>
    <t>https://drive.google.com/open?id=1-PaxjBEUOUA4qWHZ-j38tRsuEAzMybzr</t>
  </si>
  <si>
    <t>https://drive.google.com/open?id=1eLvafh8GUl_2kZj4mqF2ULLNMniOb08J</t>
  </si>
  <si>
    <t>https://drive.google.com/open?id=12jsNZ-z1nfc5IB9_BI6IBxVSbQdlijW1</t>
  </si>
  <si>
    <t>https://drive.google.com/open?id=1saN4Z1jrbAYY1RapHuR1KEuKKFLX0R28</t>
  </si>
  <si>
    <t>https://drive.google.com/open?id=1fHmooxkmpIRoyUQDZl8os-1DcTR7rodV</t>
  </si>
  <si>
    <t>https://drive.google.com/open?id=1d0eT8uXF-FJ4EPO0pV6bDJQMmkFV9_EQ</t>
  </si>
  <si>
    <t>https://drive.google.com/open?id=1Tr-ariy6pWqJ8jnZW1RyVRkDlQ3TFWSi</t>
  </si>
  <si>
    <t>https://drive.google.com/open?id=1rlXwSJ7Gsju_2X6h-zHhL1c0efqkMpz2</t>
  </si>
  <si>
    <t>https://drive.google.com/open?id=1gV3OLzmOY7-RgwN1wL70tShHJN8A26ed</t>
  </si>
  <si>
    <t>https://drive.google.com/open?id=1PrIpLT5ZLd_ykhSSYkeEylYLA9CtgmI5</t>
  </si>
  <si>
    <t>https://drive.google.com/open?id=1jLu3B4NXESs0fSXkExiCB38ie7X1RT88</t>
  </si>
  <si>
    <t xml:space="preserve">In technical certifications I added new technical certificate. </t>
  </si>
  <si>
    <t>0220200120</t>
  </si>
  <si>
    <t>SAURABH</t>
  </si>
  <si>
    <t>SHRIRAM</t>
  </si>
  <si>
    <t>GUNTURKAR</t>
  </si>
  <si>
    <t>saurabhgunturkar07@gmail.com</t>
  </si>
  <si>
    <t>https://www.linkedin.com/in/saurabh-gunturkar-686807193</t>
  </si>
  <si>
    <t>Mamta Colony Karegaon Road Parbhani - 431401</t>
  </si>
  <si>
    <t xml:space="preserve">"CATIA V5 R21: Learnmall.in"  </t>
  </si>
  <si>
    <t xml:space="preserve">"ANSYS Workbench: Leanmall.in", 
"MySQL: Great Learning", 
"HTML: Great Learning", 
"Smart professional communication skill: Great Learning" </t>
  </si>
  <si>
    <t xml:space="preserve">"Python : Udemy",
"Masterclass in CFD : Udemy", 
"SQL for Beginners: Infosys springboard", 
"HTML: Infosys springboard"
</t>
  </si>
  <si>
    <t>Project name - Analysis and simulation of designed bicycle using DHMT Technique.
Descirbtion - We were designed a bicycle as a product and analysis of it with respect to its ergonomic compatibility by using REBA and RULA analysis with the help of Digital Human Manikin in CATIA V5 software.
- During this analysis we found that due to insufficient hand reach human body tends to take awkward position which causes increment in risk level. 
- Thus, we can provide sufficient hand reach by lowering the seat of bicycle, to modify the handle of bicycle and changing the position of manikin and analyze the risk level.</t>
  </si>
  <si>
    <t xml:space="preserve">Project title - Design and Analysis of Fins on Electric Motor
Describtion - 
- This project is about a comparative study of different types of fins and with different types of materials. The main aim of this research is to optimize the cooling rate of the fins in electric motors. 
- So, to resolve the heat transfer problem various designs of motor fins are modeled in 3D CAD software (CATIA) and analyzed by the analysis software (ANSYS Workbench) for their heat transfer properties. 
- To improve the results even more a research has been done and the new materials are selected like Al Alloy 6061, Al alloy 1050A, etc and applied on designed models. 
- Then by the results, we can able to find out the best material among the chosen 2 materials. And this material is applied to the 6 hybrid models and analyzed which design of fins gives better heat transfer rate and check the effect of new material .i.e. Al 1050A for heat transfer rate to the fins.
INTERNSHIP DETAILS:
1) D-MECH INDUSTIRES, Sangli
     Time period - 1 Month 
      Started from - 1/06/2022 (Ongoing)
      Role - CAD Design Intern
      Mentor - Mr. Ajay Awati
      Contact - 77698 82075
2) BINANI TECHNOLOGIES INDIA PVT. LTD., Bangluru
     Time period - 1 Month 
      Started from - 7/06/2022 (Ongoing)
      Role - CAD Design Intern
      Mentor - Mr. Miheer Gaikwad
      Contact - 77458 40320
</t>
  </si>
  <si>
    <t xml:space="preserve">B.E. Project =
Project title - Design and Analysis of Fins on Electric Motor
Describtion - This project is about a comparative study of different types of fins and with different types of materials. The main aim of this research is to optimize the cooling rate of the fins in electric motors. 
 So, to resolve the heat transfer problem various designs of motor fins are modeled in 3D CAD software (CATIA) and analyzed by the analysis software (ANSYS Workbench) for their heat transfer properties. 
 To improve the results even more a research has been done and the new materials are selected like Al Alloy 6061, Al alloy 1050A, etc and applied on designed models. 
 Then by the results, we can able to find out the best material among the chosen 2 materials. And this material is applied to the 6 hybrid models and analyzed which design of fins gives better heat transfer rate and check the effect of new material .i.e. Al 1050A for heat transfer rate to the fins.
Diploma Project =
Project Title - Electric Segway
Describtion - In the present days, we are dealing with a problem of increase in number of vehicles with everlasting demand of fuel to run them. 
 As one of the solution instead of bicycle &amp; vehicles, if we used Segway for some daily life tasks to reduce the human effort &amp; saves time. 
 Selecting the electric motor using the standard procedure which is mentioned in research paper.
 Making only 3D design of Segway on PRO/E software and developed an Electric Segway Prototype which it operates by rechargeable batteries &amp; DC geared motor. 
 For balancing, caster wheels are used. </t>
  </si>
  <si>
    <t>Python, HTML, CSS, JavaScript, MATLAB, SQL</t>
  </si>
  <si>
    <t>AutoCAD, CATIA, ANSYS, Adobe XD, MATLAB, Creo, Pro/E, MSC Apex, Nastran, Patran, Fluidsim, MS-Office</t>
  </si>
  <si>
    <t>1. Participated in “Solar Study Lamp” in Student Solar Ambassadors Workshop organized on 
Oct, 2019 in GPP.
2. Participated in National Level Workshop On “Introduction to Finite Element Analysis using 
ANSYS” organized on 30th sept, 2021 in MIT.
3. Published a paper “Ergonomic Analysis of designed bicycle by using DHM technique” on 
Researchgate.
4. Participated in “Design Thinking Workshop” organized by MIT.
5. Participated in “Essay Competition Event” during Abhyudaya 2019, organized by GPP.</t>
  </si>
  <si>
    <t>Winning 1st Prize in National Level Competition on “National level FEA Workshop competitions using ANSYS”.</t>
  </si>
  <si>
    <t>1. Participated in the “eXEMPLAR 2022” competition under National Technical Event Equilibrium 2022” organized from 23-24 March 2022 by MIT.
2. Published 3D models prototype on “GrabCAD”
3. Member of “National Social Service” as a Volunteer. 
4. Participated in “Life Saving Foundation” as a Volunteer
5. Participated in “National Science Day Quiz” organized by Institution’s Innovation Council, MITAOE on 28th February 2022.</t>
  </si>
  <si>
    <t>https://preskilet.com/watch?v=62a30cbca6956a00045ff7b0  ,        https://drive.google.com/file/d/1JD0kIlOD0LrRbodtIY7X4DYoeGmUNnO1/view?usp=sharing</t>
  </si>
  <si>
    <t>https://drive.google.com/open?id=1iZ3Mpgm1z3wERBH6iNCWESg2w7fB1uh-</t>
  </si>
  <si>
    <t>https://drive.google.com/open?id=1Tx4xj1HpLWZMdhAvxNSIOhE09Pl513g6</t>
  </si>
  <si>
    <t>https://drive.google.com/open?id=1vgDeROtne_K1uj6Sj-GkQ90j_ti51E0Y</t>
  </si>
  <si>
    <t>https://drive.google.com/open?id=19bVa0mG0W-DxIukyUeXbiR6TekZhAbwU</t>
  </si>
  <si>
    <t>0120190511</t>
  </si>
  <si>
    <t>POWAR</t>
  </si>
  <si>
    <t>saurabhpowar22@gmail.com</t>
  </si>
  <si>
    <t xml:space="preserve">saurabhpowar@mitaoe.ac.in </t>
  </si>
  <si>
    <t>www.linkedin.com/in/saurabh-powar-88425a232</t>
  </si>
  <si>
    <t>505/A, shivshakti park, N.M.Joshi Marg, Mumbai-400011</t>
  </si>
  <si>
    <t>10133/4th floor, 256 sneha apartment, HIG Complex, Kannamwar Nagar-1, Vikhroli, Mumbai-400083</t>
  </si>
  <si>
    <t>Matlab : Matlab Onramp</t>
  </si>
  <si>
    <t>Infosys : Python Programmer Certification</t>
  </si>
  <si>
    <t>MITAERO RC plane and Drone design</t>
  </si>
  <si>
    <t>Team Niyudrath Racing off-road ATV design and analysis</t>
  </si>
  <si>
    <t>Binani Technologies India : CAD design and analysis</t>
  </si>
  <si>
    <t>Design and fabrication of Custom continuous variable transmission</t>
  </si>
  <si>
    <t>Participation in IIT bombay techfest drone competition
Participation in SAEINDIA BAJA 2021
Participation in SAEINDIA BAJA 2022
Conduction of Vehicle Dynamics workshop in college related to Off-road vehicles</t>
  </si>
  <si>
    <t>AIR Rank 15 in SAEINDIA BAJA 2021
AIR Rank 19 in SAEINDIA BAJA 2022</t>
  </si>
  <si>
    <t>Coursera : Python data structures
Autodesk : Introduction to 3D modelling</t>
  </si>
  <si>
    <t>https://drive.google.com/file/d/1qA1VP2k-ksaCLBa711qQNUlxNBCvTeu0/view?usp=sharing</t>
  </si>
  <si>
    <t>https://drive.google.com/open?id=1SyqwEDT1hyWkogWqDfB3L-vENog_PzA5</t>
  </si>
  <si>
    <t>https://drive.google.com/open?id=1uVKwtKC3Fq_Yx1u-zX7v8iku_quFWDBe</t>
  </si>
  <si>
    <t>https://drive.google.com/open?id=1nnKGeGlKo-E5ngiH2OnmhW4782hRxeLU</t>
  </si>
  <si>
    <t>https://drive.google.com/open?id=1y8irw2b9GzVctO3X80cDzkZAWVBa-zUQ</t>
  </si>
  <si>
    <t>https://drive.google.com/open?id=14R2-ZOqWUaYk_h4RziAYTszpzLqcmE87</t>
  </si>
  <si>
    <t>https://drive.google.com/open?id=1hwJd6Hhaow7O7vKkIqjEnoEMyztlStnu</t>
  </si>
  <si>
    <t>0120190470</t>
  </si>
  <si>
    <t xml:space="preserve">NAMDEO </t>
  </si>
  <si>
    <t>LICHADE</t>
  </si>
  <si>
    <t>tejaslichade08@gmail.com</t>
  </si>
  <si>
    <t xml:space="preserve">tnlichade@mitaoe.ac.in </t>
  </si>
  <si>
    <t>https://www.linkedin.com/in/tejas-lichade-889791241</t>
  </si>
  <si>
    <t xml:space="preserve">NAMDEO LICHADE </t>
  </si>
  <si>
    <t xml:space="preserve">LATA LICHADE </t>
  </si>
  <si>
    <t xml:space="preserve">ABHYANKAR WAARD AKOT , PAVANI TAL.,DIST. BHANDARA, MAHARASHTRA </t>
  </si>
  <si>
    <t xml:space="preserve">Near, MITAOE ART AND COMMERCE COLLEGE ALANDI,PUNE </t>
  </si>
  <si>
    <t xml:space="preserve">Google: technical support fundamental </t>
  </si>
  <si>
    <t xml:space="preserve">Infosys: object oriented programming using python </t>
  </si>
  <si>
    <t xml:space="preserve">Programming for everybody </t>
  </si>
  <si>
    <t xml:space="preserve">Technical support fundamental </t>
  </si>
  <si>
    <t xml:space="preserve">Internship in Jay Hind industry </t>
  </si>
  <si>
    <t xml:space="preserve">Optimization of nimonic carbon -263 by using turning operation </t>
  </si>
  <si>
    <t>AutoCAD, CATIA, ANSYS</t>
  </si>
  <si>
    <t xml:space="preserve">Sports </t>
  </si>
  <si>
    <t xml:space="preserve">State in basketball </t>
  </si>
  <si>
    <t>Sketching and gaming events</t>
  </si>
  <si>
    <t>https://drive.google.com/folderview?id=1BACLzrvd0kqV9c1rW8_6hALD2jYKio_I</t>
  </si>
  <si>
    <t>https://drive.google.com/open?id=1G1L0vCwzr2_xHfrKTHNWTNMdNQF5jCbU</t>
  </si>
  <si>
    <t>https://drive.google.com/open?id=1WCM5lAng21spu0xX1w0V0QXYbWG5T51Q</t>
  </si>
  <si>
    <t>https://drive.google.com/open?id=1hKKcFde7i-EJxn5at7aprfiFn5ubjYFb</t>
  </si>
  <si>
    <t>https://drive.google.com/open?id=1rlAiA5awPO9FTf5FIVBNXTWDIZ3qn2Jf</t>
  </si>
  <si>
    <t>https://drive.google.com/open?id=1JJf_01NibJdFhmQHh7nQbFwJzVKf0ffJ</t>
  </si>
  <si>
    <t xml:space="preserve">Technical certificatuons (previously option was not available) </t>
  </si>
  <si>
    <t>0120190041</t>
  </si>
  <si>
    <t xml:space="preserve">HONSHETTE </t>
  </si>
  <si>
    <t>ashahon12@gmail.com</t>
  </si>
  <si>
    <t>https://www.linkedin.com/in/asha-honshette-417228196</t>
  </si>
  <si>
    <t xml:space="preserve">MADHAVRAO GANPATI HONSHETTE </t>
  </si>
  <si>
    <t xml:space="preserve">ANITA MADHAVRAO HONSHETTE </t>
  </si>
  <si>
    <t>At.beldara t.q.umri dist.Nanded 431805</t>
  </si>
  <si>
    <t>C12 Heritage complex near gajanan maharaj mandir dehu phata alandi 412105</t>
  </si>
  <si>
    <t xml:space="preserve">AS105T calculus and differential equations 
AS106T Engineering physics
CS101L c programming 
CS101T  c programming 
ME104L Engineering graphics 
ME104T Engineering graphics </t>
  </si>
  <si>
    <t>https://drive.google.com/file/d/1fd-nHmNm9BCLGRBplKP0GsRf5gUebn6t/view?usp=drivesdk</t>
  </si>
  <si>
    <t>Programming for everybody (Getting started with python)</t>
  </si>
  <si>
    <t>Introduction to sustainability(by university of Illinois from coursera)</t>
  </si>
  <si>
    <t xml:space="preserve">Saptasati Industries pvt.ltd on dehu alandi road jadhavwadi chikhali </t>
  </si>
  <si>
    <t xml:space="preserve">Saptasati Industries pvt.ltd on dehu alandi road Jadhav wadi chikhali </t>
  </si>
  <si>
    <t>1)Design of vibration belt with hot water bag.[Minor project]
2) Design and development of vertical axis wind turbine.[Major Project]</t>
  </si>
  <si>
    <t>AutoCAD, Fusion 360, SolidWorks, CATIA, ANSYS, Proteus, MATLAB, Creo</t>
  </si>
  <si>
    <t>I'm an active member of under25mitaoe club. Where we arrange different talents below 25. And arranged many activities.</t>
  </si>
  <si>
    <t>https://preskilet.com/watch?v=62a33692a6956a00045ffbe6</t>
  </si>
  <si>
    <t>https://drive.google.com/open?id=1Zxyl-JA3wf-KvBtQZwjuBgms5ZFxkEIo</t>
  </si>
  <si>
    <t>https://drive.google.com/open?id=1nh6KcLBdvf9Q0kRF6D6z0wZyFGYheRJt</t>
  </si>
  <si>
    <t>https://drive.google.com/open?id=1hV87KVVJE5r1QVrAi_a0E0G_JNdlIpIc</t>
  </si>
  <si>
    <t>https://drive.google.com/open?id=1nFmcYKm5PHawX8Lq86E1J-inr2LW0Pmb</t>
  </si>
  <si>
    <t>https://drive.google.com/open?id=1qtjbkHpTHYSxfQDFkpekqroqvB0hsjN1</t>
  </si>
  <si>
    <t>https://drive.google.com/open?id=19v1tMNwvMOK7i_czgVdDzH9VI3Y1DSl7</t>
  </si>
  <si>
    <t>https://drive.google.com/open?id=1PkMKhwSXvcLDy2DoaxgR2-WC_0UI9UBI</t>
  </si>
  <si>
    <t>https://drive.google.com/open?id=1bO9aFi0BdH-0WKVqQ4O6P_tjpbA0GUp-</t>
  </si>
  <si>
    <t>https://drive.google.com/open?id=1p-s-86I8B0VAjL7fB21qODMKA3Tmod6k</t>
  </si>
  <si>
    <t>https://drive.google.com/open?id=1JgH1F-uUKGFgUXWQ6dmK7NilHLSq9K0v</t>
  </si>
  <si>
    <t>https://drive.google.com/open?id=17opWEISWFHnAbpOiMHNrLpXXM6U0vJ0w</t>
  </si>
  <si>
    <t>I have updated TY AMCAT result.</t>
  </si>
  <si>
    <t>0220200117</t>
  </si>
  <si>
    <t>ANIRUDHA</t>
  </si>
  <si>
    <t>THORAT</t>
  </si>
  <si>
    <t>anirudhat999@gmail.com</t>
  </si>
  <si>
    <t>https://www.linkedin.com/in/anirudha-thorat-5939b2235</t>
  </si>
  <si>
    <t>SHAHAJI BABURAO THORAT</t>
  </si>
  <si>
    <t>CHAYA SHAHAJI THORAT</t>
  </si>
  <si>
    <t>Devdhar Vada, first floor, tera gharanchi Ali, pen, raigad, 402107</t>
  </si>
  <si>
    <t>Infosys springboard : Programming Fundamentals using Python - Science Graduates - Foundation Program</t>
  </si>
  <si>
    <t>freecodecamp : machine learning with python 
deeplearning.ai : Neural Networks and Deep Learning 
Infosys springboard : Introduction to Python</t>
  </si>
  <si>
    <t>Project : Tracking activity of workers in a workshop using convolutional neural network (AI).
In workshop, it is very important that workers do their task on time which makes the workshop productive. For this, we developed a AI model that can track whether worker is working or not. Company's can use this to evaluate workers working hours or performance.
We trained the AI model on workshop data which contains two types of image i.e. images where worker is working and not working. After training the AI model we Implemented it on real workshop to see it's accuracy.</t>
  </si>
  <si>
    <t>TY Summer Internship : 
Company name: Dygnify Ventures Private Limited
internship role : Blockchain developer (Web3 Developer)
My work : I am developing smart contracts for liquidity pool in solidity programming language. I am also doing frontend work for the same.
Project : Artificial intelligence controlled cost effective robotic hand exoskeleton.
In this we are making cost effective Robotic exoskeleton by eliminating sensors and by using speech recognition AI algorithm.</t>
  </si>
  <si>
    <t>Diploma Project : Design and Manufacturing of low cost 3D printer.</t>
  </si>
  <si>
    <t>Python, C/C++, HTML, CSS, JavaScript, Solidity, SQL</t>
  </si>
  <si>
    <t>React.js (JavaScript/Typescript), Blockchain development (Solidity)</t>
  </si>
  <si>
    <t>AutoCAD, Fusion 360, SolidWorks, Figma, MATLAB</t>
  </si>
  <si>
    <t>Datathon (AI hackathon)
Encode Polygon Hackathon
Codechef Lunchbox coding competition</t>
  </si>
  <si>
    <t>participation in Artificial intelligence club, chess club, codechef 3 star coder</t>
  </si>
  <si>
    <t>https://drive.google.com/file/d/1yBOTrI9KE9wq6l0KPdxvBMGEQyplnAen/view?usp=sharing                         https://preskilet.com/watch?v=62a32be9a6956a00045ffac8</t>
  </si>
  <si>
    <t>https://drive.google.com/open?id=1Y8TCz25AJ4X-XpMsGxvSKC9opzcg-Hxy</t>
  </si>
  <si>
    <t>https://drive.google.com/open?id=1sDE7c-Mh-Um_bPMh3aNfuEvYQINrlgvR</t>
  </si>
  <si>
    <t>https://drive.google.com/open?id=1NPEgbswVjgy046WbabGNAAet5Vja1O0S</t>
  </si>
  <si>
    <t>https://drive.google.com/open?id=1OjKMpcLAtXrONMZmy0awwDPC97OYhZKa</t>
  </si>
  <si>
    <t>https://drive.google.com/open?id=1jAbmb4ZpjbzkfnE2bavFc2d5LaUlbePT</t>
  </si>
  <si>
    <t>https://drive.google.com/open?id=1LPSMJ45LsrWDUAThtb2fKorvdwijtTj0</t>
  </si>
  <si>
    <t>Updated the SGPA of Third year</t>
  </si>
  <si>
    <t>0220200013</t>
  </si>
  <si>
    <t>BHATKAR</t>
  </si>
  <si>
    <t>payalbhatkar9730@gmail.com</t>
  </si>
  <si>
    <t>https://www.linkedin.com/in/payal-bhatkar-5456bb235</t>
  </si>
  <si>
    <t>PRABHAKAR DEVIDAS BHATKAR</t>
  </si>
  <si>
    <t>KAVITA PRABHAKAR BHAATKAR</t>
  </si>
  <si>
    <t>Tukaram Chauk Sonala , Tq. Sangrampur , Dist. Buldhana , 444204</t>
  </si>
  <si>
    <t>Dehu Fata Alandi (D), Pune , 412105</t>
  </si>
  <si>
    <t>Microsoft Technology Associate - Introduction to Python Programmimg</t>
  </si>
  <si>
    <t>EJI Learning</t>
  </si>
  <si>
    <t xml:space="preserve">Diploma - Manufacturing of Abrasive Jet Machine (AJM)
B. Tech - Manufacturing algae biofuel using bio-reactor (SY)
B. Tech - Analysis Of Agriculture Bio-diesel Using Relevance Vector Machine Learning Process </t>
  </si>
  <si>
    <t>LILA Poonawalla Foundation</t>
  </si>
  <si>
    <t xml:space="preserve">Python - Inflow Technology </t>
  </si>
  <si>
    <t>Sports - Kho-Kho</t>
  </si>
  <si>
    <t>https://preskilet.com/payal.bhatkar@mitaoe.ac.in</t>
  </si>
  <si>
    <t>https://drive.google.com/open?id=1q9ETJvQu1sxmnVTwYJ1f1aZZR32h4eE4</t>
  </si>
  <si>
    <t>https://drive.google.com/open?id=1a7oRvNLm-WibD-3AK7WtaqLJ65j9QZaQ</t>
  </si>
  <si>
    <t>0220200129</t>
  </si>
  <si>
    <t>PRITAM</t>
  </si>
  <si>
    <t>pritamjadhav2611@gmail.com</t>
  </si>
  <si>
    <t>https://www.linkedin.com/in/pritam-jadhav-763301230</t>
  </si>
  <si>
    <t>RAJENDRA VITTHAL JADHAV</t>
  </si>
  <si>
    <t>VANDANA RAJENDRA JADHAV</t>
  </si>
  <si>
    <t>Plot no 48 Mangalpuri Nagar Jalgaon</t>
  </si>
  <si>
    <t xml:space="preserve">
Sr.No. 110/3/2, F.No. 302 Kale colony no.3, Chkhed Pune Alandi (M CI) -412105.</t>
  </si>
  <si>
    <t>Matlab Onramp Course, Matlab Simulink Course</t>
  </si>
  <si>
    <t xml:space="preserve">Project Thermo Electric Air Conditioner </t>
  </si>
  <si>
    <t>Verzo</t>
  </si>
  <si>
    <t>Diploma Project Vertical Axis Wind Turbine
TY BTech Fabrication and analysis.of solar collector using copper oxide as nano fluid</t>
  </si>
  <si>
    <t>Fusion 360, CATIA, ANSYS, MATLAB, Creo, Adms , Lotus Shark,Comsol</t>
  </si>
  <si>
    <t xml:space="preserve">Attending Workshop Based on multi design criteria
</t>
  </si>
  <si>
    <t xml:space="preserve">Member of Team Niyudrath Racing in suspension department </t>
  </si>
  <si>
    <t>https://preskilet.com/watch?v=62bbf96037f0b4000476d011</t>
  </si>
  <si>
    <t>https://drive.google.com/open?id=1MzlaLuDDcBWfI-MRrSlybC9qMZpKaG2F</t>
  </si>
  <si>
    <t>https://drive.google.com/open?id=1nQNXuPL_PYZba_EKvtI4Uop4vxFpMVUA</t>
  </si>
  <si>
    <t>https://drive.google.com/open?id=1zhumF_jufoz5E-8qkRFnedp6iJzwOS_-</t>
  </si>
  <si>
    <t>https://drive.google.com/open?id=1EOiIBPfSuZUg_t2UWYVvWh3A6XULDuZJ</t>
  </si>
  <si>
    <t>https://drive.google.com/open?id=196twUaO4APjEfv07njmulGXBVegwNh4L</t>
  </si>
  <si>
    <t>https://drive.google.com/open?id=13_e-RB7exioDyMGw_eLcey1yTag3hjTP</t>
  </si>
  <si>
    <t>0120190521</t>
  </si>
  <si>
    <t>GAJANANRAO</t>
  </si>
  <si>
    <t>shubhamdeshmukh9764@gmail.com</t>
  </si>
  <si>
    <t>https://www.linkedin.com/in/shubham-deshmukh-b8a7691b0</t>
  </si>
  <si>
    <t>At- Wanoja Post- Asegaon (pen) Tq. Risod Dist- Washim</t>
  </si>
  <si>
    <t>Gnyansuman Hostel, Dehu phata, Alandi, Pune - 412105</t>
  </si>
  <si>
    <t>Course : Python (offered by Michigan University on Coursera)</t>
  </si>
  <si>
    <t>Course: Machine learning by Stanford University
Project: Face Mak Detection using opencv</t>
  </si>
  <si>
    <t>Machine Learning Intern at VIEH Group</t>
  </si>
  <si>
    <t>Implementation of platform for verification and validation of Educational Documents using Blockchain Technology</t>
  </si>
  <si>
    <t>1. Pair programming competition by CodeChef Club
2. Datathon Competition organised by GirlScript Club, MITAOE</t>
  </si>
  <si>
    <t>Microsoft AI-900 Certification training - Microsoft</t>
  </si>
  <si>
    <t>https://preskilet.com/watch?v=62b4a2a830b28000045236bc</t>
  </si>
  <si>
    <t>https://drive.google.com/open?id=1s4FunMK_4peADkO5c80FVw_1tjZ1wXv0</t>
  </si>
  <si>
    <t>https://drive.google.com/open?id=1oVQsyQ0QGK1LN_F71zsBz4XZWdTYGy_6</t>
  </si>
  <si>
    <t>https://drive.google.com/open?id=1ahtytP2qnZlGlELKA08SEpfHASNw5aC3</t>
  </si>
  <si>
    <t>https://drive.google.com/open?id=1uHFTl14qqex34wr-3EvoqnPHVEMsVGdF</t>
  </si>
  <si>
    <t>https://drive.google.com/open?id=1nNOzo_5PCC-2qYOhyk6WAD0zV_Jw1dIS</t>
  </si>
  <si>
    <t>https://drive.google.com/open?id=1x5dQmqKv5BxCzuSUSG1nXS8ktoFHpr_3</t>
  </si>
  <si>
    <t>0120190445</t>
  </si>
  <si>
    <t>SAHIL</t>
  </si>
  <si>
    <t>HARIJI</t>
  </si>
  <si>
    <t>MANGAR</t>
  </si>
  <si>
    <t>sahilmangar4458@gmail.com</t>
  </si>
  <si>
    <t xml:space="preserve">shmangar@mitaoe.ac.in </t>
  </si>
  <si>
    <t>https://www.linkedin.com/in/sahil-mangar-073581241</t>
  </si>
  <si>
    <t>HARIJI MANGAR</t>
  </si>
  <si>
    <t xml:space="preserve">ALKA HARIJI MANGAR </t>
  </si>
  <si>
    <t>Hanuman Nagar Ward no 17, near new Post office Chamorshi. Ta- Chamorshi, Dist- Gadchiroli.</t>
  </si>
  <si>
    <t>Concept Heritage B14, Dehu road near Anand Hospital, Opposite to MIT Arts and Science College, Alandi, Pune.</t>
  </si>
  <si>
    <t>Infosys Springboard: Python</t>
  </si>
  <si>
    <t xml:space="preserve">Solo Learning - Python (Basic)
Coursera - AutoCAD 
Internshala - Solidworks
</t>
  </si>
  <si>
    <t xml:space="preserve">Infosys Springboard - ( Java)
</t>
  </si>
  <si>
    <t xml:space="preserve">Sololearn - PYTHON </t>
  </si>
  <si>
    <t xml:space="preserve">Internship - Solidworks 3D modelling Software
Project - Automatic Solar Panels Cleaning System </t>
  </si>
  <si>
    <t xml:space="preserve">Internship - Practical Training at Chandrapur Super Thermal Power Station.
Project - Industrial Project on Design of gripper for industrial application using hydraulic and pneumatic 
control. </t>
  </si>
  <si>
    <t>DESIGN OF GRIPPER FOR INDUSTRIAL APPLICATION
USING HYDRAULIC AND PNEUMATIC CONTROLS.</t>
  </si>
  <si>
    <t>DESIGN OF GRIPPER FOR INDUSTRIAL APPLICATION
USING HYDRAULIC AND PNEUMATIC CONTROLS .</t>
  </si>
  <si>
    <t>Traning Session at Chandrapur Super Thermal Power Station.</t>
  </si>
  <si>
    <t>https://preskilet.com/watch?v=62a32a24a6956a00045ffa7f</t>
  </si>
  <si>
    <t>https://drive.google.com/open?id=1qhY68v2EQfXx_5tWwFPMdDuwUmtC50rx</t>
  </si>
  <si>
    <t>https://drive.google.com/open?id=12lfvvA3QhZpjQ9ndIHGP4p2rSyamPgNf</t>
  </si>
  <si>
    <t>https://drive.google.com/open?id=1gyNBGjLSiFsxbZEL0loRI8MptV4P-073</t>
  </si>
  <si>
    <t>https://drive.google.com/open?id=1_lXctT_L7GEkpPJYRifp6JxGxa4HOmzm</t>
  </si>
  <si>
    <t>https://drive.google.com/open?id=1pHyZE02EDmpHL_9MVa5kTIoLDQ9U6oxz</t>
  </si>
  <si>
    <t>RAJESHWARI</t>
  </si>
  <si>
    <t>rajeshwarishinde01@gmail.com</t>
  </si>
  <si>
    <t>https://www.linkedin.com/in/rajeshwari-shinde-614ab3223</t>
  </si>
  <si>
    <t>CHANDRASHEKHAR KISANRAO SHINDE</t>
  </si>
  <si>
    <t>SUJATA CHANDRASHEKHAR SHINDE</t>
  </si>
  <si>
    <t>4559, Near Tile Ganapati Tample, Ganeshwadi, Panchavati, Nashik-422003</t>
  </si>
  <si>
    <t>301, A wing, Dnyanyog BUilding, Alandi, Pune</t>
  </si>
  <si>
    <t>https://drive.google.com/drive/folders/1y9dLr6tLLaQv5sM-ld01UaOvTxa_f-8j?usp=sharing</t>
  </si>
  <si>
    <t>1. 12 month (1 year) Apprenticeship at BOSCH LTD. located at Satpur, Nashik.
2. 04 weeks internship at Vishal Industries, Satpur, Nahik.
3. 03 months internship at SharpTech Engineering located at MIDC ambad, nashik.
4. 02 months internship at Samsun Industries Pvt. Ltd. Malegaon MIDC, Sinner, Nashik</t>
  </si>
  <si>
    <t>1. Pursuing internship at YBI foundation in the domain of Python programming.
2. Pursuing internship at Jivi Industries, Satpur, nashik</t>
  </si>
  <si>
    <t>Major project of diploma was Solar rechargeable electric Vehicle sponsored by JITENDRA EV Tech.LTD. located at satpur, ambad, nashik</t>
  </si>
  <si>
    <t>1) Major project of diploma was Solar rechargeable Electric vehicle in which battery can be charged with the help of solar panel attached with the vehicle. It reduces the charging cost of the vehicle.
2) In second year of B.Tech, I have worked on the project of Air Ventilated PPE kit which was beneficial for corona warriors like doctors, nurses etc.
3) In third year of B.tech, working on the project of Automated pesticide Vehicle.</t>
  </si>
  <si>
    <t>1) Brain-Wreck Robotics Workshop
2) Quiz competition on CNC machine with 80% score.
3) Two days National Level workshop on "Multi Criteria Decision Making" (MCDM)</t>
  </si>
  <si>
    <t>1. Paid Training - Any Time Memory - First Rank
2. Workshop - Basics of Automobile &amp; Fundamentals of Engineering - K. K. Wagh Polytechnic
3. Paid Training - SAP01 - MSBTE</t>
  </si>
  <si>
    <t>1. Robo Race - Sandip Foundation - First rank
2. Project Exhibition - K. K. Wagh Polytechnic - Runner Up
3. Poster Competition - K. K. Wagh Polytechnic - First Rank</t>
  </si>
  <si>
    <t>https://preskilet.com/watch?v=62bdc2789535010004fd28f3</t>
  </si>
  <si>
    <t>https://drive.google.com/open?id=1ifY9Mp4cFqc4J8QwbMVkgfvxtADtjy--</t>
  </si>
  <si>
    <t>https://drive.google.com/open?id=1p5BUsU9RPKC5Bef-KGpgVtUSvob7vL1o</t>
  </si>
  <si>
    <t>https://drive.google.com/open?id=1UXp3Fok8EgdoJ5JxZ2HFDHfIXcfQ5Ylx</t>
  </si>
  <si>
    <t>https://drive.google.com/open?id=1JU-AuQ82c2dblruGN0ngXLyA8XOcbfOd</t>
  </si>
  <si>
    <t>https://drive.google.com/open?id=1TR1dRN6Hpq2yux5_rdL3qZLEIb2U3--9</t>
  </si>
  <si>
    <t>https://drive.google.com/open?id=11UXXfWL3jHmythxdIG2ERqBTcI3d8rui</t>
  </si>
  <si>
    <t>https://drive.google.com/open?id=1W9fiqRpY5ElAHn5r3DvQ5yQNxTerSWdn</t>
  </si>
  <si>
    <t>https://drive.google.com/open?id=1eY2aTx8o2PcpVmdVXgt1KSXmdv8-PdwW</t>
  </si>
  <si>
    <t>Some wrong certificates has been uploaded and some certification have remain to upload perviously.</t>
  </si>
  <si>
    <t>0220200072</t>
  </si>
  <si>
    <t>INGAWALE</t>
  </si>
  <si>
    <t>ingawalesb581@gmail.com</t>
  </si>
  <si>
    <t>https://www.linkedin.com/in/sushant-ingawale-a4688119b</t>
  </si>
  <si>
    <t>Flat no. 204, Shree Krishna Kunj Building, Datta Mandir Road, Wakad 411057</t>
  </si>
  <si>
    <t>Infosys Springboard: Programming Fundamentals using Python - Science Graduates - Foundation Program</t>
  </si>
  <si>
    <t>EDF- CourseKhoj Internship</t>
  </si>
  <si>
    <t>Diploma Project-Self Recharging electric Vehicle; BTech- Design and Development of Autonomous Pesticide Sprinkling Robot</t>
  </si>
  <si>
    <t>Completed certification course of Python from Infosys Springboard;
Completed course on Electric vehicle design and development with hands on Training from DIY Guru
Completed Training on Mechatronic from COEP, Pune</t>
  </si>
  <si>
    <t>1)Participated in State level Project competition in Final Year of Diploma for the project Self Recharging Electric Vehicle.
2)Our Project was showcased in Newspaper
3) My CourseKhoj website was presented on a Startup Gyaan YouTube Channel (400k+ Subscribers)</t>
  </si>
  <si>
    <t>EBC Scholorship</t>
  </si>
  <si>
    <t>1)Bada Business(Paid) - Sales and Startup Training 
2)Magnacamz (Internship)-  Mastercam Software Training
3)Seed Infotech (Paid)- C, C++ and SQL Training</t>
  </si>
  <si>
    <t>1)I am the Winner of Business Model Competition held at MITAOE &amp; Winner of Chess Competition held at MM Polytechnic;
2)Started my own website called CourseKhoj and Helped more than 5000+ Students;
3)Participated in IIT Bombay and IIT Madras E Summits event and secured participation certificate for Virtual Stock Market, and Case Study competition</t>
  </si>
  <si>
    <t>https://preskilet.com/watch?v=62b54d59af4f2700045cdb7a</t>
  </si>
  <si>
    <t>https://drive.google.com/open?id=1PkX5AO92gUqGO-5rWqGM6DwfiLXZJNev</t>
  </si>
  <si>
    <t>https://drive.google.com/open?id=1wrvHjnDzgmChf8xX8Dpo1Z4CM7TU8JiW</t>
  </si>
  <si>
    <t>https://drive.google.com/open?id=189S2nG-L2K4dViEkEZM1hWArNln_khyJ</t>
  </si>
  <si>
    <t>https://drive.google.com/open?id=1mY2EEP7J9uVCp7cI-3kqHQfhySEcqaN-</t>
  </si>
  <si>
    <t>https://drive.google.com/open?id=1_B4yZ4EVU4DMf3Mnj-Q0ssS6o9jtduzW</t>
  </si>
  <si>
    <t>https://drive.google.com/open?id=1NAho1XEJCrh0t2Daxcm-Oe_WGQQkoF82</t>
  </si>
  <si>
    <t>0120190505</t>
  </si>
  <si>
    <t>GHADGE</t>
  </si>
  <si>
    <t>niranjanghadage@gmail.com</t>
  </si>
  <si>
    <t>https://www.linkedin.com/in/niranjan-ghadge-a3a890241</t>
  </si>
  <si>
    <t>AT KANKATRE, POST MAYANI, TAL- KHATAV, DIST- SATARA</t>
  </si>
  <si>
    <t>NEAR SHRI DNYANESHWAR TEMPLE, ALANDI, PUNE</t>
  </si>
  <si>
    <t>Infosys springboard: Java developer certifications</t>
  </si>
  <si>
    <t>PYTHON PROGRAMMING COURSE ON COURSERA</t>
  </si>
  <si>
    <t>AUTOMATIC CONSTRUCTION TROLLEY WITH DISC BRAKE</t>
  </si>
  <si>
    <t>WEIGHT OPERATED MATERIAL HANDELING DEVICE</t>
  </si>
  <si>
    <t>CHESS</t>
  </si>
  <si>
    <t>https://preskilet.com/watch?v=62b5ca4eaf4f2700045ce026</t>
  </si>
  <si>
    <t>https://drive.google.com/open?id=1iq-EYAfxccNr_ynGF0s3VtdI3pwQH6yJ</t>
  </si>
  <si>
    <t>https://drive.google.com/open?id=1E9L2eDqbmZLcaPWPnR9K7rLA0NhwYc1r</t>
  </si>
  <si>
    <t>https://drive.google.com/open?id=16H0MQ_K33wNn607T1JcOAZ2zkgUf-ZAW</t>
  </si>
  <si>
    <t>I have updated the preskilet video link. Because firstly I had uploaded Google drive link which I invalid.</t>
  </si>
  <si>
    <t>0120190365</t>
  </si>
  <si>
    <t>SUBODH</t>
  </si>
  <si>
    <t>KAMBLE</t>
  </si>
  <si>
    <t>subodhkamble1005@gmail.com</t>
  </si>
  <si>
    <t>www.linkedin.com/in/subodh-kamble-0420911a7</t>
  </si>
  <si>
    <t>At - Kerle, Post - Amba, Tal - Shahuwadi, Dist - Kolhapur 415101</t>
  </si>
  <si>
    <t>B-wing Gokuldham Apartments, Dehu Phata, Alandi 412105</t>
  </si>
  <si>
    <t>Python Programmer : Infosys Springboard</t>
  </si>
  <si>
    <t>KSB Pumps LTD Pimpari Pune</t>
  </si>
  <si>
    <t>Solar Operated EV</t>
  </si>
  <si>
    <t>AutoCAD, Fusion 360, SolidWorks, CATIA, ANSYS, Adobe XD, Proteus, MATLAB, Creo</t>
  </si>
  <si>
    <t>Nakshatra 2022</t>
  </si>
  <si>
    <t>https://preskilet.com/svkamble@mitaoe.ac.in</t>
  </si>
  <si>
    <t>https://drive.google.com/open?id=1W9mH3vF8MhSnerktyYoeUoNGpABc9Fr-</t>
  </si>
  <si>
    <t>https://drive.google.com/open?id=1OfTblWiGzybjYYT7g6_NbxlfMsJK_B_k</t>
  </si>
  <si>
    <t>https://drive.google.com/open?id=14W5WqoY5-7vqRUoDLe0vfcowff4mV7su</t>
  </si>
  <si>
    <t>https://drive.google.com/open?id=1tEW7d5CtgmvEbZOQmw9_cco2RZ3WgI2X</t>
  </si>
  <si>
    <t>https://drive.google.com/open?id=1Lkymw5k0wuFUfh3nJHbaYMy72sU9hHIB</t>
  </si>
  <si>
    <t>https://drive.google.com/open?id=187w53A3KcdjY2WD54CGD8isIzcj-dsWL</t>
  </si>
  <si>
    <t>technical certification</t>
  </si>
  <si>
    <t>0120190099</t>
  </si>
  <si>
    <t>GOPAL</t>
  </si>
  <si>
    <t>yashdeshpande732002@gmail.com</t>
  </si>
  <si>
    <t>https://www.linkedin.com/in/yash-deshpande-a47909219</t>
  </si>
  <si>
    <t>GOPAL KRUSHNAJI DESHPANDE</t>
  </si>
  <si>
    <t>JAYA GOPAL DESHPANDE</t>
  </si>
  <si>
    <t>I.U.D.P , Plot No. F-78 , Manmad - 423104 , Tal. Nandgaon  Dist. Nasik</t>
  </si>
  <si>
    <t>Dehu Phata,  Alandi.</t>
  </si>
  <si>
    <t>"CV102T - Applied Mechanics"</t>
  </si>
  <si>
    <t>"AICTE - EduSkills Virtual Internship Program : Robot Process Automation (RPA)"</t>
  </si>
  <si>
    <t>Specialization in "Improve Your English Communication Skills" course from University of Georgia through Coursera</t>
  </si>
  <si>
    <t xml:space="preserve">Design and Analysis of ATV for Team Niyudrath Racing (Autosport Club MITAOE) </t>
  </si>
  <si>
    <t>Stair Sliding Mechanism : Alternative cost effective solution of elevator for transportation of goods and people from one floor to another</t>
  </si>
  <si>
    <t>Stair Sliding Mechanism</t>
  </si>
  <si>
    <t>(1) Performed as "Brake Department Head" of Team Niyudrath Racing in Static Virtual Presentation of Baja SAEIndia Competition 2022</t>
  </si>
  <si>
    <t>AIR 4 : Brake Department in Baja SAEIndia Competition 2021</t>
  </si>
  <si>
    <t>(1) Participated in Live webinar series on "Electric Solar Vehicle Project" organized by ISIE India.
(1) Participated in "National level online mechanical quiz series" organized by the DEPARTMENT OF MECHANICAL ENGINEERING, JYOTHI ENGINEERING COLLEGE, THRISSUR in association with SAEINDIA COLLEGIATE CLUB, ISTE AND AMES- JECCCHAPTERS.</t>
  </si>
  <si>
    <t>https://preskilet.com/watch?v=62a33e3ba6956a00045ffc59</t>
  </si>
  <si>
    <t>https://drive.google.com/open?id=1TZ9E_2IGbcF0ZcZTJQBEN8ixb6tKuDKz</t>
  </si>
  <si>
    <t>https://drive.google.com/open?id=1w7yWCYbRx-FnSRtmytE5o5GkucSXWKUH</t>
  </si>
  <si>
    <t>https://drive.google.com/open?id=1AIdzb6tOr3Bs0W1GN6l7KKW6VpTqN5Kp</t>
  </si>
  <si>
    <t>https://drive.google.com/open?id=1iNRy7mKhScy8LIaY9kCBJpkj0YTORU-O</t>
  </si>
  <si>
    <t>https://drive.google.com/open?id=1xtL7RCE0yJOE8JyArLSWgheWDqzt1Tzt</t>
  </si>
  <si>
    <t>https://drive.google.com/open?id=1x4iQ3N6Ao-oIw72Azoyi8baz0AcDbIPR</t>
  </si>
  <si>
    <t>https://drive.google.com/open?id=1pbTzFNALWKmJUXIdhCU3g2EFXClGSYVg</t>
  </si>
  <si>
    <t>https://drive.google.com/open?id=1Bjf7lrdzolbexKTWAC9dafl1JNP037lJ</t>
  </si>
  <si>
    <t>Uploaded SY and TY Amcat Reports as previously facing problem to download it from amcat portal</t>
  </si>
  <si>
    <t>0220200221</t>
  </si>
  <si>
    <t>NIMESH</t>
  </si>
  <si>
    <t>DASHRATH</t>
  </si>
  <si>
    <t>ZANJE</t>
  </si>
  <si>
    <t>zannimesh@gmail.com</t>
  </si>
  <si>
    <t xml:space="preserve">https://www.linkedin.com/in/nimesh-zanje-522768237 </t>
  </si>
  <si>
    <t>DASHRATH NARAYAN ZANJE</t>
  </si>
  <si>
    <t>MANISHA DASHRATH ZANJE</t>
  </si>
  <si>
    <t>A/P Ghanand, Tal-Atpadi, dist-sangli, 415308.</t>
  </si>
  <si>
    <t>Data fundamentals</t>
  </si>
  <si>
    <t xml:space="preserve">Enerture Technologies </t>
  </si>
  <si>
    <t>Solar desalination unit</t>
  </si>
  <si>
    <t>English , Marathi , Hindi</t>
  </si>
  <si>
    <t xml:space="preserve">National level workshop on ‘ Multi criteria Decision making methods’ at MITAOE. </t>
  </si>
  <si>
    <t xml:space="preserve">https://preskilet.com/watch?v=62a1945dfed70c00042b6561 </t>
  </si>
  <si>
    <t>https://drive.google.com/open?id=11IWJFCjB7OzwswE58wbqQwjsuk-kkAJR</t>
  </si>
  <si>
    <t>https://drive.google.com/open?id=1C_EIihh1RUZEcX1dvuDdDTxWWVWcrTfh</t>
  </si>
  <si>
    <t>https://drive.google.com/open?id=1xOHrEDlmDvrjBCI9QFF7ffH2MrHxNSCc</t>
  </si>
  <si>
    <t>https://drive.google.com/open?id=18jC3ZSdlUMHoxqYPZ6s_OnxCHKRwuVp_</t>
  </si>
  <si>
    <t>I have updated python certificate.</t>
  </si>
  <si>
    <t>0220200001</t>
  </si>
  <si>
    <t>GANPAT</t>
  </si>
  <si>
    <t>KARHALE</t>
  </si>
  <si>
    <t>Shankarkarhale7@gmail.com</t>
  </si>
  <si>
    <t>https://www.linkedin.com/in/shankar-karhale-4b5308238?lipi=urn%3Ali%3Apage%3Ad_flagship3_profile_view_base_contact_details%3BQUAOKN%2FkSFqCU5wi76tbtQ%3D%3D</t>
  </si>
  <si>
    <t>Sant janabai Nagar Gangakhed</t>
  </si>
  <si>
    <t>sant janabai nagar gangakhed</t>
  </si>
  <si>
    <t>Microsoft Python Certificate</t>
  </si>
  <si>
    <t>Microsoft Technology Associats</t>
  </si>
  <si>
    <t>Solar Lightning System, Solar Table Lamp</t>
  </si>
  <si>
    <t>Belt conveyor for coal handling system</t>
  </si>
  <si>
    <t>MECHATOL ENGINEERING SOLUTIONS Pvt. Ltd.</t>
  </si>
  <si>
    <t>https://preskilet.com/shankar.karhale@mitaoe.ac.in</t>
  </si>
  <si>
    <t>https://drive.google.com/open?id=1x7ZaAQmpirRtRmMj5qxsYUtbz3tMNhxP</t>
  </si>
  <si>
    <t>https://drive.google.com/open?id=1GfLAq2DP_hQVuBgEnhT5pFeOe5gyqwKp</t>
  </si>
  <si>
    <t>preskilet video link is updated</t>
  </si>
  <si>
    <t>0120190574</t>
  </si>
  <si>
    <t xml:space="preserve">JAYDEEP </t>
  </si>
  <si>
    <t xml:space="preserve">ASHOK </t>
  </si>
  <si>
    <t xml:space="preserve">KAKDE </t>
  </si>
  <si>
    <t>kakdejaydeep234@gmail.com</t>
  </si>
  <si>
    <t>https://www.linkedin.com/in/jaydeep-/</t>
  </si>
  <si>
    <t>Gandhi Nagar, chikhli. dist.: Buldhana .pin code: 443201</t>
  </si>
  <si>
    <t>ME341T MACHINE DESIGN ,
ME342T TURBOMACHINES ,
ME343T HYDRAULICS AND PNEUMATICS</t>
  </si>
  <si>
    <t>Introduction to 3D Modeling</t>
  </si>
  <si>
    <t>Cybersecurity Foundation Student Certificate</t>
  </si>
  <si>
    <t>Solar P.V Installer (Suryamitra)</t>
  </si>
  <si>
    <t>SY Project on ROBOTIC ARM</t>
  </si>
  <si>
    <t xml:space="preserve">Solar P.v Installer </t>
  </si>
  <si>
    <t xml:space="preserve">Automatic Tyre Inflation System </t>
  </si>
  <si>
    <t>https://drive.google.com/drive/folders/1TbiRULvsQl4AtQXYUxPArhGJCt73rULP?usp=sharing</t>
  </si>
  <si>
    <t>https://drive.google.com/open?id=1ZuqxCJDQY7mSwmPXEDrfgsL1JBeo6o9t</t>
  </si>
  <si>
    <t>https://drive.google.com/open?id=1_gQ8sJok8oc9Wy845l-_B3jS10mex0G2</t>
  </si>
  <si>
    <t>https://drive.google.com/open?id=1HbTxIYq2B9ylOV8rg_IfNUc6dQmkNaEd</t>
  </si>
  <si>
    <t>0220200023</t>
  </si>
  <si>
    <t>GITE</t>
  </si>
  <si>
    <t>akshay.gite2001@gmail.com</t>
  </si>
  <si>
    <t>https://www.linkedin.com/in/akshay-gite-003598215/</t>
  </si>
  <si>
    <t>SOMNATH GITE</t>
  </si>
  <si>
    <t>KALPANA GITE</t>
  </si>
  <si>
    <t>PLOT NO:30, MAHALAXMI NAGAR, AMBAD, NASHIK-422010.</t>
  </si>
  <si>
    <t>FLAT NO-410, PREM-SAI APARTMENT, DUDULGAON, ALANDI(D), PUNE</t>
  </si>
  <si>
    <t>Additive Manufacturing : Dassult Systems</t>
  </si>
  <si>
    <t>AutoCAD - 2D drafting and 3D By MKCL
Object oriented programming using python</t>
  </si>
  <si>
    <t>Design Thinking Course Project - Ventilation System for the PPE kit.</t>
  </si>
  <si>
    <t>Pursuing - Under DD ROBOCON 2022 (From Robotics Club MIT-AOE )</t>
  </si>
  <si>
    <t>B-Tech final Project- Remote controlled weapon station (RCWS).
Diploma final project - Exterior wall painting robot with multiple applications.</t>
  </si>
  <si>
    <t>Part of Robotics Club MIT-AOE. Activities as follows-
1. Hands on training workshop on Robotics basics - given training to the freshers to robotics.
2. 2nd prize in CAD war Arranged By VIT Pune.</t>
  </si>
  <si>
    <t>Participated in ROBOCON 2022 As a vice-captain of Robotics Club.
- 99/100 in 1st stage.
- 94/100 in 2nd stage.
- Qualified for stage 3 (yet to be completed)</t>
  </si>
  <si>
    <t>Vice Captain of Robotics Club MITAOE -
Participated in ROBOCON 2022.
Managed the national level technical event (Brain-Wreck under Equilibrium 2022) organized by Robotics Club MITAOE.</t>
  </si>
  <si>
    <t>https://preskilet.com/watch?v=62a35e1fa6956a00045fff1d</t>
  </si>
  <si>
    <t>https://drive.google.com/open?id=1bHddcqvJ7Sxtcoj2mc7o7q3cGNcjaKMb</t>
  </si>
  <si>
    <t>https://drive.google.com/open?id=1wCF73slDXIRBkkvryqzNYHVk66Y0QIu7</t>
  </si>
  <si>
    <t>https://drive.google.com/open?id=1xh1WEL4aAra6CnZQXdYuSp6ecDLtM1nz</t>
  </si>
  <si>
    <t>https://drive.google.com/open?id=1ru49yHzDQ6WIPKW35ijTSx_1EBXAsgPw</t>
  </si>
  <si>
    <t>https://drive.google.com/open?id=1qQuRyV4yoCAnXYJMpD6PatkYv4yZHJJH</t>
  </si>
  <si>
    <t>0120190016</t>
  </si>
  <si>
    <t>THANGE</t>
  </si>
  <si>
    <t>rushithange20@gmail.com</t>
  </si>
  <si>
    <t xml:space="preserve">rbthange@mitaoe.ac.in </t>
  </si>
  <si>
    <t>https://www.linkedin.com/in/rushikesh-thange-a0b047241</t>
  </si>
  <si>
    <t>BABAN THANGE</t>
  </si>
  <si>
    <t>VANDANA THANGE</t>
  </si>
  <si>
    <t xml:space="preserve">At-Shahajapur Post-Hanga Tal-Parner Dist-Ahmednagar </t>
  </si>
  <si>
    <t>Python certification on Infosys - https://drive.google.com/file/d/1nLdEgOSOBoS5IfaSXMZ0tihrHJws5yFl/view?usp=sharing</t>
  </si>
  <si>
    <t xml:space="preserve">Python course on Coursera as a internship </t>
  </si>
  <si>
    <t>Summer internship -Ansys from beginning to advance.
Project -Improvment in washing machine 
Project details-In this project we made on filtration unit using various combinations of filters and attached that unit to outlet of washing machine.So this unit used to filter the water coming out through washing machine.Also in this project we have attached some sensor to indicate the electronic and metallic devices forgotten in the pockets of the clothes.</t>
  </si>
  <si>
    <t>Summer internship-Axle manufacturing company
TY Project title-Weight operated material handling vehicle with automatic braking system 
Details-In this project we have made on vehicle which is used to transfer weight of 50-60 kg upto 30-40 ft distance.We have used some mechanical and electronic arrangements.Mechanical arrangements such as rack and pinion ,chain and sprocket etc and electronic devices such as PIR sensor, battery,motor etc.</t>
  </si>
  <si>
    <t xml:space="preserve">BE project title- weight operated material handling vehicle with automatic braking system </t>
  </si>
  <si>
    <t xml:space="preserve">Polyhackathon </t>
  </si>
  <si>
    <t xml:space="preserve">TFWS scholarship </t>
  </si>
  <si>
    <t>Sports,Singing</t>
  </si>
  <si>
    <t xml:space="preserve"> https://preskilet.com/rbthange@mitaoe.ac.in</t>
  </si>
  <si>
    <t>https://drive.google.com/open?id=1_EqPHgcVXpBfupVJa02d1IMZLb_StmwS</t>
  </si>
  <si>
    <t>https://drive.google.com/open?id=1WemDsS_f3W_z5F0ebmxU0-3wbkL8bsbL</t>
  </si>
  <si>
    <t>https://drive.google.com/open?id=1RHt_hgzub-lrbfZO7RPKehwKq8mKWeIK</t>
  </si>
  <si>
    <t>https://drive.google.com/open?id=1aEwoXrdDGK-j57JmjTwCHQodEk6OKJza</t>
  </si>
  <si>
    <t>https://drive.google.com/open?id=1aQmI0iqTl3X0lFIX4gxMo0fXMvVCWGVo</t>
  </si>
  <si>
    <t>https://drive.google.com/open?id=1n72BMI18A0MqzmJ16M6l5d3TS3uUeBDb</t>
  </si>
  <si>
    <t>https://drive.google.com/open?id=1FjAdekdKlLh9H0r8YfkGxN0m2a-_kMbc</t>
  </si>
  <si>
    <t>Technical certification
Because earlier wrong documents were uploaded</t>
  </si>
  <si>
    <t>0120190068</t>
  </si>
  <si>
    <t>prathameshkulkarni297@gmail.com</t>
  </si>
  <si>
    <t>https://www.linkedin.com/in/prathamesh-kulkarni-747b1a20a/</t>
  </si>
  <si>
    <t>Plot no. 54, Shri Vihar, Deolai Road, Aurangabad</t>
  </si>
  <si>
    <t>Flat no. 203, Aasra Dnyantirth, Dehu Phata, Alandi</t>
  </si>
  <si>
    <t xml:space="preserve">Coursera: Programming For Everybody(Python), Autodesk Design Academy: Introduction to 3D Modelling, Coursera: Python Data Structures </t>
  </si>
  <si>
    <t>Internshala Trainings: ANSYS</t>
  </si>
  <si>
    <t>SIP at Kaustubh Enterprises, Bhosari MIDC, Pune</t>
  </si>
  <si>
    <t>Exhaust Treatment Using Integrated PFR and Muffler</t>
  </si>
  <si>
    <t>AutoCAD, Fusion 360, CATIA, ANSYS, Proteus, MATLAB</t>
  </si>
  <si>
    <t>Participated in BAJA SAEINDIA 2022 National Level Competition with Team Niyudrath Racing(BAJA Autosports Club at MITAOE).</t>
  </si>
  <si>
    <t>AIR 2 in Go-Green Event at BAJA SAEINDIA 2022, AIR 11 in Virtual Dynamic Event at BAJA SAEINDIA 2022, Overall AIR 19 in BAJA SAEINDIA 2022</t>
  </si>
  <si>
    <t>Active member of BAJA Autosports Club, Organized BGMI E-sports tournament in college</t>
  </si>
  <si>
    <t>https://preskilet.com/watch?v=62a3657ca6956a00045ffff4</t>
  </si>
  <si>
    <t>https://drive.google.com/open?id=1ZN8DzLSBT4BQSbr9q4RB2LXuJE6_9EG2</t>
  </si>
  <si>
    <t>https://drive.google.com/open?id=1qWG1PZuDe3cva4nlvQ_rlHZgMj5LpNmt</t>
  </si>
  <si>
    <t>https://drive.google.com/open?id=1kaFxKFqrtD7nuHJGuBwC9sOr87_lu_u8</t>
  </si>
  <si>
    <t>https://drive.google.com/open?id=1d67n9xH2EPN0DwJlwKjyZPdyCIN6Bkcf</t>
  </si>
  <si>
    <t>https://drive.google.com/open?id=1V_t3oTgBl77cHTS4Mk6C0LKFom5ULeoy</t>
  </si>
  <si>
    <t>https://drive.google.com/open?id=1jywQHntr8HyMOjN5pKFu7WyBtOgauW6d</t>
  </si>
  <si>
    <t>0220200196</t>
  </si>
  <si>
    <t>SUHAS</t>
  </si>
  <si>
    <t>rohitfulzele006@gmail.com</t>
  </si>
  <si>
    <t>https://www.linkedin.com/in/rohit-fulzele-209050217</t>
  </si>
  <si>
    <t xml:space="preserve">SUHAS </t>
  </si>
  <si>
    <t xml:space="preserve">MEGHA </t>
  </si>
  <si>
    <t>At Post Kolambi - Tq-Dist- Akola 444102</t>
  </si>
  <si>
    <t>Concept heritage, Alandi Pune-412105</t>
  </si>
  <si>
    <t>Programming fundamentals using Python</t>
  </si>
  <si>
    <t xml:space="preserve">I am doing Internship in AUTO CLUSTER Development And Research Institute Centre in Pimpri-Chinchwad. </t>
  </si>
  <si>
    <t>B.E Projects :-
1. Design and development of weight operated trolley.
2. IOT Irrigation Monitoring and Controlling System.
Diploma Project :-
1. Automatic Weight Operated Material Handling Cart.</t>
  </si>
  <si>
    <t>Fusion 360, CATIA, ANSYS, MATLAB, Creo, MSC Nastran, MSC Patran, Apex, Tableau, Tinkercad.</t>
  </si>
  <si>
    <t>Runner up in national level event under Equilibrium MITAOE in Roborace .</t>
  </si>
  <si>
    <t>1.Secured 1st runner up position in national level event MITAOE in Roborace.
2.Participated in Traditional Day in collage event as a role of "Money Heist".</t>
  </si>
  <si>
    <t>https://preskilet.com/rohit.fulzele@mitaoe.ac.in</t>
  </si>
  <si>
    <t>https://drive.google.com/open?id=1gX0KRxkgi1OYnZNMuq7uvLCHMHSvLo4d</t>
  </si>
  <si>
    <t>https://drive.google.com/open?id=1WlulpT7H4r1S5WksjBKuFjn9rBsmxBxb</t>
  </si>
  <si>
    <t>https://drive.google.com/open?id=1irk_0n4tcxwm9fXJV19MFaAgzU4m3sji</t>
  </si>
  <si>
    <t>https://drive.google.com/open?id=10_tCxj-K5kfxjvVNNU54cNUrjfGu0mwz</t>
  </si>
  <si>
    <t>https://drive.google.com/open?id=1nBMD32tmfePOJDnyQoedajjHEdw8b0Ti</t>
  </si>
  <si>
    <t>TY Amcat result and Preskilet link . I uploaded a drive link that's why I change it .</t>
  </si>
  <si>
    <t>0120190453</t>
  </si>
  <si>
    <t>SUMEDH</t>
  </si>
  <si>
    <t>sumedhpatil046@gmail.com</t>
  </si>
  <si>
    <t>www.linkedin.com/in/sumedh-patil-sp04</t>
  </si>
  <si>
    <t>BHARATI</t>
  </si>
  <si>
    <t>Flat no. 202, Shri Vishnu Residency, Near Sangli Museum, Rajwada, Sangli - 416416</t>
  </si>
  <si>
    <t>Microsoft Certified: Azure AI Fundamentals (AI:900)</t>
  </si>
  <si>
    <t>1.Machine Learning: Stanford University
2.Machine Learning Foundations: A Case Study Approach
3.Programming for Everybody : University of Michigan</t>
  </si>
  <si>
    <t>Google Data Analytics Professional Certificate</t>
  </si>
  <si>
    <t>Course (IT Security: Defense against the digital dark arts)</t>
  </si>
  <si>
    <t>Course (Machine Learning Foundations: A Case Study Approach)</t>
  </si>
  <si>
    <t>Unitech Engineers</t>
  </si>
  <si>
    <t>Design of Industrial Gripper using Hydraulics and Pneumatics</t>
  </si>
  <si>
    <t>Fusion 360, SolidWorks, CATIA</t>
  </si>
  <si>
    <t>1. Cloud Engineering Track and Data Science &amp; Machine Learning Track in 30 Days of Google Cloud Program 2021
 2. Datathon- Machine Learning &amp; Data science competition</t>
  </si>
  <si>
    <t xml:space="preserve">Participated in IIT Bombay Tech Fest 2019 - 2020  for Drone Challenge competition. Secured 5th rank in it.  </t>
  </si>
  <si>
    <t>https://preskilet.com/watch?v=62b53e3daf4f2700045cd9ce</t>
  </si>
  <si>
    <t>https://drive.google.com/open?id=10-vkBIyBpyYIPkM0HgK1enhC3Xb48-M2</t>
  </si>
  <si>
    <t>https://drive.google.com/open?id=1mVo8dOO-1mzG5KLyEcikpVF_T229WEdF</t>
  </si>
  <si>
    <t>https://drive.google.com/open?id=1IjC3MycMfbgDf-O0xLLBYwldqjJWPpf7</t>
  </si>
  <si>
    <t>https://drive.google.com/open?id=1t6hcUNgr2y4lWxDp2VnLMOCmko2cWAfA</t>
  </si>
  <si>
    <t>0120190252</t>
  </si>
  <si>
    <t>VIDHI</t>
  </si>
  <si>
    <t>THAKARE</t>
  </si>
  <si>
    <t>vidhithakare@gmail.com</t>
  </si>
  <si>
    <t>https://www.linkedin.com/in/vidhi-thakare-a57b03212/</t>
  </si>
  <si>
    <t>SACHIN VISHNUPANT THAKARE</t>
  </si>
  <si>
    <t>SEEMA SACHIN THAKARE</t>
  </si>
  <si>
    <t>304, Maniprabha Towers, Nandepera road, Wani, Yavatmal</t>
  </si>
  <si>
    <t>401, Dnyanyog, Dehu Road , Alandi, Pune</t>
  </si>
  <si>
    <t>NA.</t>
  </si>
  <si>
    <t xml:space="preserve">Vehicle Routing Problem for Parcel Delivery via Drone and Travelling Salesman Problem (Sep 2020 - May 2021)
•	The research work involves mathematical modeling for the delivery process through drones and trucks to find a solution to the vehicle routing problem. 
•	The Paper was selected and presented at RAM 2021, SVNIT, Surat.
</t>
  </si>
  <si>
    <t>Company - Birds Vision
Domain - Machine Learning
Type - Work From Home</t>
  </si>
  <si>
    <t>Students’ Decision Support System (JAN 2022 – MAY 2022)
•	ML-based project for students of a particular campus to identify at-risk students and to predict the probability of getting placed in college campus placements. 
•	For the same we have used CGPA, Project domain, and Skillset as predictor variables.</t>
  </si>
  <si>
    <t xml:space="preserve">•	Participated in “Datathon” organized by GirlsScript MITAOE
•	Participated in “CodeBytes” organized by CodeChef MITAOE
</t>
  </si>
  <si>
    <t>Formal Anchor in Nakshatra(Annual function) for the past three years.</t>
  </si>
  <si>
    <t>https://preskilet.com/watch?v=62a358a8a6956a00045ffe92</t>
  </si>
  <si>
    <t>https://drive.google.com/open?id=1wfGcr3wPqJRrQ6Gqtlqf0OuznUzZrzzF</t>
  </si>
  <si>
    <t>https://drive.google.com/open?id=1AMLc_znFKQIS3FFBJzWurdAnsSbD-gPp</t>
  </si>
  <si>
    <t>https://drive.google.com/open?id=1Mvfxs8W1yNlRMQ5SMWk3DlNgTPZhEoBq</t>
  </si>
  <si>
    <t>https://drive.google.com/open?id=1CimJtwvNLftxUj-TW2LHMtqyFUHdesfJ</t>
  </si>
  <si>
    <t>https://drive.google.com/open?id=1mu_SedcZqlPjHQRcn9fC7UVEXrl5SAEW</t>
  </si>
  <si>
    <t>https://drive.google.com/open?id=1rsYLlsz3k9EbBqbgW_isbYj-cOnOzi6-</t>
  </si>
  <si>
    <t>I have uploaded my internship offer letter as I have received it last week.</t>
  </si>
  <si>
    <t>0120190394</t>
  </si>
  <si>
    <t>TANAYA</t>
  </si>
  <si>
    <t>TARACHAND</t>
  </si>
  <si>
    <t>tanayaraut29@gmail.com</t>
  </si>
  <si>
    <t>www.linkedin.com/in/tanaya-raut-a24858241</t>
  </si>
  <si>
    <t>TARACHAND RAUT</t>
  </si>
  <si>
    <t>CHANDA RAUT</t>
  </si>
  <si>
    <t>Gajanan Nagari,Bramhapuri</t>
  </si>
  <si>
    <t>"Oracle Cloud infrastructure"</t>
  </si>
  <si>
    <t>"Coursera python for Everobody"</t>
  </si>
  <si>
    <t>"Infosys springboard- Python"</t>
  </si>
  <si>
    <t>Coursera course certification</t>
  </si>
  <si>
    <t>Coursera, Swayam certification and Automatic hand sanitizer(project)</t>
  </si>
  <si>
    <t>Oracle , Infosys certification , Heat transfer through fluidized bed(project),Ramdevbaba solvent pvt Ltd</t>
  </si>
  <si>
    <t>Analysis of Heat transfer through fluidized bed</t>
  </si>
  <si>
    <t xml:space="preserve">National level Quiz by University Institute of Technology  </t>
  </si>
  <si>
    <t>Member of College NSS and Under25 member</t>
  </si>
  <si>
    <t>https://preskilet.com/ttraut@mitaoe.ac.in</t>
  </si>
  <si>
    <t>https://drive.google.com/open?id=1en2HEkEf66hqquS0z-UWmRec0azhRLS3</t>
  </si>
  <si>
    <t>https://drive.google.com/open?id=1ZtiSk13upa8JM8jfTC7OwOD-_q8n71JO</t>
  </si>
  <si>
    <t>https://drive.google.com/open?id=1s_PRHStjof5T30WeLxg2NzTWGZE2_hIe</t>
  </si>
  <si>
    <t>https://drive.google.com/open?id=13w54M1sLa-cLNfz44oZ7gBxAa4fSfOUK</t>
  </si>
  <si>
    <t>https://drive.google.com/open?id=1GDwlU1kql2Uz1uLrWEFt6L7jlcS8Fo9e</t>
  </si>
  <si>
    <t>https://drive.google.com/open?id=15AikRSt8tTon2PORmIaecnS4zQkZOlPe</t>
  </si>
  <si>
    <t>https://drive.google.com/open?id=1kCb8cgl2W56kCq8F2k08WIzbyt_RUaOF</t>
  </si>
  <si>
    <t>https://drive.google.com/open?id=1I4-_KDB4xcGEuY82EE_IccTgImq9KKv9</t>
  </si>
  <si>
    <t>https://drive.google.com/open?id=1OCBiGYj7EfAcxdQweEVI6ET6SnCAozNn</t>
  </si>
  <si>
    <t>previously drive link was shared</t>
  </si>
  <si>
    <t>0220200058</t>
  </si>
  <si>
    <t>RITUL</t>
  </si>
  <si>
    <t>PUNDALIK</t>
  </si>
  <si>
    <t>CHIRDE</t>
  </si>
  <si>
    <t>ritulchirde@gmail.com</t>
  </si>
  <si>
    <t xml:space="preserve">ritul.chirde@mitaoe.ac.in </t>
  </si>
  <si>
    <t>https://www.linkedin.com/mwlite/in/ritul-chirde-137558240</t>
  </si>
  <si>
    <t>230/ A5, NANDANVAN CHS, RSC 40, NEAR PRAGATI SCHOOL, GORAI 2, BORIVALI WEST, MUMBAI 400092</t>
  </si>
  <si>
    <t>VAMANPRASTHA, KALE COLONY, VISHWESHWAR NAGAR, ALANDI, PUNE 412105</t>
  </si>
  <si>
    <t>Microsoft Technology Associate - Introduction to Programming using Python</t>
  </si>
  <si>
    <t xml:space="preserve">1. INFOSYS SPRINGBOARD - BASICS OF PYTHON
2. TATA STEEL - BASIC TQM
3. TATA STEEL - PRIMARY STEEL MAKING
4. MATLAB ONRAMP COURSE
</t>
  </si>
  <si>
    <t xml:space="preserve">DIPLOMA Internship - Forxar Industries Pvt. Ltd.
(Worked in Assembly of valves and Handling Database in Stores department. Also, worked in Quality inspection of the valves and flanges. Helped in the forging process of Flanges.)
Project - Pneumatic powered vehicle 
(Using application of Hydraulics and pneumatics to develop an alternate way of powering the vehicle by employing of pneumatic cylinder to power the vehicle by converting the translatory motion of piston to rotary motion of the axle for rotating the wheels.) </t>
  </si>
  <si>
    <t xml:space="preserve">Project - Wear testing Rig
(The development of circular pin on disc apparatus for the purpose of measuring the wear rate which will be induced in the part of a service applications and thus the result from the apparatus will be helpful in selecting the adequate material of the component in the service.)
Internship - Skey Products </t>
  </si>
  <si>
    <t>1. Compressed Air Engine
2. Wear testing rig 
3. Pneumatically Powered vehicle</t>
  </si>
  <si>
    <t>1. Aeromodelling in MITAOE AERO CLUB 
2. Scrapyard Challenge by ASME VJTI</t>
  </si>
  <si>
    <t>1. Hitbulls Spruce Eureka - Pitch your business plan ( Top 10 in National )</t>
  </si>
  <si>
    <t>1. LEAN SIX SIGMA YELLOW BELT - EFFORTS CONSULTING
2. COURSERA SPECIALIZATION - ENERGY PRODUCTION, DISTRIBUTION AND SAFETY
3. COURSERA SPECIALIZATION - SIX SIGMA GREEN BELT</t>
  </si>
  <si>
    <t xml:space="preserve">1. Senior Member at MITAOE LITERARY CLUB
2. Senior Coordinator MITAOE AERO CLUB
3. National Level Technical event coordinator (Equilibrium)
4. U16 dso BASKETBALL </t>
  </si>
  <si>
    <t>https://preskilet.com/ritul.chirde@mitaoe.ac.in</t>
  </si>
  <si>
    <t>https://drive.google.com/open?id=1p4zxOpcNoK43y3ikV6-m7xLjQwii7dyL</t>
  </si>
  <si>
    <t>https://drive.google.com/open?id=1XL1mjpv3lAzTiVCNk2zn-_RoH0VlA_ia</t>
  </si>
  <si>
    <t>https://drive.google.com/open?id=1eP48q5eodXYoHbBv-d4OsaHqZxsCd3um</t>
  </si>
  <si>
    <t>https://drive.google.com/open?id=1M6h27iEFY8nJOL9sq2SJfUI9OhQV-gPD</t>
  </si>
  <si>
    <t>https://drive.google.com/open?id=17cKzQY63o7f-n4305jzjm9Bm2t1mFBAQ</t>
  </si>
  <si>
    <t>https://drive.google.com/open?id=1U5YDwt6To7zC-AeoqFhGdUWPcJzkVYK9</t>
  </si>
  <si>
    <t>https://drive.google.com/open?id=1-rPjuM8AgpVOpAi_cZXYSfjrKHzGfgSv</t>
  </si>
  <si>
    <t>Updated technical certification of python as it was completed on June 23, 2022</t>
  </si>
  <si>
    <t>0220200014</t>
  </si>
  <si>
    <t>POOJA</t>
  </si>
  <si>
    <t>KHENTE</t>
  </si>
  <si>
    <t>poojagajanankhente@gmail.com</t>
  </si>
  <si>
    <t xml:space="preserve">pooja.khente@mitaoe.ac.in </t>
  </si>
  <si>
    <t>https://www.linkedin.com/mwlite/in/pooja-khente-87321a21a</t>
  </si>
  <si>
    <t>LATA</t>
  </si>
  <si>
    <t xml:space="preserve">AT POST CHINCHPUR TA KHAMGAON DIST BULDHANA </t>
  </si>
  <si>
    <t>DNYANYOG BUILDING ALANDI PUNE</t>
  </si>
  <si>
    <t xml:space="preserve">Microsoft technology associate introduction to python programming </t>
  </si>
  <si>
    <t>INFOSYS SPRINGBOARD- BASICS OF PYTHON
MATLAB ONRAMP</t>
  </si>
  <si>
    <t>Project -Production of biofuel by using algae with 
recycle water bottles bioreactor</t>
  </si>
  <si>
    <t xml:space="preserve">Project - Experimental analysis of biofuel by using relevance vector machine learning -In that we have done the engine testing of biofuel for know the property of biofuel For two time before adding graphene and after adding graphene and after that </t>
  </si>
  <si>
    <t xml:space="preserve">B.E - Experimental analysis of biofuel by using relevance vector machine learning
Diploma - Manufacturing of abrasive jet machine </t>
  </si>
  <si>
    <t xml:space="preserve">1. Aeromodelling in MITAOE AERO CLUB
</t>
  </si>
  <si>
    <t>1- Throw ball
2- kho-kho
3- vollyball</t>
  </si>
  <si>
    <t>https://preskilet.com/pooja.khente@mitaoe.ac.in</t>
  </si>
  <si>
    <t>https://drive.google.com/open?id=18YClBSfQN_bW2JlKR1nhsCT7xAqrgjCW</t>
  </si>
  <si>
    <t>https://drive.google.com/open?id=19snxIsh818-mNsDMThOlCVjfAYLx5bw1</t>
  </si>
  <si>
    <t>https://drive.google.com/open?id=1XsVTrBeMNc8S1HFzxjzhUKsWy7sp6SOy</t>
  </si>
  <si>
    <t>https://drive.google.com/open?id=1f_TpgFJTpk8LsjS-ko42gCTymwaOPFNG</t>
  </si>
  <si>
    <t>https://drive.google.com/open?id=157i3M3vTwd-1M85QxVI-0RMjDNLoLjUp</t>
  </si>
  <si>
    <t>https://drive.google.com/open?id=1kTpnLrTSpgonBTP4LcEVAkGqla4MhfmQ</t>
  </si>
  <si>
    <t>https://drive.google.com/open?id=184dskgHI0M8gCSR6xMfZKPRF3oNGaLvN</t>
  </si>
  <si>
    <t>Updated technical certification as my python was completed on 21 june</t>
  </si>
  <si>
    <t>0120190323</t>
  </si>
  <si>
    <t>PANDE</t>
  </si>
  <si>
    <t>sanketpande83@gmail.com</t>
  </si>
  <si>
    <t>www.linkedin.com/in/sanket-pande-29b9b1227</t>
  </si>
  <si>
    <t>SANJAY PANDE</t>
  </si>
  <si>
    <t>VAISHALI PANDE</t>
  </si>
  <si>
    <t>At Post Malode galli  Tq Hadgaon Dist Nanded   431712</t>
  </si>
  <si>
    <t>ME343T - Hydraulics and Pneumatic
CV102T - Applied mechanics</t>
  </si>
  <si>
    <t>Volunteering Internship At Youth Empowerment Foundation</t>
  </si>
  <si>
    <t xml:space="preserve">Online Course on Skill-Lync 'Basics of Electric Vehicle simulation using Ansys Software
Project Details - Title 'Design and analysis of Knee Scoter for knee patients '
Description - Design a knee scooter in Fusion360 software </t>
  </si>
  <si>
    <t>Internship - NA
Project - Title ' Design and analysis of Industrial gripper using pneumatic and  hydraulics '
Description -  Need to single sheet at a time due presence of oil in between the sheet the stick together and sometimes no of sheets lifting together . To overcome that problem designed a gripper that separate sheet and lift and at a time. used a eletromagnetic  gripper to lift the sheet and two jaw like structure separates the sheet form another sheet</t>
  </si>
  <si>
    <t xml:space="preserve"> "Design and analysis of Industrial gripper using pneumatic and  hydraulics"</t>
  </si>
  <si>
    <t xml:space="preserve">1] Two days’ National Level Workshop on “Multi Criteria Decision Making (MCDM) Method's  </t>
  </si>
  <si>
    <t>https://preskilet.com/watch?v=62a32b7aa6956a00045ffab0</t>
  </si>
  <si>
    <t>https://drive.google.com/open?id=1hAfa0SCr7W0O_k01Eb3NliyVwCiXMVC7</t>
  </si>
  <si>
    <t>https://drive.google.com/open?id=13MtJooP8nVxCte2mBowKBJhEwLb2-xyJ</t>
  </si>
  <si>
    <t>https://drive.google.com/open?id=1VgpjLDiJf0WkDHgBvMDURRe8KeaYh5y_</t>
  </si>
  <si>
    <t>https://drive.google.com/open?id=16frPexZyNQtgTEGncO56ZjV7lmOigejS</t>
  </si>
  <si>
    <t>0220200212</t>
  </si>
  <si>
    <t>kulkarnisandeep0210@gmail.com</t>
  </si>
  <si>
    <t>https://www.linkedin.com/in/sandeep-kulkarni-7b8916229</t>
  </si>
  <si>
    <t>ARVIND SADASHIVRAO KULKARNI</t>
  </si>
  <si>
    <t>ARCHANA ARVIND KULKARNI</t>
  </si>
  <si>
    <t>In front of Zunjar neta press, Satawai maidan, Malives, Beed - 431122</t>
  </si>
  <si>
    <t>Vithai hostel, Tapkir Nagar, Near MITAOE college, Alandi - 412105</t>
  </si>
  <si>
    <t xml:space="preserve">TCS iON Career Edge : Young Professional
Infosys Springboard : Basics of Python </t>
  </si>
  <si>
    <t>Infosys Springboard : Programming Fundamentals using Python part 1</t>
  </si>
  <si>
    <t xml:space="preserve">1)Project -Design of Electric vehicle charging station -
The project consists of idea of converting existing petroleum pump into electric vehicle charging station with solar power.
We framed that from 200 solar panels we can have 47 kWh power in 400 sq.m area
Charging stations are the main source of energy for EVs and their locations are critical to the accessibility of EVs in a city. Thus, the demand for plug-in electric vehicles (PEVs) charging for public vehicle charging systems is increasing
2) Design Thinking Course - Vaccine and vacant bed detector for Covid-19 patient
We formulated this idea of making mobile application which help the patient and their relatives to get find of and booking of beds, medical facilities to Covid-19 patient
</t>
  </si>
  <si>
    <t xml:space="preserve"> Project (Research work) - Numerical Simulation to Improve Performance of Vapour Compression Cycle using Water Cooled Condenser</t>
  </si>
  <si>
    <t>1)Maintenance of Diesel Engine Generator
2)Design of Electric Vehicle Charging Station
3)Numerical Simulation to Improve Performance of Vapour Compression Cycle using Water Cooled Condenser</t>
  </si>
  <si>
    <t>AutoCAD, Fusion 360, CATIA, ANSYS, MATLAB, Creo, Patran, Nastran, Apex</t>
  </si>
  <si>
    <t>Participation in MSBTE state level technical Quiz competition</t>
  </si>
  <si>
    <t>6 Weeks training at MSRTC workshop, Beed</t>
  </si>
  <si>
    <t>MIT Aero Modelling club</t>
  </si>
  <si>
    <t>https://preskilet.com/watch?v=62a36aeca6956a00046000a6</t>
  </si>
  <si>
    <t>https://drive.google.com/open?id=1l1wnun2aERcQhk7S0JhUh81T8oIavvQZ</t>
  </si>
  <si>
    <t>https://drive.google.com/open?id=1Yxqjq2elWM5wivZeSt1dAh7I72seHAyU</t>
  </si>
  <si>
    <t>https://drive.google.com/open?id=1LT0D8DLX5nesHAuocRV9il5uTQbaA3CW</t>
  </si>
  <si>
    <t>https://drive.google.com/open?id=1eO2LfGuT50KuKqdbXJ_7JiKws_eTdpTt</t>
  </si>
  <si>
    <t>https://drive.google.com/open?id=1za0X_OS_Y_ZOLW-kbhW2ric-seVIDytk</t>
  </si>
  <si>
    <t>https://drive.google.com/open?id=1zH1RzvbOuN00bmKt2kZiRb7MLY_2i8HW</t>
  </si>
  <si>
    <t>Technical Certificates
Single certificate was uploaded now uploaded merged</t>
  </si>
  <si>
    <t>0220200181</t>
  </si>
  <si>
    <t>LAHOR</t>
  </si>
  <si>
    <t>shriramlahor10@gmail.com</t>
  </si>
  <si>
    <t>https://www.linkedin.com/in/shriram-lahor-2257a6222</t>
  </si>
  <si>
    <t>At/post- Rashin, Tal- Karjat, Dist- Ahamadnagar</t>
  </si>
  <si>
    <t xml:space="preserve">"ME343T"-Hydraulics and Pneumatics </t>
  </si>
  <si>
    <t xml:space="preserve">INFOSYS SPRINGBOARD : Programming Fundamental using Python - Science Graduate - Fundamental Program </t>
  </si>
  <si>
    <t xml:space="preserve">INFOSYS SPRINGBOARD: Object Oriented Programming using Python </t>
  </si>
  <si>
    <t>MAYUR ENGINEERING PVT.LTD</t>
  </si>
  <si>
    <t>Pathak Techno Solution</t>
  </si>
  <si>
    <t>Low Cost LPG Refrigeration System</t>
  </si>
  <si>
    <t>Participant in First Global Entrepreneurship Catalyst Symposium
participate in two days national level workshop on " Multi Criteria Decision Making Methods"
Participate in national Science Day Quiz competition</t>
  </si>
  <si>
    <t>Participant in First Global Entrepreneurship Catalyst Symposium
participate in two days national level workshop on " Multi Criteria Decision Making Methods"
Participate in national Science Day Quiz competation</t>
  </si>
  <si>
    <t>https://preskilet.com/watch?v=62a36bf7a6956a00046000c3</t>
  </si>
  <si>
    <t>https://drive.google.com/open?id=16XiGVNnoeVj5fp1nX2V7hdONeGubWor-</t>
  </si>
  <si>
    <t>https://drive.google.com/open?id=1I_tDgUbAx_xO_ZTAkqvZ3qMaYyK7MNfx</t>
  </si>
  <si>
    <t>https://drive.google.com/open?id=1VDoypNYpYtTmSQwIlB-MAC1IQhFlsJ54</t>
  </si>
  <si>
    <t>0120190310</t>
  </si>
  <si>
    <t>aniketkedar01@gmail.com</t>
  </si>
  <si>
    <t>https://www.linkedin.com/in/aniket-kedar-731a9122a</t>
  </si>
  <si>
    <t>CHAUBHARA CHOWK,  JALGAON JAMOD , DIST.BULDHANA, MAHARASHTRA, 443402</t>
  </si>
  <si>
    <t>NEAR MITAOE COLLEGE, DEHU PHATA, ALANDI, PUNE, MAHARASHTRA, 412105</t>
  </si>
  <si>
    <t>HP202L- PROFESSIONAL COMMUNICATION
ME343- HYDRAULIC AND PNEUMATIC
ME351- FINITE ELEMENT ANALYSIS
 CS361- PROJECT MANAGEMENT</t>
  </si>
  <si>
    <t>AS105T- CALCULAS AND DIFFERNTIAL EQUATIONS
CH101T- SCIENCE OF NATURE
CS101T- LOGIC  DEVELOPMENT - C PROGRAMMING
ME234L- MACHINE AND MECHANISMS</t>
  </si>
  <si>
    <t>INFLOW TECHNOLOGY- MICROSOFT PYTHON CERTIFICATE</t>
  </si>
  <si>
    <t>Introduction to 3D modelling</t>
  </si>
  <si>
    <t xml:space="preserve">Designing and bulding of multipurpose robotic arm
</t>
  </si>
  <si>
    <t xml:space="preserve">STAIR SLIDING UNIVERSAL MECHANISM </t>
  </si>
  <si>
    <t>AutoCAD, Fusion 360, SolidWorks, CATIA, ANSYS, MATLAB, ANSYS, NASTRAN</t>
  </si>
  <si>
    <t>https://preskilet.com/watch?v=62bd3a2f9535010004fd23f9</t>
  </si>
  <si>
    <t>https://drive.google.com/open?id=121duV0DbXCBfjIljUpT2rRQm67krjBBc</t>
  </si>
  <si>
    <t>https://drive.google.com/open?id=1pq6Ot2HryvlGZlvC9n-Bwzsv99tPXv3T</t>
  </si>
  <si>
    <t>https://drive.google.com/open?id=1e2hTfeA-8XSTqnROVGF3Z_FBtnxV1lFY</t>
  </si>
  <si>
    <t>https://drive.google.com/open?id=1E21szThrQcrHnRQHrcIgI_G6UwRbdBUO</t>
  </si>
  <si>
    <t>https://drive.google.com/open?id=1glseWiwPDKnGtpMtkoTR_7uRAm3Gj8Hz</t>
  </si>
  <si>
    <t>https://drive.google.com/open?id=11a3SPI369N85e3D00QalDKK05PdCSGn_</t>
  </si>
  <si>
    <t>https://drive.google.com/open?id=1GYWsOZbRf4ewxCbBN_V6ANL_upna8jR0</t>
  </si>
  <si>
    <t>technical certificate and amcat result report and sgpa and preskilit video link</t>
  </si>
  <si>
    <t>0120190404</t>
  </si>
  <si>
    <t>AVISHKAR</t>
  </si>
  <si>
    <t xml:space="preserve">SURYAKANT </t>
  </si>
  <si>
    <t>avishkarmali269@gmail.com</t>
  </si>
  <si>
    <t>https://www.linkedin.com/in/avishkar-mali-5ab6571b5</t>
  </si>
  <si>
    <t>DURGAWATI</t>
  </si>
  <si>
    <t xml:space="preserve">Shrirampur, Tal- Shrirampur, Dist- Ahmednagar </t>
  </si>
  <si>
    <t>dehu fata, alandi, pune,412105</t>
  </si>
  <si>
    <t>EX 102 - Electronics and Electrical Engineering
ME 102- Engineering Graphics</t>
  </si>
  <si>
    <t>Infosys Springboard : programing fundamentals using python</t>
  </si>
  <si>
    <t xml:space="preserve">Autodesk Academy: Introduction to CAD and CAM for Miling and Turning 
Udemy : Python Complete Course for Beginners
Coursera : Python for Everybody </t>
  </si>
  <si>
    <t xml:space="preserve">Autodesk Academy: Introduction to CAD and CAM for Miling and Turning </t>
  </si>
  <si>
    <t xml:space="preserve">Saptasathij Industries </t>
  </si>
  <si>
    <t xml:space="preserve">Optimization of Nimonic C263 alloy using turning </t>
  </si>
  <si>
    <t xml:space="preserve">Participated in Kho-Kho and Volleyball </t>
  </si>
  <si>
    <t>https://drive.google.com/file/d/1mdk1p5qyjvvh22M_bVHNo6Wgugoh191h/view?usp=drivesdk</t>
  </si>
  <si>
    <t>https://drive.google.com/open?id=1n8NcfDoHYdLzReaIjj0pf7JESdyO7D6P</t>
  </si>
  <si>
    <t>https://drive.google.com/open?id=17sjsXgD03qBBg59GC6vjST2ermwG9NAA</t>
  </si>
  <si>
    <t>https://drive.google.com/open?id=1CIWO_WQbHAxh0C1VjHfvwkWPX2dXMVR1</t>
  </si>
  <si>
    <t>https://drive.google.com/open?id=1GvbSp_9gFZF3-L4cP0C2KRxqUigKYvu2</t>
  </si>
  <si>
    <t>https://drive.google.com/open?id=1oB5tcl15BJs7pmLl2W8fVCXD83FPP0go</t>
  </si>
  <si>
    <t>0120190338</t>
  </si>
  <si>
    <t>SURYAKANT</t>
  </si>
  <si>
    <t>TUPSAKHARE</t>
  </si>
  <si>
    <t>tupsakharesiddhant@gmail.com</t>
  </si>
  <si>
    <t>https://www.linkedin.com/in/siddhant-tupsakhare-25a615216</t>
  </si>
  <si>
    <t xml:space="preserve">SURYAKANT MAROTI TUPSAKHARE </t>
  </si>
  <si>
    <t>PADMINI SURYAKANT TUPSAKHARE</t>
  </si>
  <si>
    <t>At.Post. Somthana, Umari, TQ. Umari, District Nanded, 431807</t>
  </si>
  <si>
    <t>Bavale hostel, Dehu phata, Alandi, Pune, 412105</t>
  </si>
  <si>
    <t>"CH101T - Science of Nature"
"CS101L - Logic Development - C Programming" 
"CV102T - Applied Mechanics"</t>
  </si>
  <si>
    <t>Programming Fundamental Using Python - Part 1.  -. https://drive.google.com/file/d/1vzx1PudyyRXuht_HH0wNNprFae4hg8Ij/view?usp=drivesdk</t>
  </si>
  <si>
    <t xml:space="preserve">Programming for Everybody_Python 
Coursera_Engineering Design Process with Autodesk Fusion﻿ 360 </t>
  </si>
  <si>
    <t xml:space="preserve">IGTR - CATIA Course : Technical Certification </t>
  </si>
  <si>
    <t xml:space="preserve">IGTR - SOLIDWORKS : Technical Certification </t>
  </si>
  <si>
    <t>Project on lightweight and shock absorber cricket helmet.</t>
  </si>
  <si>
    <t>Ongoing summer internship in GREEN SHUTTLE TECH INDUSTRY, Working on EV with loom solar panel.</t>
  </si>
  <si>
    <t>BE Project - Working on EV with loom solar panel.</t>
  </si>
  <si>
    <t>AutoCAD, Fusion 360, SolidWorks, CATIA, ANSYS, Nastran, Patran, MSC APEX, Cura</t>
  </si>
  <si>
    <t xml:space="preserve">Telugu </t>
  </si>
  <si>
    <t>Two days National Level Workshop on "Multi-Criteria Decision Making MCDM"</t>
  </si>
  <si>
    <t>National Engineering Olympiad AIR - 7429</t>
  </si>
  <si>
    <t>Yes, Post Matric Tuition Fee and Examination Fee (Freeship)</t>
  </si>
  <si>
    <t>https://preskilet.com/watch?v=62b4940230b28000045234e2</t>
  </si>
  <si>
    <t>https://drive.google.com/open?id=1T78VG0biLaC6mOF1hqqMEnstd3FIv3BO</t>
  </si>
  <si>
    <t>https://drive.google.com/open?id=1LsfVc2JzgX3x2Eqp0jeiR-j8bHlmNwe3</t>
  </si>
  <si>
    <t>https://drive.google.com/open?id=1AazUPmI5LkzxHjWkzZabdYCyaYPKCB-R</t>
  </si>
  <si>
    <t>https://drive.google.com/open?id=1UKXQWYVPesaIvCpW_Wiiyl61eZ1JQKz4</t>
  </si>
  <si>
    <t>https://drive.google.com/open?id=11TBxys6MuY7kzfKEREAAL7F8m2kxHxfm</t>
  </si>
  <si>
    <t>https://drive.google.com/open?id=1HPAAJvH2G1VI1P3pJfHMSxhnuAZDz8DE</t>
  </si>
  <si>
    <t>https://drive.google.com/open?id=1zGimdMkpmklErqPzCxzze0R_yfnWQ0Gl</t>
  </si>
  <si>
    <t>https://drive.google.com/open?id=1D4FVnIHCNmpvbOCTu_KjsPn7bkhjFCjg</t>
  </si>
  <si>
    <t>I updated my educational certificates because I haven't attached all the certificates.</t>
  </si>
  <si>
    <t>0120190069</t>
  </si>
  <si>
    <t>GORWADKAR</t>
  </si>
  <si>
    <t>gorwadkarparth18@gmail.com</t>
  </si>
  <si>
    <t>www.linkedin.com/in/parth-gorwadkar-0013141ab</t>
  </si>
  <si>
    <t>SUNIL GORWADKAR</t>
  </si>
  <si>
    <t>SHARDA GORWADKAR</t>
  </si>
  <si>
    <t>CL-9-66/5, 12th scheme, shivaji nagar, Aurangabad, Maharashtra 431009</t>
  </si>
  <si>
    <t>Flat no. 203, Aasra Dnyantirtha, Dehu phata, Alandi, Pune, Maharashtra 412105</t>
  </si>
  <si>
    <t>Infosys Springboard: Programming Fundamentals using Python</t>
  </si>
  <si>
    <t>Introduction to 3D Modeling: Autodesk Design Academy</t>
  </si>
  <si>
    <t>Additive Technologies in Metallurgy and Mechanical Engineering</t>
  </si>
  <si>
    <t>SIP at Kaustubh Enterprises, Bhosari, Pune.</t>
  </si>
  <si>
    <t>Exhaust Treatment using Integrated PFR &amp; Muffler</t>
  </si>
  <si>
    <t>1. German exam level A1 certification from Goethe Institute, Max Mueller Bhavan, Pune
2. German exam level A2 certification from Goethe Institute, Max Mueller Bhavan, Pune</t>
  </si>
  <si>
    <t>1. Coordinator for German Language in the Foreign Language Club of MITAOE
2. Active member of the music club of MITAOE "Goonj"
3. Participated in the cultural festival of MITAOE "Nakshatra" twice i.e. in FY &amp; TY.</t>
  </si>
  <si>
    <t>https://preskilet.com/watch?v=62a36589a6956a00045ffff6</t>
  </si>
  <si>
    <t>https://drive.google.com/open?id=1ccfNUD14Ta7gab1x6NmgvuIqSS4jWWC9</t>
  </si>
  <si>
    <t>https://drive.google.com/open?id=1XTZymxOBht8inyfHn0ox1uMi4MOieblG</t>
  </si>
  <si>
    <t>https://drive.google.com/open?id=19J_23mYegKx58M4JhS19v66UHiwK3xJN</t>
  </si>
  <si>
    <t>https://drive.google.com/open?id=1h1m1AdEfzkGmjSoQ3Rzdo4Samp4ntBqu</t>
  </si>
  <si>
    <t>https://drive.google.com/open?id=1IVh-5kp6Spli2YY237O4vZDOtQAA68CO</t>
  </si>
  <si>
    <t>https://drive.google.com/open?id=15dbvu2JqAt4Z-NSUOLDCcuiBJqVmkjl1</t>
  </si>
  <si>
    <t>0120190318</t>
  </si>
  <si>
    <t>SAHANE</t>
  </si>
  <si>
    <t>Assahane@mitaoe.ac.in</t>
  </si>
  <si>
    <t>amol.sahane</t>
  </si>
  <si>
    <t>CHAITANYA NAGAR, ANAND COLONY, LANE 4 , SANGAMNER</t>
  </si>
  <si>
    <t>Tanish orchid , charoli phata,  pune</t>
  </si>
  <si>
    <t>Oracle, microsoft azure</t>
  </si>
  <si>
    <t>Microsoft azure</t>
  </si>
  <si>
    <t>Autocat</t>
  </si>
  <si>
    <t>Heat treatment</t>
  </si>
  <si>
    <t>Jyoti heat treatment</t>
  </si>
  <si>
    <t>Android Development (Java/Kotlin), React.js (JavaScript/Typescript), Angular, Laravel (PHP), Spring &amp; Hibernate (Java), Django (Python), Flask (Python), Robot Framework</t>
  </si>
  <si>
    <t>AutoCAD, Fusion 360, SolidWorks, CATIA, ANSYS, Adobe XD, MATLAB</t>
  </si>
  <si>
    <t>https://drive.google.com/drive/folders/1-l_vYpgy9UV37U5zbfkuy2KspY-xyzxX</t>
  </si>
  <si>
    <t>https://drive.google.com/open?id=1f6n72eTlcQoEyNbD9akpEne3Fkiq2mZG</t>
  </si>
  <si>
    <t>https://drive.google.com/open?id=1zKWeOAVy6xR6WFaULFGccAGQN3qtf8E6</t>
  </si>
  <si>
    <t>https://drive.google.com/open?id=1Cdq0XJOQWwNA4YEsBSkhksPj4Vx-28rv</t>
  </si>
  <si>
    <t>Marksheet and certificate upload</t>
  </si>
  <si>
    <t>0120190050</t>
  </si>
  <si>
    <t>anujvbhaskar@gmail.com</t>
  </si>
  <si>
    <t>https://www.linkedin.com/in/anujbhaskar/</t>
  </si>
  <si>
    <t>VILAS DAGADU BHASKAR</t>
  </si>
  <si>
    <t>DIPALI VILAS  BHASKAR</t>
  </si>
  <si>
    <t xml:space="preserve">304, SAI UTSAV APARTMENT, NEAR UTSAV MANGAL KARYALAY, SHRIRAMPUR, 413709, MAHARASHTRA. </t>
  </si>
  <si>
    <t>102, ROHIT PAWAR BUILDING, BEHIND ANAND MULTISPECIALITY HOSP, NEAR MIT AOE, ALANDI(D), 412105, MAHARASHTRA</t>
  </si>
  <si>
    <t>NVIDIA - Fundamentals of Accelerated Computing with CUDA Python
NVIDIA - Fundamentals of Deep Learning</t>
  </si>
  <si>
    <t xml:space="preserve">Summer Intern - MITAOE Aero Club Jun 2020 - Jul 2020 
Worked on Design and Analysis of Fixed Wing UAV and Multirotors and Quadcopters. </t>
  </si>
  <si>
    <t>MATLAB - 8 Week Internshala Course 
Learnt the fundamentals of MATLAB. Introduction, Foundations, Mathematics, Functions, Plotting, Programming, Case Studies and Final Project modules.</t>
  </si>
  <si>
    <t xml:space="preserve">Shree Sai Enterprises - Summer Intern 
Plot No. T-188/W-12/21, Women Ent.Ind. Premises,
MIDC, YCM Hospital, Bhosari Road, Pune - 411026.
Working on Design and Manufacturing of SPM (Special Purpose Machines)
Machines such as 
1. Oil Dipped Magneto Test Bench
2. Open Spark Test Bench, etc. </t>
  </si>
  <si>
    <t xml:space="preserve">
Collision detecting algorithm for vehicles with autonomous external airbag system.</t>
  </si>
  <si>
    <t>1. Team Captain - SAE Aero Design Challenge 2022 (MITAOE Aero Club)
2. Team Member - SAE Aero Design Challenge 2021 (MITAOE Aero Club)
3. Team Member - Boeing National Aeromodelling IIT Bombay 2020 (MITAOE Aero Club)</t>
  </si>
  <si>
    <t>One day hands-on training on "Computational Fluid Dynamics: Applications and Opportunities" - School of Mechanical Engineering, MIT WPU 
Computational Fluid Mechanics - Airflow Around a Spoiler - Coursera
Introduction to 3D Modelling - Autodesk
MATLAB - OnRamp - Mathworks</t>
  </si>
  <si>
    <t>Event Organizer - Udaan Drone Ideation Competition Equilibrium 2022</t>
  </si>
  <si>
    <t>https://preskilet.com/watch?v=62b02e8818f9c000043dec0f</t>
  </si>
  <si>
    <t>https://drive.google.com/open?id=1szQbYyq4_yZ0oTWq2i0G2ag9oUGJcoPN</t>
  </si>
  <si>
    <t>https://drive.google.com/open?id=1OyN3AlFrt8wG6PgGI1EGWChO6_AdaQPF</t>
  </si>
  <si>
    <t>https://drive.google.com/open?id=1yArJh_3v-n8L2md8t0WxRcpwcCszccwK</t>
  </si>
  <si>
    <t>https://drive.google.com/open?id=1aOgP07sMDKuwPUBpokA2Sijtf1oVq-rW</t>
  </si>
  <si>
    <t>https://drive.google.com/open?id=1T5fb0McjbbOXjlCmFap8hL53fGjLTDhl</t>
  </si>
  <si>
    <t>https://drive.google.com/open?id=164ScAY7QW1ApCT2GmPvDLlXBGHl9F7yP</t>
  </si>
  <si>
    <t>https://drive.google.com/open?id=1FjZ_3b70XpzDRlyGBSoE4OiTOR-Lez41</t>
  </si>
  <si>
    <t>- Added SY AMCAT Result
- Updated Industry Certificates: Completed AI 900</t>
  </si>
  <si>
    <t>0120190354</t>
  </si>
  <si>
    <t>ROHITGIR</t>
  </si>
  <si>
    <t>GOKULGIR</t>
  </si>
  <si>
    <t>GOSAVI</t>
  </si>
  <si>
    <t>rohitggosavi2019@gmail.com</t>
  </si>
  <si>
    <t>https://www.linkedin.com/in/rohit-gosavi-424b38197/</t>
  </si>
  <si>
    <t>GOKULGIR SHIVGIR GOSAVI</t>
  </si>
  <si>
    <t>KRANTI GOKULGIR GOSAVI</t>
  </si>
  <si>
    <t>Qtr. No. 1/A type 3 ordnance factory varangaon, Bhusawal</t>
  </si>
  <si>
    <t>Niuritti nivas, near premsai building, dudulgaon alandi, pune</t>
  </si>
  <si>
    <t xml:space="preserve">CS101T - Logic Development C Programming </t>
  </si>
  <si>
    <t>Infosys Springboard :Programming Fundamentals using Python - Science Graduates - Foundation Program</t>
  </si>
  <si>
    <t>1)Python Data Structure
2)Python for Everybody</t>
  </si>
  <si>
    <t>Industrial Training at Govt. Ordnance Factory Varangaon</t>
  </si>
  <si>
    <t>Multiway Dumping Trolly</t>
  </si>
  <si>
    <t>Multiway Dumping Trolley</t>
  </si>
  <si>
    <t>https://preskilet.com/watch?v=62bd92449535010004fd26a1</t>
  </si>
  <si>
    <t>https://drive.google.com/open?id=1WKnTlXoktVA6fP1um6qEqwRxN1ucbHwA</t>
  </si>
  <si>
    <t>https://drive.google.com/open?id=1u8uvFyxRkx2UpsMT9HpM9MPtI6RnoQw9</t>
  </si>
  <si>
    <t>https://drive.google.com/open?id=1ZrVUsK6h0bMFbjlgp_1zClDeLjrznBo0</t>
  </si>
  <si>
    <t>https://drive.google.com/open?id=1nNPmkJzL39FyVrNwrlNb3SFl2AC8LG0s</t>
  </si>
  <si>
    <t>https://drive.google.com/open?id=13m41T-PUO_i5g_lXX1lG_pkJTR4bo8qs</t>
  </si>
  <si>
    <t>https://drive.google.com/open?id=1MSlXsYAj-tFfcEBRGPJQeWK1xh8x-R2c</t>
  </si>
  <si>
    <t>https://drive.google.com/open?id=1_e_cUoWRt0CmwN9m6pK9LMxVHcvYHAt2</t>
  </si>
  <si>
    <t>https://drive.google.com/open?id=12-qo7r24_AnMQGFdA-OEdKbOHsNdF59f</t>
  </si>
  <si>
    <t>https://drive.google.com/open?id=123QbI8gz74wyE2Zk0uAmgw1PuGYRV3ZZ</t>
  </si>
  <si>
    <t>Technical Certifications , Internship certificate and Amcat Reports are uploaded</t>
  </si>
  <si>
    <t>SIDDHESH</t>
  </si>
  <si>
    <t>UGALE</t>
  </si>
  <si>
    <t>ugalesiddhesh@gmail.com</t>
  </si>
  <si>
    <t>https://in.linkedin.com/in/siddhesh-ugale</t>
  </si>
  <si>
    <t>Shivtej, Plot no 7, Sr. No. 11/1B/1/1, Kalpataru Nagar, Ashoka Marg, Nashik</t>
  </si>
  <si>
    <t>ME343T - Hydraulics and Pneumatics</t>
  </si>
  <si>
    <t>CH101T - Science of nature</t>
  </si>
  <si>
    <t>Intern at The Spark Foundation (Oct21)
Intern at Hindustan Aeronautics Limited</t>
  </si>
  <si>
    <t>AI based Human assistant robot</t>
  </si>
  <si>
    <t>HTML, CSS, JavaScript, PHP</t>
  </si>
  <si>
    <t>AutoCAD, Fusion 360, SolidWorks, CATIA, ANSYS, Figma, Adobe XD, Cinema 4D, Autodesk MAYA, Autodesk 3Ds Max, ZBrush, Photoshop, Premiere pro, Illustrator</t>
  </si>
  <si>
    <t>President of Digital design club of MITAOE (Best student of the club 2021-2022)
Communicator at IUCEE MITAOE</t>
  </si>
  <si>
    <t>First Runner-up at National Level in Autodesk Future skills competition (Additive Manufacturing)</t>
  </si>
  <si>
    <t>Experience of freelancing (Has worked with 5-6 National/International clients)</t>
  </si>
  <si>
    <t>https://preskilet.com/watch?v=62bde7989535010004fd2c18</t>
  </si>
  <si>
    <t>https://drive.google.com/open?id=1kSwr_iDPbDQbLCTNzioo3gN2XAvCwmNc</t>
  </si>
  <si>
    <t>https://drive.google.com/open?id=1tHu1MXTL7xiM7QKKSYeURDLUhxotzRkB</t>
  </si>
  <si>
    <t>https://drive.google.com/open?id=1I0dPO1svTGR_Hl6DWjYJtyDvk4-zMbS-</t>
  </si>
  <si>
    <t>https://drive.google.com/open?id=1oGNqp2c8IeDq_TzMaazlIt5wYakMMwKg</t>
  </si>
  <si>
    <t>https://drive.google.com/open?id=1Uou21egQwqRtnWxV7NZJJeDhYrX4aulE</t>
  </si>
  <si>
    <t>https://drive.google.com/open?id=12exP3q8Stf7zLVQckqmiaase-k_aWZUi</t>
  </si>
  <si>
    <t>preskilet video link was not there
amcat reports were not there</t>
  </si>
  <si>
    <t>0220200015</t>
  </si>
  <si>
    <t xml:space="preserve">ROSHANI </t>
  </si>
  <si>
    <t>PANDHARINATH</t>
  </si>
  <si>
    <t>RAIPURE</t>
  </si>
  <si>
    <t>roshaniraipure3@gmail.com</t>
  </si>
  <si>
    <t>https://www.linkedin.com/in/roshani-raipure-7b5302241</t>
  </si>
  <si>
    <t xml:space="preserve">Ordnance Factory Varngoan , 52/D Type 3 , Tal-Bhusawal Dist - Jalgoan </t>
  </si>
  <si>
    <t>301, A wing , Dnyanyog building, Alandi, pune Landmark- Infront of bank of india, dehu phata , aland</t>
  </si>
  <si>
    <t>Robotics By IIT Bombay</t>
  </si>
  <si>
    <t>E Learning Course Electric vehicle By Toyota</t>
  </si>
  <si>
    <t>Python By Infosys</t>
  </si>
  <si>
    <t xml:space="preserve">Design Of Kaplan Turbine For Application Of Electricity Generation in Villages Near Overhead Water Tanks </t>
  </si>
  <si>
    <t xml:space="preserve">Pune metro </t>
  </si>
  <si>
    <t>Design and Manufacturing of Abrasive jet Machine.</t>
  </si>
  <si>
    <t xml:space="preserve">Member of Robotics club
</t>
  </si>
  <si>
    <t>5 Rank in robocon Competition international level</t>
  </si>
  <si>
    <t xml:space="preserve">EJI learning Course in solar power plant </t>
  </si>
  <si>
    <t xml:space="preserve">1) National level technical event co ordinates of Brainweck  Equilibrium .
2) Participation in Robotics workshop by Invictus
2) Collage level 1st price in Kho Kho
3) Collage level 2nd Price in volley ball
4) Participate in ROBOCON competition achieve 5 Rank in India   </t>
  </si>
  <si>
    <t>https://drive.google.com/drive/folders/1vxDtLZNQOaZwP6w2We4btE6qmCe1y6pv?usp=sharing</t>
  </si>
  <si>
    <t>https://drive.google.com/open?id=1Wpy08Ti-fKZe4qUoVoeodSiarJSP1QlX</t>
  </si>
  <si>
    <t>https://drive.google.com/open?id=1r2yqqbE8hx2LJcEvjWoiVecU83MAFptO</t>
  </si>
  <si>
    <t>https://drive.google.com/open?id=1B2vf8HPejYEDPpaYNhUDCUuoE3xNAOzU</t>
  </si>
  <si>
    <t>https://drive.google.com/open?id=1xfGOtpTM0Vz6GfxRlMnffrjCyrWty32r</t>
  </si>
  <si>
    <t>https://drive.google.com/open?id=1UffgSHkRJjvX4PZBeo-LeGAY8HsygKqa</t>
  </si>
  <si>
    <t>https://drive.google.com/open?id=16zegIU0O-xnSij_nXNOLvUY8Hx-JWDB8</t>
  </si>
  <si>
    <t>https://drive.google.com/open?id=1QUK0WN7dsOzhcsUDAyzHEPICOi3sbjlf</t>
  </si>
  <si>
    <t>https://drive.google.com/open?id=1QnFnP0ksZC3qY9u7HzIWb-4RjzbmVl0p</t>
  </si>
  <si>
    <t>https://drive.google.com/open?id=1At04PTiTeupuImHd5r-jdeIt-_WkBeSN</t>
  </si>
  <si>
    <t>https://drive.google.com/open?id=1nBmM318OjyGbjxc6irQ5AaXxrFJqk67Y</t>
  </si>
  <si>
    <t>https://drive.google.com/open?id=1WYOpbbS5Oee51eC90hICl9DBLTyV2x17</t>
  </si>
  <si>
    <t xml:space="preserve">I have uploaded internship, Education, Technical ,SY TY Amcat </t>
  </si>
  <si>
    <t>0120190351</t>
  </si>
  <si>
    <t>WADHE</t>
  </si>
  <si>
    <t>nirajwadhe@gmail.com</t>
  </si>
  <si>
    <t xml:space="preserve">nvwadhe@mitaoe.ac.in </t>
  </si>
  <si>
    <t>https://www.linkedin.com/in/niraj-wadhe-720839193/</t>
  </si>
  <si>
    <t>LEENA</t>
  </si>
  <si>
    <t>Qtr - 20/A , Type-3 , Ordnance Factory Varangaon , Tal - Bhusawal , Dist - Jalgaon</t>
  </si>
  <si>
    <t>Niuhrutti Nivas Dudulgaon , Alandi Pune</t>
  </si>
  <si>
    <t xml:space="preserve">Microsoft : Python Certificate &amp; Infosys Springboard: Programming Fundamentals using Python </t>
  </si>
  <si>
    <t>Industrial Training at Govt. of India Ordnance Factory Varangaon</t>
  </si>
  <si>
    <t>Reserch Internship in MIT AOE on Optimization of GMAW process by TLBO and Jaya algorithm</t>
  </si>
  <si>
    <t>https://preskilet.com/watch?v=62bd79e19535010004fd25ee</t>
  </si>
  <si>
    <t>https://drive.google.com/open?id=15vjZkL7THsxejT5Gh6fA5HE3WbZfbeKo</t>
  </si>
  <si>
    <t>https://drive.google.com/open?id=13acOaXmnFsXTfUFq02Gh21pVB5uhAkMD</t>
  </si>
  <si>
    <t>https://drive.google.com/open?id=1ewOePwFpHX9GQPnw2WsZ7m-fdGfcsZ1i</t>
  </si>
  <si>
    <t>https://drive.google.com/open?id=1WtwnVwDm7m8D-K8epNP5vKmdCYx7tMb2</t>
  </si>
  <si>
    <t>https://drive.google.com/open?id=1iuySGjKn_6xhmdJ1U8bTSsGGNl2Ly0w7</t>
  </si>
  <si>
    <t>https://drive.google.com/open?id=1xFbcCbRnWfHBDNZwU1xKIVI2y_UoDHOk</t>
  </si>
  <si>
    <t>https://drive.google.com/open?id=1c1MDB9wDJryFSXvLGraANAq4VPMErIAG</t>
  </si>
  <si>
    <t>https://drive.google.com/open?id=1EwiCp3UyXj65QjsIUN9PuBWAc5n5hI1J</t>
  </si>
  <si>
    <t xml:space="preserve">Added Infosys Technical Certificate &amp; Amcat Report </t>
  </si>
  <si>
    <t>0120190047</t>
  </si>
  <si>
    <t>GANGURDE</t>
  </si>
  <si>
    <t>dpgangurde2512@gmail.com</t>
  </si>
  <si>
    <t>https://www.linkedin.com/in/dhiraj-gangurde-1369661ab/</t>
  </si>
  <si>
    <t>DHANAVANTI</t>
  </si>
  <si>
    <t>Gokuldhan, Vakratunda Nagar, Dindori, Nashik- 422202</t>
  </si>
  <si>
    <t>Hindawi colony, road no.2, dehu phata, Alandi, MAHARASHTRA 412105,India</t>
  </si>
  <si>
    <t>Programming Fundamentals using Python - Science Graduates - Foundation Program</t>
  </si>
  <si>
    <t xml:space="preserve">Verzeo: Hybrid and Electric courses
Automation Anywhere: Getting Started with Robotic Process Automation (RPA)
</t>
  </si>
  <si>
    <t>Solid works CSWA</t>
  </si>
  <si>
    <t xml:space="preserve">Autosport Club of MIT Academy of Engineering( Team Niyudrath Racing) - Worked on Suspension system </t>
  </si>
  <si>
    <t xml:space="preserve">Name of the company - Shree Sai Enterprises
Working on Bike Cluster test Bench </t>
  </si>
  <si>
    <t>Collision detection algorithm for vehicles with autonomous external airbag system.</t>
  </si>
  <si>
    <t>AutoCAD, Fusion 360, SolidWorks, CATIA, ANSYS, Proteus, Creo</t>
  </si>
  <si>
    <t>Member of Team Niyudrath Racing Autosport club of MIT Academy of Engineering.</t>
  </si>
  <si>
    <t>https://preskilet.com/dpgangurde@mitaoe.ac.in</t>
  </si>
  <si>
    <t>https://drive.google.com/open?id=1awHCQqCsrsOhF8BnU9CnocFkna8tfsT9</t>
  </si>
  <si>
    <t>https://drive.google.com/open?id=1linTnunzzOL3xuHwHnR7qQrhlgF0Bhox</t>
  </si>
  <si>
    <t>https://drive.google.com/open?id=1d78IvU2vKTzggziYn41ZQJGJL0YQD_SV</t>
  </si>
  <si>
    <t>https://drive.google.com/open?id=1Oz9nL7qdGCpB8MEjOZr107gfGE9RS_lO</t>
  </si>
  <si>
    <t>https://drive.google.com/open?id=1CCO8MjgrtpIHCXiPAGfj87eCp2303Q97</t>
  </si>
  <si>
    <t>https://drive.google.com/open?id=1i-dZTh58ZWY9Wg4jdawjBwMnzvJphIHZ</t>
  </si>
  <si>
    <t>https://drive.google.com/open?id=1cJ01vSQ0sY14JmfemTy3fAyulfSGA0-O</t>
  </si>
  <si>
    <t>0120190289</t>
  </si>
  <si>
    <t>ANKUSH</t>
  </si>
  <si>
    <t xml:space="preserve">SANGOLKAR </t>
  </si>
  <si>
    <t>sangolkaratul2@gmail.com</t>
  </si>
  <si>
    <t xml:space="preserve">aasangolkar@mitaoe.ac.in </t>
  </si>
  <si>
    <t>https://www.linkedin.com/in/atul-sangolkar-189071213</t>
  </si>
  <si>
    <t>ANKUSH RAMCHANDRA SANGOLKAR</t>
  </si>
  <si>
    <t>KALPANA</t>
  </si>
  <si>
    <t xml:space="preserve">At post Kosari, Tal -Jath,Dist-Sangli,Maharashtra </t>
  </si>
  <si>
    <t xml:space="preserve">Room no 203,Gokuldham Society ,Dehu phata ,Alandi </t>
  </si>
  <si>
    <t>Infosys Spring:Python Programmer</t>
  </si>
  <si>
    <t>Oracle Cloud Infrastructure Foundation 2021 Associate</t>
  </si>
  <si>
    <t xml:space="preserve">Design Intern in Design Department at Creestaa Elevator's  </t>
  </si>
  <si>
    <t xml:space="preserve">Design of Evaporator For Solar Assisted Heat Pump </t>
  </si>
  <si>
    <t>1) Participated in DATATHON
2) Participated in  An International White paper writing competition by Johnson Controls
3)Participated in National Engineering Olympiad 2022</t>
  </si>
  <si>
    <t xml:space="preserve">1)Winners In Kabaddi Tournament held in College sports Weeks 2022
2)Runner ups In Cricket Tournament held in College sports Weeks 2022
3)Runner ups In Kabaddi Tournament held in College sports Weeks 2022
4)First prize in Nakshtra Drama 2020&amp;2022
</t>
  </si>
  <si>
    <t xml:space="preserve">https://preskilet.com/aasangolkar@mitaoe.ac.in </t>
  </si>
  <si>
    <t>https://drive.google.com/open?id=1AK4RoAjU1YugIsNSN6llLZcyAY2iy8x7</t>
  </si>
  <si>
    <t>https://drive.google.com/open?id=1HYwxrgmsSOSImRb68dlDp16CBgNe4jx1</t>
  </si>
  <si>
    <t>https://drive.google.com/open?id=13QrBnjXBFzs6G0f2P_MLnWR59zNMvom7</t>
  </si>
  <si>
    <t>https://drive.google.com/open?id=1YthCiBTlIMDjLBx3QZSmrK_DFMQWqotn</t>
  </si>
  <si>
    <t>https://drive.google.com/open?id=1OMi-Wy7tVRP5jLEAr99a3RLr6crrNb2s</t>
  </si>
  <si>
    <t>https://drive.google.com/open?id=18TZq4VYlwt46ZKhDYn6TJe9r_dv0Nf92</t>
  </si>
  <si>
    <t>https://drive.google.com/open?id=1vj43-yUZce7QlgnLGt0EQgyCRyhUh0Pe</t>
  </si>
  <si>
    <t>Updated Preskilet link because Earlier I pasted Drive link and Amcat reports which was not submitted earlier also added Technical Certifications</t>
  </si>
  <si>
    <t>0120190229</t>
  </si>
  <si>
    <t>BHIMASHANKAR</t>
  </si>
  <si>
    <t>BILURE</t>
  </si>
  <si>
    <t>onkarbilure07@gmail.com</t>
  </si>
  <si>
    <t>https://www.linkedin.com/in/onkar-bilure-9bb7b8201</t>
  </si>
  <si>
    <t>BHIMASHANKAR SIDRAM BILURE</t>
  </si>
  <si>
    <t>GOURAMMA BHIMASHANKAR BILURE</t>
  </si>
  <si>
    <t>20, Laxmi Nagar, Vijapur Road, Jule Solapur, Solapur, 413004</t>
  </si>
  <si>
    <t>203, Gokuldham Society, Near Gajanan Maharaj Temple, Dehu Phata, Alandi, 412105</t>
  </si>
  <si>
    <t xml:space="preserve">Design Engineer in R&amp;D department, at Creesta Elevators Pvt. Ltd. </t>
  </si>
  <si>
    <t>Collision Detection algorithm for vehicles 
with autonomous external airbag system</t>
  </si>
  <si>
    <t>1) Participated in Datathon competition
2) Participated in Neo National Engineering Olympiad
3) Participated in National Level E-Quiz competition on Computer Graphics</t>
  </si>
  <si>
    <t>1) Secured 90% in National Level E-Quiz competition on Computer Graphics</t>
  </si>
  <si>
    <t>1)Runner-up in inter-branch Cricket Tournament in college sports week
2)Captain of mechanical department Volleyball team
3) Vice-captain of mechanical department Cricket team
2)1st prize in Drama Competition in Nakshtra 2020
3)1st prize in Drama Competition in Nakshtra 2022</t>
  </si>
  <si>
    <t>https://preskilet.com/watch?v=62bde8749535010004fd2c5e</t>
  </si>
  <si>
    <t>https://drive.google.com/open?id=1_hj4CJAzRGeD9Beq9OIbh6MS-JGVkOOC</t>
  </si>
  <si>
    <t>https://drive.google.com/open?id=18nOtA6cNsgIHmWBaHmM8KnJ9MGcsONuH</t>
  </si>
  <si>
    <t>https://drive.google.com/open?id=1hvZT3KNCR7QO8jQz8kURzw45iEddTyc9</t>
  </si>
  <si>
    <t>https://drive.google.com/open?id=1Q0HylWnnbnDQlF0WWN3dwfSSPj9-00Ry</t>
  </si>
  <si>
    <t>https://drive.google.com/open?id=108HUC2jHwtK9uuNV3jGKdnpU_jD7BVKV</t>
  </si>
  <si>
    <t>https://drive.google.com/open?id=1xqUUT6vzuo844v4_GdZyCspMvuaKP_FW</t>
  </si>
  <si>
    <t>https://drive.google.com/open?id=19JRf9KeXNoxGX5Qlb0ejoY995TyG7Tfr</t>
  </si>
  <si>
    <t>https://drive.google.com/open?id=1ShbaN6VQrMKMPtREbNDHWb2CxLtnAzeN</t>
  </si>
  <si>
    <t>Technical certification - Not uploaded previous
SY Amcat result - Report not available on amcat site previously
TY Amcat result - Report not available on amcat site previously</t>
  </si>
  <si>
    <t>SUYASH</t>
  </si>
  <si>
    <t>PARVE</t>
  </si>
  <si>
    <t>suyashparve113sp@gmail.com</t>
  </si>
  <si>
    <t>https://www.linkedin.com/in/suyash-parve-780685193</t>
  </si>
  <si>
    <t>SANJAY RAMESH PARVE</t>
  </si>
  <si>
    <t>SUNITA SANJAY PARVE</t>
  </si>
  <si>
    <t xml:space="preserve">413601 At post Arali Bk. Tuljapur, Osmanabad. </t>
  </si>
  <si>
    <t>412105, Dehu Phata, Pragati Apartment B6, Alandi, Pune</t>
  </si>
  <si>
    <t>ET224L PR DIGITAL PROTOTYPING
HP202L PR PROFESSIONAL COMMUNICATION
ME221L PR MATERIAL ENGINEERING
ME221T TH MATERIAL ENGINEERING
ME222L PR ENGINEERING INFORMATICS
ME222T TH ENGINEERING INFORMATICS
ME234L PR MACHINES AND MECHANISMS
ME235L PR FLUID MECHANICS
ME235T TH FLUID MECHANICS
ME341T
ME342T</t>
  </si>
  <si>
    <t>Robotics Process Automation Virtual Internship</t>
  </si>
  <si>
    <t>Coursera Course On Python</t>
  </si>
  <si>
    <t>Mayur Engineering Works PVT LTD</t>
  </si>
  <si>
    <t>Refrigeration system using LPG gas</t>
  </si>
  <si>
    <t>Attended workshops of Robotics club</t>
  </si>
  <si>
    <t xml:space="preserve">Maths club member, arranged calculus competition. </t>
  </si>
  <si>
    <t>https://preskilet.com/watch?v=62b48f7530b28000045234af</t>
  </si>
  <si>
    <t>https://drive.google.com/open?id=1i2HxpVv5iq_lFZI-q8tqJ8fcsw5SQ11L</t>
  </si>
  <si>
    <t>https://drive.google.com/open?id=18RLum5WjOvD5iipaKqiN5wmV755t8-BM</t>
  </si>
  <si>
    <t>https://drive.google.com/open?id=1-lndaaCxBjLlcCEtkk-4f8W-58HV9rtJ</t>
  </si>
  <si>
    <t>https://drive.google.com/open?id=1s-M4bVjZ7z3jIrvoXLzaKwnGxuct_upP</t>
  </si>
  <si>
    <t>https://drive.google.com/open?id=1GU-yFUNvkrM4P8SsTIPzu6HMwEYpiyag</t>
  </si>
  <si>
    <t>https://drive.google.com/open?id=1F9MeZ_wbgiSP4pXiTw6_cq7pkg5wrn04</t>
  </si>
  <si>
    <t>https://drive.google.com/open?id=1oS0xIRqloMM6mKP2aP1XDGXZcgmV-_7R</t>
  </si>
  <si>
    <t>https://drive.google.com/open?id=1kesXN1vxjlrxztQ80aSpcKuxsOTmXaV_</t>
  </si>
  <si>
    <t>https://drive.google.com/open?id=1JpqLiwfu4YWxM1QQ7DSCAs1tMJdi0x3d</t>
  </si>
  <si>
    <t>AMCAT Results AND Technical Certification</t>
  </si>
  <si>
    <t>SHANTARAM</t>
  </si>
  <si>
    <t>rohanpatil4791@gmail.com</t>
  </si>
  <si>
    <t>https://www.linkedin.com/in/rohan-patil-62603022b</t>
  </si>
  <si>
    <t xml:space="preserve">SHANTARAM </t>
  </si>
  <si>
    <t>NALINI</t>
  </si>
  <si>
    <t>353/3 Plot No.06 Shivam colony, near badami vihir, Satara 415002</t>
  </si>
  <si>
    <t>CATIA V5 R21: Learnmall.in</t>
  </si>
  <si>
    <t>Ansys:Learnmall.in</t>
  </si>
  <si>
    <t xml:space="preserve">Object oriented programming with Python: Infosys springboard </t>
  </si>
  <si>
    <t xml:space="preserve">Project Title- Ergonomic Analysis of Designed bicycle using DHM Technique.
Description - The project demonstrate DHM technique by selecting a bicycle as a product and testing it with respect to its ergonomic capability and human comfort by using REBA and RULA analysis with the help of Digital human manikin in Catia V5 software </t>
  </si>
  <si>
    <t xml:space="preserve">Company name- Premium Transmission pvt. ltd.
Duration- 1 month
Details: The company makes an industrial gearboxes. The gearboxes are worm wheel gearbox and helical gearbox. During the period of 1 month, I have studied and observed all the gearbox manufacturing process with its different operations. Also calculated the cycle time for different components on different machines. Also made a small project where I have made cad model of gearbox whose all data was given by the project mentor and did an structural analysis in ansys software. 
</t>
  </si>
  <si>
    <t>B.E.:
Project title- Design and analysis of fins on electric motor.
Description - The project consist of designing different types of fins structure for electric motor in electric vehicle. For analysis Al 6061 and Al 1050A materials are used. It is found that Al 1050A gives better results than Al 6061 and also Al 1050A is cheaper material.
Diploma:
Title - Design and fabrication of Multipurpose machine.
Description- The project was fabrication of Multipurpose machine. For performing operations like drilling, cutting and grinding single prime movers is used. It reduce time and cost of production. Also the machine is portable.</t>
  </si>
  <si>
    <t>AutoCAD, CATIA, ANSYS, MATLAB, Creo, Pro E, MSE APEX, NASTRAN, PATRAN, FLUID SIM</t>
  </si>
  <si>
    <t xml:space="preserve">1) Completed National level ansys workshop.
2) One research paper is published on Researchgate.
3) Participated Cadify event (based on catia)  in VIIT Pune. </t>
  </si>
  <si>
    <t>1) Participated in district level chess competition.
2) Volunteer in National Social Service (NSS).
3) Donated blood organised by Robinhood army club in MITAOE</t>
  </si>
  <si>
    <t>https://preskilet.com/watch?v=62a5c8fed629e000041e8cfb</t>
  </si>
  <si>
    <t>https://drive.google.com/open?id=1fvjddWjK6P1e0HiJ1cMbPewRAjh2wFOf</t>
  </si>
  <si>
    <t>https://drive.google.com/open?id=1Of7tqKnbLegStA6fKouKXHVk6fwTXBK6</t>
  </si>
  <si>
    <t>https://drive.google.com/open?id=1U_mtrj_CZf2TijXax1exCBYVdAu_gbSW</t>
  </si>
  <si>
    <t>https://drive.google.com/open?id=1qsqsVDFZ0ugoyfLDxOLkhd28pWM9RvhL</t>
  </si>
  <si>
    <t>0120190110</t>
  </si>
  <si>
    <t>VAIKAR</t>
  </si>
  <si>
    <t>ameyvaikar@gmail.com</t>
  </si>
  <si>
    <t>https://www.linkedin.com/in/ameyvaikar/</t>
  </si>
  <si>
    <t>Om Niwas, Engineer's Colony, Near Panchmukhi Hanuman Mandir, Palwan Chowk, Beed - 431122</t>
  </si>
  <si>
    <t>703, B Wing, Kamalraj Haridwar Society, Datta Nagar, Dighi, Pune - 411015</t>
  </si>
  <si>
    <t>Palo Alto Cyber Security Foundation</t>
  </si>
  <si>
    <t>Palo Alto Network Security Fundamentals</t>
  </si>
  <si>
    <t>Aero Club Internship Program for RC Plane Design
In this 5-Week internship I have worked with the Aero Club of my campus. In the training cum internship we have to do some tasks. Also used simulation software for autonomous drone trajectory planning and did some calculations required for RC planes.</t>
  </si>
  <si>
    <t>Design and Development of Chassis for Go Kart in Niyudrath Karting MITAoE
I worked as Student Intern in Chassis Department for Design and Manufacturing of Chassis of Go Kart. Using CatiaV5 software, I designed the chassis with the consideration of all the important parameters I got after the actual analytical calculation. 
Based on the Impact analysis I performed the Mechanical Simulation of Chassis using Ansys software. For the perfect performance analysis I performed Static Structural and Explicit Dynamic analysis using the software. 
Along with this I also contributed in different department works also as teamwork spirit to help them in their problems of particular design or analysis using Ansys. 
Also for the final assembly of the kart I was responsible using Fusion 360 all the components of different departs were assembled on the chassis.
Throughout the internship my knowledge and understanding about the design methodology, FEA and CFD was enhanced due to actual Hands on Experience.
SY Project -  Colour Sorting Machine for Industries
Sorting of Objects based on the color characteristics using RGB value of the color. (IoT Based project)
Using Color Sensor based on the RGB value of the colored object on the path the microcontroller controlled automated handling system will detect the color of object and then sort it accordingly.</t>
  </si>
  <si>
    <t>Company :- Abhyaz (MTAB Technology Centre Platform)
Role: - Project Intern (Robotics Competency)
TY Major Project: 
Device Based Image Encryption and Decryption
Developing efficient image based encryption to maintain Confidentiality, Integrity and availability of Patient's Data in the form of Text, Image or pdf files. 
Mechanism to encrypt the files shared by Hospital or Pathology before sharing the file to patient and decrypt at patient's side to read the files. 
Knee Scooter for Handicapped people
In Machine Design Course as a project designed a knee scooter for the handicapped people who can not walk like a normal people. Based on the consideration designed the different components like shafts, bearings and springs.(Design and Calculation project)
This project was completely based on the Machine Design and Strength of Material Concepts. Using Fusion 360 software the design of scooter was completed and
in drafting the GD&amp;T concepts were applied.</t>
  </si>
  <si>
    <t>Device Based Image Encryption and Decryption</t>
  </si>
  <si>
    <t>Edgeline Go Kart Championship 2021 
Smart India Hackathon 2022</t>
  </si>
  <si>
    <t>MITAoE E-Summit 22' - Head of Marketing and Outreach Program
MITAoE E-Summit 21' - Operation Team Member
NEC IIT Bombay 21' - Ranked 9th in Advanced round as Member of E-Cell MITAoE</t>
  </si>
  <si>
    <t>https://preskilet.com/watch?v=62a37885a6956a000460033a</t>
  </si>
  <si>
    <t>https://drive.google.com/open?id=1Kt3l5JQNBGaTQQ9uzRRQxd0KF-km9C31</t>
  </si>
  <si>
    <t>https://drive.google.com/open?id=1U9UpwzfJ9NEqKw3nu8aPwIFL0KeFTy_9</t>
  </si>
  <si>
    <t>https://drive.google.com/open?id=1up9p8TVXDqO9eFg7SjXk18O9A7kIKVUr</t>
  </si>
  <si>
    <t>https://drive.google.com/open?id=1UcXO5w1piIFFWdgrtC4yt6S5FHDg9GhW</t>
  </si>
  <si>
    <t>https://drive.google.com/open?id=1ExCsidgeAi7cIZcrqNVGvBxNowMIj6rv</t>
  </si>
  <si>
    <t>https://drive.google.com/open?id=1AKEA7wNz9FOf0i6qsdV6g620r6VleByd</t>
  </si>
  <si>
    <t>0120190241</t>
  </si>
  <si>
    <t>maneyogesh0103@gmail.com</t>
  </si>
  <si>
    <t>https://www.linkedin.com/in/yogesh-mane-4729621b8</t>
  </si>
  <si>
    <t>A/P Warkute-Mhaswad , Tel. Man, Dist. Satara, Maharashtra, India</t>
  </si>
  <si>
    <t>205, Gokuldham Apartment, Near Kachare Hospital, Alandi</t>
  </si>
  <si>
    <t>ME346T - Heat Transfer
ME341T - Machine Design
ME352T - Robot Fundamental &amp; Kinematics</t>
  </si>
  <si>
    <t>EX102T - Electrical And Electronics Engineering</t>
  </si>
  <si>
    <t xml:space="preserve">infyspringboard : Programming Fundamentals using Python </t>
  </si>
  <si>
    <t xml:space="preserve"> Intern on Market survey and Field analysis in Mandeshi Foundation
 Sanitiser And Temperature Analyser (SATA)</t>
  </si>
  <si>
    <t>Saptasathi Industries Intern In CNC Department</t>
  </si>
  <si>
    <t>Analysis of Heat Transfer In Gas-Solid Fluidized Bed Using Machine Learning</t>
  </si>
  <si>
    <t>Regional Player in Relay Race and 100M Running 2016
NMMS Exam HighSchool- 3rd Rank in District and 51st in State</t>
  </si>
  <si>
    <t xml:space="preserve">“Multi Criteria Decision Making (MCDM) Methods” organized by the School of Mechanical and Civil Engineering, MIT Academy of Engineering.
</t>
  </si>
  <si>
    <t>Sung song in college events</t>
  </si>
  <si>
    <t>https://preskilet.com/watch?v=62bdc90e9535010004fd29b0</t>
  </si>
  <si>
    <t>https://drive.google.com/open?id=1weala2WP8mANyh17I72H7ESIfEHoefRw</t>
  </si>
  <si>
    <t>https://drive.google.com/open?id=1NkV_4BscAxPbDbfLeIEoLOkNjRhL8_L4</t>
  </si>
  <si>
    <t>https://drive.google.com/open?id=1wYp1c7NnLpffLusH_D3BMYS5GfeKxmKy</t>
  </si>
  <si>
    <t>https://drive.google.com/open?id=1_6-6e8TveodDce5Vn81YGknu9l58Up0B</t>
  </si>
  <si>
    <t>https://drive.google.com/open?id=1bxj39Us8uSF-j-mfUBgZBgaw5FoyQYQL</t>
  </si>
  <si>
    <t>https://drive.google.com/open?id=1iP95kC2rIlGLWMjL0LuMOXkOSFNVlO_t</t>
  </si>
  <si>
    <t>0220200051</t>
  </si>
  <si>
    <t>GUDAGHE</t>
  </si>
  <si>
    <t>https://www.linkedin.com/in/vaishnavi-gudaghe-661861241</t>
  </si>
  <si>
    <t>MINA</t>
  </si>
  <si>
    <t>At post sonewadi, taluka - kopargaon, Dost ahmednagar</t>
  </si>
  <si>
    <t>Dnyanyog building, dehu phata, alandi</t>
  </si>
  <si>
    <t xml:space="preserve">Microsoft python certificate </t>
  </si>
  <si>
    <t xml:space="preserve">Design &amp; Manufacturing of  Automatic Hand Sanitizer using ultrasonic sensor
Design Thinking Project on Customized Chair </t>
  </si>
  <si>
    <t>Shree- Laxmi technowell pvt.ltd, Nashik 
Evaluation of refrigerant for domestic refrigerator using MADM techniques</t>
  </si>
  <si>
    <t>Hot box detector for locomotive.</t>
  </si>
  <si>
    <t xml:space="preserve">Hotbox detector for locomotive
Evaluation of refrigerant for domestic refrigerator using MADM techniques
</t>
  </si>
  <si>
    <t xml:space="preserve">AutoCAD, Fusion 360, SolidWorks, CATIA, ANSYS, MATLAB, Creo, Lotus Shark , Apex ,Nastran </t>
  </si>
  <si>
    <t xml:space="preserve">Member of autosport club Team Niyudrath Racing </t>
  </si>
  <si>
    <t xml:space="preserve">All india rank 19 at SAE BAJA INDIA </t>
  </si>
  <si>
    <t>https://preskilet.com/watch?v=62bdf6639535010004fd2da4</t>
  </si>
  <si>
    <t>https://drive.google.com/open?id=1hBlJlL_GoNB6pVtE_jHPpzDR755wnkj9</t>
  </si>
  <si>
    <t>https://drive.google.com/open?id=1stFIiEJDhQQhmkUR9_YgiTzn7EYmx1xE</t>
  </si>
  <si>
    <t>https://drive.google.com/open?id=1c3qeUiNw_LqJRWrC49GzC_3UiQf4wgBh</t>
  </si>
  <si>
    <t>https://drive.google.com/open?id=1YICi77tUsT7Qa401lW_bmtPhfLrJ5vGY</t>
  </si>
  <si>
    <t>https://drive.google.com/open?id=1Uob9ruKTgYgfECJXZDNzc5jTOVZf6NPK</t>
  </si>
  <si>
    <t>https://drive.google.com/open?id=1b5kdCH4BxLrbH9uC5Tv8TeH6HVXJXPoA</t>
  </si>
  <si>
    <t>https://drive.google.com/open?id=1XXAg-OTxQVGC_LJ09kQQRYC7S3mCWvvX</t>
  </si>
  <si>
    <t>https://drive.google.com/open?id=1VusC9sOHePJK294SEizCUE1B7CCLlBcZ</t>
  </si>
  <si>
    <t>https://drive.google.com/open?id=1wIpZmlFgEmWZ8NSxtSo_G8o3tD1P0zAQ</t>
  </si>
  <si>
    <t>Preskillet video is not shown</t>
  </si>
  <si>
    <t>0120190403</t>
  </si>
  <si>
    <t xml:space="preserve">SUYASH </t>
  </si>
  <si>
    <t>VASANT</t>
  </si>
  <si>
    <t>OMBALE</t>
  </si>
  <si>
    <t>suyashombale2001@gmail.com</t>
  </si>
  <si>
    <t>https://www.linkedin.com/in/suyash-ombale</t>
  </si>
  <si>
    <t>VASANT DAGADU OMBALE</t>
  </si>
  <si>
    <t>SAVITA VASANT OMBALE</t>
  </si>
  <si>
    <t>At post kedambe,satara maharastra,415012</t>
  </si>
  <si>
    <t>Pragati apartment,dehu phata,Alandi,412105</t>
  </si>
  <si>
    <t>Microsoft AZ-900: Microsoft Azure fundamentals</t>
  </si>
  <si>
    <t>springboard:python programmer certification</t>
  </si>
  <si>
    <t>Microsoft Al-900: Microsoft Azure AI</t>
  </si>
  <si>
    <t xml:space="preserve">AutoCAD Training program </t>
  </si>
  <si>
    <t xml:space="preserve">Intern at Creesta Elevators pvt ltd </t>
  </si>
  <si>
    <t xml:space="preserve">Design of Evaporater </t>
  </si>
  <si>
    <t>1.social media head
2.kho kho winner</t>
  </si>
  <si>
    <t>Organised autocad Event</t>
  </si>
  <si>
    <t>https://preskilet.com/svombale@mitaoe.ac.in</t>
  </si>
  <si>
    <t>https://drive.google.com/open?id=1deToqIGjLfBCuQeWYuR1fMI3vlYXTXVs</t>
  </si>
  <si>
    <t>https://drive.google.com/open?id=1rgbh_PUZTOo4hezsx7FOCFUO5pVwXwQC</t>
  </si>
  <si>
    <t>https://drive.google.com/open?id=1WNxkm9kREgwDOluygj7Eakhqc2b5mmg-</t>
  </si>
  <si>
    <t>https://drive.google.com/open?id=1cTj2DY1Z71JcxCVVushprCKB-AMAZiOr</t>
  </si>
  <si>
    <t>https://drive.google.com/open?id=1YS4Hevag5xBdxfbWPzCI05Y69yOY44bB</t>
  </si>
  <si>
    <t>0220200022</t>
  </si>
  <si>
    <t>KUWARLAL</t>
  </si>
  <si>
    <t>BISEN</t>
  </si>
  <si>
    <t>mangeshbisen121@gmail.com</t>
  </si>
  <si>
    <t xml:space="preserve">mangesh.bisen@mitaoe.ac.in </t>
  </si>
  <si>
    <t>https://www.linkedin.com/mwlite/in/mangesh-bisen-548950218</t>
  </si>
  <si>
    <t>KUWARLAL BISEN</t>
  </si>
  <si>
    <t>ASHWINI BISEN</t>
  </si>
  <si>
    <t>Vayusena nagar,Nagpur 440023</t>
  </si>
  <si>
    <t xml:space="preserve">Basic of Phyton Infosys and Fundamental of phyton Infosys </t>
  </si>
  <si>
    <t>Anti collision system for Drones</t>
  </si>
  <si>
    <t>Cleaning machine</t>
  </si>
  <si>
    <t xml:space="preserve">Organized collage events at diploma collage </t>
  </si>
  <si>
    <t>https://drive.google.com/drive/folders/1GCR3H4h4m9ZNhhIlIRyj61alhj0-E4-C</t>
  </si>
  <si>
    <t>https://drive.google.com/open?id=1T0mpf027G7989gqrEqfgAlRZl-wt4BIa</t>
  </si>
  <si>
    <t>https://drive.google.com/open?id=1JP1Xo5d_KFZQS1rEfhOL0iwe7p-03ydh</t>
  </si>
  <si>
    <t>https://drive.google.com/open?id=106ekq6FqTgAsBBTjBaSsnOy0qo8SLzOS</t>
  </si>
  <si>
    <t>Cross check</t>
  </si>
  <si>
    <t>0120190280</t>
  </si>
  <si>
    <t>WAYKOS</t>
  </si>
  <si>
    <t>rohitwaykos8788@gmail.com</t>
  </si>
  <si>
    <t>https://www.linkedin.com/in/rohitwaykos</t>
  </si>
  <si>
    <t>MANGESH DAGDU WAYKOS</t>
  </si>
  <si>
    <t>SHEELA MANGESH WAYKOS</t>
  </si>
  <si>
    <t>N-11, C-1-14/1, Gajanan Nagar, Hudco, Tal. Aurangabad, Dist. Aurangabad, Maharashtra, 431001.</t>
  </si>
  <si>
    <t>Flat No. A4, Pragati Apartment, near, Nikhil Grocery, Dehu Phata, Alandi, 412105.</t>
  </si>
  <si>
    <t>1) Microsoft AI-900 - Microsoft Azure AI Fundamentals 
2) Microsoft AZ-900 - Microsoft Azure Fundamentals</t>
  </si>
  <si>
    <t xml:space="preserve">1)Autodesk CAD/CAM/CAE
 for Mechanical Engineering (Course on Coursera Platform). 
2) Python for Everybody. </t>
  </si>
  <si>
    <t>Autocad Training Program</t>
  </si>
  <si>
    <t xml:space="preserve">Design Intern at Creestaa Elevators India Pvt. Ltd. </t>
  </si>
  <si>
    <t xml:space="preserve">Title - Design of Evaporator for Solar Assisted Heat Pump. 
Description - 
1) The objective of the project is to design an evaporator for the solar assisted heat pump which is used for the heating applications.
2) The optimization of evaporator will be done for increasing coefficient of performance of overall heat pump cycle.
3) This device will be effectively used in conditions of low solar radiations with the help of forced convection.
</t>
  </si>
  <si>
    <t xml:space="preserve">1) First runner up in Finite Element Analysis (Ansys) Competition. </t>
  </si>
  <si>
    <t>1) Autocad Training Program (Internshala Platform) 
2) Introduction to CAD and 3D Modeling for Manufacturing (Autodesk Design Academy)</t>
  </si>
  <si>
    <t xml:space="preserve">1) Successfully organized 3D Modelling and quiz Competition in association with Autodesk at college level. 
</t>
  </si>
  <si>
    <t>https://preskilet.com/rohitwaykos8788@gmail.com</t>
  </si>
  <si>
    <t>https://drive.google.com/open?id=1vd1wbC1FM3ePmCMHvbRxUNuAYzZde5FJ</t>
  </si>
  <si>
    <t>https://drive.google.com/open?id=1Xspw5MXg-zuhxM8sxFwNSAC8nijDVPO9</t>
  </si>
  <si>
    <t>https://drive.google.com/open?id=1vCNdT6ophAGE5XBtbY37zbacV2VEGBsR</t>
  </si>
  <si>
    <t>https://drive.google.com/open?id=1XVqZZRsNn7SW9gKL_sJUs0-EocCpyLVE</t>
  </si>
  <si>
    <t>https://drive.google.com/open?id=1cbHL_kRBqJ4F2rR-kai39eob9lgE3Tsw</t>
  </si>
  <si>
    <t>Ty sgpa</t>
  </si>
  <si>
    <t>0120190276</t>
  </si>
  <si>
    <t>SAUMITRA</t>
  </si>
  <si>
    <t>NASHIKKAR</t>
  </si>
  <si>
    <t>nashikkar.saumitra@gmail.com</t>
  </si>
  <si>
    <t>www.linkedin.com/in/saumitra-nashikkar-573689211</t>
  </si>
  <si>
    <t>RAJESH NASHIKKAR</t>
  </si>
  <si>
    <t>YOGITA NASHIKKAR</t>
  </si>
  <si>
    <t>A-11/505, Planet Millennium Hsg. Soc., Kunal Icon Rd., Pimple Saudagar, Pune-411027</t>
  </si>
  <si>
    <t xml:space="preserve">Programming for Everybody (Getting Started with Python) University Of Michigan Certification </t>
  </si>
  <si>
    <t>Pratap Technocrats Pvt. Ltd.</t>
  </si>
  <si>
    <t>In-house Internship at MITAOE</t>
  </si>
  <si>
    <t xml:space="preserve">Student Support System - A platform to help students to figure out what future opportunities (Placements) they can avail on the basis of their academics and co-curricular performance </t>
  </si>
  <si>
    <t>Fusion 360, SolidWorks, CATIA, Adobe XD, Andriod Studio</t>
  </si>
  <si>
    <t>https://preskilet.com/watch?v=62b55cc2af4f2700045cdda6</t>
  </si>
  <si>
    <t>https://drive.google.com/open?id=1skMuXCykaX0ozBaLB_VFCA_V5he-nw9S</t>
  </si>
  <si>
    <t>https://drive.google.com/open?id=1FQnvtCxfNowL98vzsgsSr9L7oD-_aNbr</t>
  </si>
  <si>
    <t>https://drive.google.com/open?id=1PWbq6Pi0gyw2YPJ_tRFQVvB1WapiyBtk</t>
  </si>
  <si>
    <t>https://drive.google.com/open?id=1H1hlJj-Q-zWrBPq23dCaHfbjM8Mdem3o</t>
  </si>
  <si>
    <t>https://drive.google.com/open?id=1ejxaS66ZamYB5NQS7PO6P9uh919gcbAj</t>
  </si>
  <si>
    <t>https://drive.google.com/open?id=1mOMoauZOKzk_3JuMHDY3cyB6LmBQI9hI</t>
  </si>
  <si>
    <t>https://drive.google.com/open?id=1MbBc3oMa3WRWkzGenDxtobmU-x05V3gm</t>
  </si>
  <si>
    <t>Internship certificate because did not add FY Certification 
TY SEM V &amp;VI SGPA added after self calculations as directed</t>
  </si>
  <si>
    <t>0120190288</t>
  </si>
  <si>
    <t xml:space="preserve">ASHUTOSH </t>
  </si>
  <si>
    <t>GANDHEWAR</t>
  </si>
  <si>
    <t>ashutoshg2002@gmail.com</t>
  </si>
  <si>
    <t>https://www.linkedin.com/in/ashutosh-g-a50046216</t>
  </si>
  <si>
    <t>KAMAL GANDHEWAR</t>
  </si>
  <si>
    <t>CHANDRAKALA GANDHEWAR</t>
  </si>
  <si>
    <t>Pragati Nagar, Behind Smart Point, Kamptee, Nagpur</t>
  </si>
  <si>
    <t>Premsai Apartment, Moshi Alandi Road, Alandi</t>
  </si>
  <si>
    <t>Python Programmer Certification- Infosys Springboard</t>
  </si>
  <si>
    <t>Machine Learning Training by Internshala</t>
  </si>
  <si>
    <t>Internship at JSW Steel Coated Products Ltd.</t>
  </si>
  <si>
    <t>IOT Based Smart Farming</t>
  </si>
  <si>
    <t>AutoCAD, Fusion 360, CATIA, ANSYS, MATLAB, Blender</t>
  </si>
  <si>
    <t xml:space="preserve">1) Completed Python Programming Technical Certification
2) Taken part in College Autoport club- Team Niyudrath Racing (BAJA)
3) Conducted a national level Mathematics Event- CineMaths </t>
  </si>
  <si>
    <t xml:space="preserve">Bagged a Bronze honor in International Youth Math Challenge- IYMC 2021. Also received a special honor for submitting the solution in the digital format in the Qualifying Round. </t>
  </si>
  <si>
    <t>https://preskilet.com/62b53766af4f2700045cd942</t>
  </si>
  <si>
    <t>https://drive.google.com/open?id=11qMxFZEe9kUVTYs8g9U_0DjWbgwIHW5-</t>
  </si>
  <si>
    <t>https://drive.google.com/open?id=1z55-zENiMbWb69l_XMyzyQ8mnOdH1Di6</t>
  </si>
  <si>
    <t>https://drive.google.com/open?id=1erTsjEklpxh9QAHCkpQNL09ndrxICxbF</t>
  </si>
  <si>
    <t>https://drive.google.com/open?id=1LdmXqcX6BsQgenPrkWyHRz96KG4eDegb</t>
  </si>
  <si>
    <t>https://drive.google.com/open?id=19gvzsb-cIGALbWyZ3fQuSmLwnCwDjOfF</t>
  </si>
  <si>
    <t>https://drive.google.com/open?id=1fPJzGZA7kc7HLoHKqLU2sYuvglPx6jWt</t>
  </si>
  <si>
    <t>No Update</t>
  </si>
  <si>
    <t>0220200184</t>
  </si>
  <si>
    <t>GATLEWAR</t>
  </si>
  <si>
    <t>omkargatlewar03330@gmail.com</t>
  </si>
  <si>
    <t>https://www.linkedin.com/in/omkar-gatlewar-a06b65222</t>
  </si>
  <si>
    <t>RAJESH GATLEWAR</t>
  </si>
  <si>
    <t>SANGITA GATLEWAR</t>
  </si>
  <si>
    <t>Sadanand ward, khadakpura Umarkhed, dist. Yavatamal</t>
  </si>
  <si>
    <t>103 morya hills, Kale colony lane 2 Alandi 412105</t>
  </si>
  <si>
    <t>Infosys Springboard python</t>
  </si>
  <si>
    <t xml:space="preserve">Bhurewar Associates 
Design &amp; Manufacturing of Solar Table lamp.
Project Under Design Thinking Course Customized Chair </t>
  </si>
  <si>
    <t xml:space="preserve">sSany Heavy industry pvt. Ltd. India
Design devolopement &amp; analysis of belt conveyor system. </t>
  </si>
  <si>
    <t xml:space="preserve">Design devolopement &amp; analysis of belt conveyor system. </t>
  </si>
  <si>
    <t xml:space="preserve">Design devlopement &amp; analysis of belt conveyor system. </t>
  </si>
  <si>
    <t>AutoCAD, Fusion 360, SolidWorks, CATIA, ANSYS, MATLAB, Creo, APEX, NASTRAN, LOTUS SHARK.</t>
  </si>
  <si>
    <t>Participated in National event of Baja 
Participated in Technical Quiz Compitition 
Conducted Vehicle Dynamic Workshop</t>
  </si>
  <si>
    <t>ALL INDIA RANK 19 at SAE BAJA 2022</t>
  </si>
  <si>
    <t>Ganga Ice Factory
Bhurewar associates - Design intern</t>
  </si>
  <si>
    <t xml:space="preserve">https://preskilet.com/watch?v=62bdde9f9535010004fd2b5e </t>
  </si>
  <si>
    <t>https://drive.google.com/open?id=1tA3L5Y2V5JredMLSI3zq1HHi_3_E620S</t>
  </si>
  <si>
    <t>https://drive.google.com/open?id=1g7ywEE_KK75YOno5xcSIeY9a_8t3knWR</t>
  </si>
  <si>
    <t>https://drive.google.com/open?id=1kqLFdEhbRnZLQUBzoyVlLzekqUmdQFFP</t>
  </si>
  <si>
    <t>https://drive.google.com/open?id=1NquK8Xxq8GErf-XUTeO14RY4B9Bn7RBk</t>
  </si>
  <si>
    <t>https://drive.google.com/open?id=11xQPLjL6ir4marwRxJh3hICNdpyXYx8n</t>
  </si>
  <si>
    <t>https://drive.google.com/open?id=1fNMhJWGbrz0_6omqQV7PgaO6CFhJqGAo</t>
  </si>
  <si>
    <t>https://drive.google.com/open?id=1PIU4AI-RlT2AHrVkANzljPGq0bOWnQIi</t>
  </si>
  <si>
    <t>https://drive.google.com/open?id=1_lrqOW4gInYorQce5xUXDHlSwCoMBGzc</t>
  </si>
  <si>
    <t>Technical certification &amp; Am cat report because I have not submitted earlier</t>
  </si>
  <si>
    <t>0120190193</t>
  </si>
  <si>
    <t>abhishekpawar120401@gmail.com</t>
  </si>
  <si>
    <t>www.linkedin.com/in/abhishek-pawar-603b2323b</t>
  </si>
  <si>
    <t>MILIND PAWAR</t>
  </si>
  <si>
    <t>MADHAVI PAWAR</t>
  </si>
  <si>
    <t>Flat No - 607, Royal Residency, Morwadi, Behind Hotel Gharonda, Pimpri, Pune</t>
  </si>
  <si>
    <t>Oracle: Cloud Infrastructure 2022 Foundations Associate (1Z0-1085-22)</t>
  </si>
  <si>
    <t>Infosys: Programming Fundamentals using Python - Science Graduates - Foundation Program</t>
  </si>
  <si>
    <t>Infosys: Python Programmer Certification</t>
  </si>
  <si>
    <t>Project - Topology Optimization
In this project we worked for the topology optimization of a car brake handle for the overall weight reduction of the part.</t>
  </si>
  <si>
    <t>Internship at Shree Sai Enterprises
Working on Special Purpose Machines (SPM) Design and Manufacturing.</t>
  </si>
  <si>
    <t>Numerical investigation of airflow in the operating room by varying design parameters using CFD:- 
Studied the airflow over the patient and doctors in a operation theatre by varying the outlet locations. Aim was to select the case with maximum laminar flow.
Nonlinear analysis using Reduced Order Modelling
We are studying the process of ROM and how is it applied in various design software's.</t>
  </si>
  <si>
    <t>AutoCAD, Fusion 360, SolidWorks, CATIA, ANSYS, Proteus, MATLAB, Autodesk Inventor, MSC Apex, MSC Nastran-Patran</t>
  </si>
  <si>
    <t>Internshala: Fusion 360 Training
Altair: Getting started with Simulation
Autodesk Academy: Introduction to 3D Modeling for Manufacturing
MathWorks: MATLAB Onramp
Programming Fundamentals using Python - Science Graduates - Foundation Program
Coursera - Programming for Everybody (Getting Started with Python)
Coursera - Python Data Structures</t>
  </si>
  <si>
    <t>Third Position in FY in MATHS CLUB POSTER PRESENTATION</t>
  </si>
  <si>
    <t>https://preskilet.com/watch?v=62a383e5a6956a0004600575</t>
  </si>
  <si>
    <t>https://drive.google.com/open?id=1N6sZftljKGRDv_Bc7Me3BYEgQeq-r4Fc</t>
  </si>
  <si>
    <t>https://drive.google.com/open?id=17rlmgu3LGmU0Kcp1oWQl_BhgQ0XsyQ9I</t>
  </si>
  <si>
    <t>https://drive.google.com/open?id=1BtGm9iD0uG1Zz6_24IxPexlQ-_5oRjPd</t>
  </si>
  <si>
    <t>https://drive.google.com/open?id=1vFKLJL3I59_1qnpcSdZD1xJCt_TXB1N9</t>
  </si>
  <si>
    <t>https://drive.google.com/open?id=1DzfK_Ob3ozaqK2fBBVCsG6lGwcXqt40s</t>
  </si>
  <si>
    <t>https://drive.google.com/open?id=1GipBOAiyBhYtqCLOMx5m3RtsenQ7pHMJ</t>
  </si>
  <si>
    <t>Completed Oracle Certification recently</t>
  </si>
  <si>
    <t>0120190471</t>
  </si>
  <si>
    <t>ADINATH</t>
  </si>
  <si>
    <t>adibhise40@gmail.com</t>
  </si>
  <si>
    <t xml:space="preserve">abbhise@mitaoe.ac.in </t>
  </si>
  <si>
    <t>https://www.linkedin.com/in/adinath-bhise-424058210</t>
  </si>
  <si>
    <t>At post wangi bk, Tal. Majalagaon,  dist. Beed, Maharashtra, 431128</t>
  </si>
  <si>
    <t>Dehu fata,moshi-alandi road,alandi, Pimpri-Chinchwad, 412105</t>
  </si>
  <si>
    <t>Infosys Springboard : programming fundamentals using python</t>
  </si>
  <si>
    <t>Academy.autodesk.com: Introduction to CAD CAM and Practical CNC Machining for Milling
Academy.autodesk.com: Introduction to 3D Modeling 
Mathworks.com: Matlab Onramp
MIT ACADEMY OF ENGINEERING: Introduction to Finite Element Analysis using ansys 
SkILl-LYNC: Introduction to Structural Dynamics</t>
  </si>
  <si>
    <t xml:space="preserve">Project- Design and development of Horizontal axis wind turbine </t>
  </si>
  <si>
    <t>SIP- Saptasatij Industries Ptv.Ltd, chikhali,Pimpri-Chinchwad. 
It's a manufacturing company working on different Automobile related production. It manufacture Press Tools, Moulds, Jigs, Inspection and Welding Fixtures of up to 30 Tons.</t>
  </si>
  <si>
    <t>Project Name- Optimisation of machining parameters during Nimonic C-263 alloy turning</t>
  </si>
  <si>
    <t xml:space="preserve">District level cricket Player in Parbhani district cricket team
</t>
  </si>
  <si>
    <t>https://preskilet.com/watch?v=62a42f9f589aee0004d9837f</t>
  </si>
  <si>
    <t>https://drive.google.com/open?id=1edCmak4xs6t5eCTIlBtcD-y5TvbMhSLu</t>
  </si>
  <si>
    <t>https://drive.google.com/open?id=14zGWj_UHsA2mowC0ZGrCMfqORh-NbaAC</t>
  </si>
  <si>
    <t>https://drive.google.com/open?id=1IZ7EDXTMw76uS5ORjtcjdNpSAu5UMalR</t>
  </si>
  <si>
    <t>https://drive.google.com/open?id=1JteDl_2530sKqvY3yBoeJTTESCUJVuC1</t>
  </si>
  <si>
    <t>https://drive.google.com/open?id=1jZyGNDvBabuh35x7Xyw_-WKtQIfl-v1Q</t>
  </si>
  <si>
    <t>President video link has uploaded now because in old form I have uploaded drive link of the same video</t>
  </si>
  <si>
    <t>0120190363</t>
  </si>
  <si>
    <t>VAIDEHI</t>
  </si>
  <si>
    <t>NAGOLKAR</t>
  </si>
  <si>
    <t>vaidehinagolkar@gmail.com</t>
  </si>
  <si>
    <t>https://www.linkedin.com/in/vaidehi-nagolkar-42b94722b</t>
  </si>
  <si>
    <t>VINOD NAGOLKAR</t>
  </si>
  <si>
    <t>SANGITA NAGOLKAR</t>
  </si>
  <si>
    <t>SAI VIHAR COLONY, POPATKHED ROAD, AKOT, AKOLA</t>
  </si>
  <si>
    <t>C12, Heritage Complex, near Gajanan Maharaj Sansthan, Dehu Phata, ALANDI</t>
  </si>
  <si>
    <t>Programming Fundamentals using Python - Part 2 (INFOSYS springboard)</t>
  </si>
  <si>
    <t>1. Python for everybody by Coursera
2. Graphics Design</t>
  </si>
  <si>
    <t>1. Solidworks by Internshala
2. Autocad by Coursera</t>
  </si>
  <si>
    <t>In FY I did python certification course instead of internship.</t>
  </si>
  <si>
    <t>I did Graphic designing 2 months certification course. I scored 100% marks.</t>
  </si>
  <si>
    <t xml:space="preserve">Currently I am doing Solar P.V. installer certification course.
Also I am an intern at Krishigati PVT LTD. </t>
  </si>
  <si>
    <t>1. Krishigati Pvt Ltd.</t>
  </si>
  <si>
    <t>1. Language Coordinator: foreign language club
This is recently formed club (at most 6 month) were we participated in club mela of college to introduce our club to students. Not only that we also took few seminar on various languages like German, Japanese, Spanish and many more. People interested particular language are taking classes in college right now.
2. Member: Chess club</t>
  </si>
  <si>
    <t>1. 1st Runner Up in Throw ball match in intra collage competition as a team (2022)
2. 2nd Runner Up in Chess match in intra collage competition as a team (2022)
3. Won Chess match in intra collage competition as a team (2021)
4. Managed an Annual Program as an "Vice school caption" in my school days (2016)</t>
  </si>
  <si>
    <t>https://drive.google.com/drive/folders/11IYpwlcGr1W_Pm3PKAnitEwB_IZq-FC5?usp=sharing</t>
  </si>
  <si>
    <t>https://drive.google.com/open?id=1Y2pr8RvzCR8VHgRo_vapPQZHP8g_jNvR</t>
  </si>
  <si>
    <t>https://drive.google.com/open?id=122b5RedvQn0Ud0QqCOvqLbThGDYTaYoz</t>
  </si>
  <si>
    <t>https://drive.google.com/open?id=1BBRhpQ6dtdjzKMeWPWzHoh3QoOhbUB3l</t>
  </si>
  <si>
    <t>https://drive.google.com/open?id=1RhZUmlHxn6ay-bPRdq5p741JEJVN_XO4</t>
  </si>
  <si>
    <t>https://drive.google.com/open?id=1s70IMmq2Z7nYgpCTix9cqDgPu7FG4Umf</t>
  </si>
  <si>
    <t>I added my certification course certificate. Also I wanted to edit my documents but unable to edit it.</t>
  </si>
  <si>
    <t>0120190226</t>
  </si>
  <si>
    <t>SANJEEVAN</t>
  </si>
  <si>
    <t>rohannikam2804@gmail.com</t>
  </si>
  <si>
    <t>https://www.linkedin.com/in/rohan-nikam-973045214</t>
  </si>
  <si>
    <t>House no.271, near police chauki, jawalwadi 415012, tal. Jaoli, dis. satara</t>
  </si>
  <si>
    <t>Internshala certification:solidworks</t>
  </si>
  <si>
    <t>Internshala internship:solidworks</t>
  </si>
  <si>
    <t>Team NIYUDRATH RACING: baja team,mit-aoe</t>
  </si>
  <si>
    <t>Internship at ExploreVR LLP.</t>
  </si>
  <si>
    <t>Fabrication of custom continuous variable transmission</t>
  </si>
  <si>
    <t xml:space="preserve">AutoCAD, Fusion 360, SolidWorks, CATIA, ANSYS, Blender,adobe illustrator,3ds max </t>
  </si>
  <si>
    <t>1. College autosports team member from last 2 years
2. Have completed graphic design project for UK sports studio
3. Have been a part of startup exploreVR from last year</t>
  </si>
  <si>
    <t>https://preskilet.com/watch?v=62bdeac79535010004fd2ca8</t>
  </si>
  <si>
    <t>https://drive.google.com/open?id=1iIptalo1rqBoImoJDtqoML9J2NfpiqHW</t>
  </si>
  <si>
    <t>https://drive.google.com/open?id=1fs-gD99GIAFXTzCm3O5mto2hx0nSdFFn</t>
  </si>
  <si>
    <t>https://drive.google.com/open?id=1s1Jqfgf8Boh9F4DArM3RWwzy53hFRiFu</t>
  </si>
  <si>
    <t>certification,</t>
  </si>
  <si>
    <t>0120190295</t>
  </si>
  <si>
    <t>BHARAMBE</t>
  </si>
  <si>
    <t>sohambharambe9@gmail.com</t>
  </si>
  <si>
    <t>https://www.linkedin.com/in/soham77/</t>
  </si>
  <si>
    <t>SUNIL BHARAMBE</t>
  </si>
  <si>
    <t>NANDA BHARAMBE</t>
  </si>
  <si>
    <t>Sunil Bharambe, Bharambe wada, Near Water tank, Sakari, Bhusawal, 425307</t>
  </si>
  <si>
    <t>Golang Backend Developer Internship, Devops Internship</t>
  </si>
  <si>
    <t>Document verification and validation using blockchain using Go and JS</t>
  </si>
  <si>
    <t>Python, C/C++, Go</t>
  </si>
  <si>
    <t>PySide, PyQT</t>
  </si>
  <si>
    <t>vim, docker, kubernetes, postman</t>
  </si>
  <si>
    <t>Top 6 in DataThon 2022</t>
  </si>
  <si>
    <t>4 star on Codechef</t>
  </si>
  <si>
    <t>https://preskilet.com/watch?v=62a3477ea6956a00045ffd93</t>
  </si>
  <si>
    <t>https://drive.google.com/open?id=1Ep9uIdvq_AGbuW6J7vgXLM03cu4bfNKY</t>
  </si>
  <si>
    <t>https://drive.google.com/open?id=1sr5CXrMclONZ2E5v6rnafu7oJNCnFyXC</t>
  </si>
  <si>
    <t>https://drive.google.com/open?id=1_9wn5epCXkfmuRKnCL3wyJ8H-puOZq5P</t>
  </si>
  <si>
    <t>https://drive.google.com/open?id=1cB6qd5oQtBvCgp43mtZYvqFr1To4Rj76</t>
  </si>
  <si>
    <t>https://drive.google.com/open?id=1EiUxVXex4qQZjUpvDyAPDRtqNabfLqM3</t>
  </si>
  <si>
    <t>0120190224</t>
  </si>
  <si>
    <t>mangeshchavan8668@gmail.com</t>
  </si>
  <si>
    <t>https://www.linkedin.com/public-profile/settings</t>
  </si>
  <si>
    <t>SUBHASH EKNATH CHAVAN</t>
  </si>
  <si>
    <t>SHAILAJA SUBHASH CHAVAN</t>
  </si>
  <si>
    <t>CHICHONDI PATIL TAL.NAGAR DIST.AHMEDNAGAR, MAHARASHTRA 414201</t>
  </si>
  <si>
    <t>Programming Fundamentals using Python</t>
  </si>
  <si>
    <t>Design a rocker bogie with caterpillar mechanism</t>
  </si>
  <si>
    <t>IOT based smart hydroponic farming</t>
  </si>
  <si>
    <t>IOT based smart Hydroponic farming</t>
  </si>
  <si>
    <t>https://preskilet.com/mschavan@mitaoe.ac.in</t>
  </si>
  <si>
    <t>https://drive.google.com/open?id=10Qp-DPvREPCeQy5s3m-156vDkvr0UhBG</t>
  </si>
  <si>
    <t>https://drive.google.com/open?id=18x9MibD30ZZZIDeEzhTgCxlaVyEajXdh</t>
  </si>
  <si>
    <t>https://drive.google.com/open?id=1KpWeDEY3LFjd-BPa38St62-08IfTj2CY</t>
  </si>
  <si>
    <t>https://drive.google.com/open?id=1503hs1DcX3wJGvcGZqm23w9zv-_6K4k5</t>
  </si>
  <si>
    <t>https://drive.google.com/open?id=1jb4d6mJd42ovHz5_OwhM0B8d9j_JQ_hC</t>
  </si>
  <si>
    <t>https://drive.google.com/open?id=15eD3mHeuKAwg7YC0Mk0Dzr13Jqn82Kp9</t>
  </si>
  <si>
    <t>https://drive.google.com/open?id=1GeVudKjIPUasGKc0QpYTtqeFIV_YI0df</t>
  </si>
  <si>
    <t>Amcat Report , SGPA , Preskilet Link , Certificate</t>
  </si>
  <si>
    <t>0120190353</t>
  </si>
  <si>
    <t>TIRTHARAJ</t>
  </si>
  <si>
    <t>vishalpatil2352001@gmail.com</t>
  </si>
  <si>
    <t>https://www.linkedin.com/in/vishal-patil-b745a9220</t>
  </si>
  <si>
    <t>TIRTHARAJ VISHNU PATIL</t>
  </si>
  <si>
    <t>MEENA TIRTHARAJ PATIL</t>
  </si>
  <si>
    <t>AT MUNDKHEDE BK, POST - PATONDA, TAL- CHALISGAON, DIST - JALGAON, MAHARASHTRA.</t>
  </si>
  <si>
    <t>HINDAWI COLOCNY NO. - 2, OPPOSITE TO MIT ARTS, COMMERCE AND SCIENCE COLLEGE, ALANDI, TAL - KHED, DIST - PUNE.</t>
  </si>
  <si>
    <t>PYTHON PROGRAMMER CERTIFICATION</t>
  </si>
  <si>
    <t xml:space="preserve">AUTOCAD TRAINING </t>
  </si>
  <si>
    <t>PROGRAMMING FOR EVERYBODY (GETTING STARTED WITH PYTHON)</t>
  </si>
  <si>
    <t>AUTOCAD TRAINING PROGRAM</t>
  </si>
  <si>
    <t xml:space="preserve">MARKETING INTERN AT ATLAS COPCO INDIA </t>
  </si>
  <si>
    <t>DESIGN OF EVAPORATER FOR SOLAR ASSISTED HEAT PUMP</t>
  </si>
  <si>
    <t>SOCIAL MEDIA HEAD AT MITAOE IUCEE STUDENT CHAPTER</t>
  </si>
  <si>
    <t>SECURED THIRD POSITION IN INTERNSHALA TRAININGS AUTOCAD DESIGNER CHALLENGE</t>
  </si>
  <si>
    <t>AUTOCAD TRAINING</t>
  </si>
  <si>
    <t>https://preskilet.com/vtpatil@mitaoe.ac.in</t>
  </si>
  <si>
    <t>https://drive.google.com/open?id=1ThfU2VoxatoxrYiJgZeX7b6qwHcgr0cW</t>
  </si>
  <si>
    <t>https://drive.google.com/open?id=1rkb0kwT5Q7NR7005AqnyK04lQWlVQRNo</t>
  </si>
  <si>
    <t>https://drive.google.com/open?id=1Aj7K6ZbXbU8B2B__MwLiwxa9-Pz1lnGZ</t>
  </si>
  <si>
    <t>https://drive.google.com/open?id=13Gynt0J48YTZy0ZX7zSipNs4tr6zcBki</t>
  </si>
  <si>
    <t>https://drive.google.com/open?id=18EQjwl_eeZuWmSLbqsnvqjdObh0_k_jx</t>
  </si>
  <si>
    <t>https://drive.google.com/open?id=1jqWiX5eN1tb7qbfYUKnigDZjYVADfSr3</t>
  </si>
  <si>
    <t>0120190247</t>
  </si>
  <si>
    <t>TELANG</t>
  </si>
  <si>
    <t>DHANASHREE</t>
  </si>
  <si>
    <t>reetelang@gmail.com</t>
  </si>
  <si>
    <t>https://www.linkedin.com/in/dhanashree-telang-2331a0223</t>
  </si>
  <si>
    <t>NAGNATH TELANG</t>
  </si>
  <si>
    <t>MEENAKSHI TELANG</t>
  </si>
  <si>
    <t>Pimpalgaon, tq:Naigaon(bz),dist: Nanded, 431709</t>
  </si>
  <si>
    <t xml:space="preserve">Programming Fundamentals using python </t>
  </si>
  <si>
    <t>30 days of Google cloud,</t>
  </si>
  <si>
    <t>Python Programming for everyone (Coursera)</t>
  </si>
  <si>
    <t>Auto Cluster  Development and Research Institute</t>
  </si>
  <si>
    <t>Anti-collision System for Drones</t>
  </si>
  <si>
    <t>IYMC certificate</t>
  </si>
  <si>
    <t>Head of MAths Club And Vice President of Aalekh Arts Club</t>
  </si>
  <si>
    <t>https://preskilet.com/dntelang@mitaoe.ac.in</t>
  </si>
  <si>
    <t>https://drive.google.com/open?id=13dJf9BkXWARsX_hOru1o4KL0DQGAB6mr</t>
  </si>
  <si>
    <t>https://drive.google.com/open?id=1tiCds-E7DM1wehhgYU6FZjXrM7e-5yX7</t>
  </si>
  <si>
    <t xml:space="preserve">The preskillet video link was updated, beacuse I had submitted a drive link for the video resume.
</t>
  </si>
  <si>
    <t>PRASAD</t>
  </si>
  <si>
    <t>WAKCHAURE</t>
  </si>
  <si>
    <t>prasadwakchaure563@gmail.com</t>
  </si>
  <si>
    <t>https://www.linkedin.com/in/prasad-wakchaure-282b4823a</t>
  </si>
  <si>
    <t>KAILAS LAXMAN WAKCHAURE</t>
  </si>
  <si>
    <t>SANGITA KAILAS WAKCHAURE</t>
  </si>
  <si>
    <t>FLAT NO. A4, BALAJI BLOSSOMS, VINAYAK NAGAR, DINDORI ROAD, MHASRUL, NASHIK.</t>
  </si>
  <si>
    <t>FLAT NO. 410, PREMSAI APARTMENT, NEAR GAJANAN MAHARAJ TEMPLE, ALANDI, PUNE.</t>
  </si>
  <si>
    <t>#1. Infosys Springboard -  Fundamentals Programming of Python. #2. C Program language.</t>
  </si>
  <si>
    <t>1. Infosys Springboard - Basic Python
2. R. Solutions Pvt. Ltd - SAP S4 Hana (SAP 01)</t>
  </si>
  <si>
    <t>1. Infosys Springboard - Advance in Python
2. Solid Works 
3. C++</t>
  </si>
  <si>
    <t>1. 06 weeks Internship at Strama Summit Machinery Pvt. Ltd. Located at ambad MIDC, Nashik
2. 02 Months Internship at Samsun Engineers Pvt. Ltd. Malegaon MIDC, Sinnar, Nashik.
3. 03 Months Internship at SharpTech Engineering located at Satpur MIDC, Nashik.</t>
  </si>
  <si>
    <t>1. Pursuing online internship at YBI foundation in the domain of python Programming.
2. Pursuing offline internship at Jivi industries in Nashik.</t>
  </si>
  <si>
    <t>1. Solar Rechargeable Electric Scooter - Jitendra Mahindra EV Tech Pvt. Ltd. (Nashik)
2. Automated Pesticide Sprayer - Samsun Engineers Pvt. Ltd. (Nashik)
3. Air Ventilated PPE Kit.</t>
  </si>
  <si>
    <t>Solar Rechargeable Electric Scooter</t>
  </si>
  <si>
    <t>AutoCAD, Fusion 360, SolidWorks, CATIA, ANSYS, MATLAB, Creo, Comsol</t>
  </si>
  <si>
    <t>1. Project Exhibition - K. K. wagh Polytechnic - Runner Up
2. Robo Race: Sandip Foundation - 1st rank
3. Paper Presentation - K. K. wagh Polytechnic - 2nd rank
4. Robo race: K. K. Wagh Polytechnic - 1st Rank</t>
  </si>
  <si>
    <t>1. State Level Kabaddi Certification.
2. Rajya Puraskar through Scout/Guide Organization, Nashik.</t>
  </si>
  <si>
    <t>1. Implant Training - Strama Summit Machinery Pvt. Ltd, Ambad MIDC, Nashik
2. Paid Training - Samsun Engineers Pvt. Ltd, Sinner - Malegaon MIDC, Nashik
3. Free Training - Sharp Tech Engineering, Satpur MIDC, Nashik</t>
  </si>
  <si>
    <t>1. Robotics (Robocon)  Workshop.
2. Career Opportunity Seminar.
3. MDM (Multiple Decision Making) Seminar.
4. Sap 01 Training Program.</t>
  </si>
  <si>
    <t>https://preskilet.com/watch?v=62b95ebf39d9950004b93039</t>
  </si>
  <si>
    <t>https://drive.google.com/open?id=1PlQ7mkhzrRJEGDZWgPcKeE-ZZnNcl_gw</t>
  </si>
  <si>
    <t>https://drive.google.com/open?id=11mai2Z2Az1XMY_BEOr7tzE4XRuYU1nWH</t>
  </si>
  <si>
    <t>https://drive.google.com/open?id=1Yu2sUGQ0pvm8u_9LbxSSAxIoT3u3qNeh</t>
  </si>
  <si>
    <t>https://drive.google.com/open?id=1jYtwjuWgIz2ky98R-oHNHar1HfYQC5q7</t>
  </si>
  <si>
    <t>https://drive.google.com/open?id=1GQb6J-9bDvJXOZOBuzE2HdGTvSEJtHWn</t>
  </si>
  <si>
    <t>https://drive.google.com/open?id=1u-cAxdbXMzP8Tx1iaaeKwdhoCsPwYBz8</t>
  </si>
  <si>
    <t>https://drive.google.com/open?id=1Q8W5PWbBCdv8aUgMEJPnHGt2XHsReOwe</t>
  </si>
  <si>
    <t>https://drive.google.com/open?id=1g8OgMlBOzswkf2TUxI0HnyoGb4OcWPOv</t>
  </si>
  <si>
    <t>Now, I Added TY Amcat result Because before some days result was not downloading...</t>
  </si>
  <si>
    <t>0220200094</t>
  </si>
  <si>
    <t>AKHTAR</t>
  </si>
  <si>
    <t>SAYYED</t>
  </si>
  <si>
    <t>aminsayyed313786@gmail.com</t>
  </si>
  <si>
    <t>www.linkedin.com/in/amin-sayyed-06a62520b</t>
  </si>
  <si>
    <t>ASHAMA</t>
  </si>
  <si>
    <t xml:space="preserve">Opp. Telephone Exchange, Fort Area, Miraj, Sangli, Maharashtra </t>
  </si>
  <si>
    <t>Dhanajay Boys Hostel, Hindvi colony no.2, Dehu Phata, Alandi, Pune</t>
  </si>
  <si>
    <t>Introduction to Programing Using Python</t>
  </si>
  <si>
    <t>Diploma internship of 6 weeks in Mahabal Metals Pvt. Ltd.</t>
  </si>
  <si>
    <t>10 week internship on Robot Process Automation</t>
  </si>
  <si>
    <t>2 months internship in Auto cluster Devlopment and Research Institute Pune</t>
  </si>
  <si>
    <t>Design and Manufacturing of cost effective Hand Exoskeleton</t>
  </si>
  <si>
    <t>AutoCAD, Fusion 360, CATIA, ANSYS, MATLAB, Comsol</t>
  </si>
  <si>
    <t>1. First runner up in Search and distroy (The line followers robot) 
2. Member of MITAERO Club
3. Participated in Robo race and squid ditch ( Equilibrium)</t>
  </si>
  <si>
    <t xml:space="preserve">First runner up in Search and distroy (The line followers robot) </t>
  </si>
  <si>
    <t>https://preskilet.com/amin.sayyed@mitaoe.ac.in</t>
  </si>
  <si>
    <t>https://drive.google.com/open?id=16fm5Gk3duRLkHiHCsF_65Zp_N8xlPiYK</t>
  </si>
  <si>
    <t>https://drive.google.com/open?id=1Y6SIHtLhRuRj9PjiZoARqmxxFmWzdKgr</t>
  </si>
  <si>
    <t>https://drive.google.com/open?id=1_oYOhNdyrF9vOfTJbM0aMdehG54hof6e</t>
  </si>
  <si>
    <t>https://drive.google.com/open?id=1M01vMJxGS3RO-HrQlpQh9voTrJ4njeYE</t>
  </si>
  <si>
    <t>https://drive.google.com/open?id=1NW7zEUcn5dTMw0orKM1liE-uSC30y663</t>
  </si>
  <si>
    <t>https://drive.google.com/open?id=16fhypfpEpoUIAy2cCP_9otx5X69zQjMy</t>
  </si>
  <si>
    <t>0120190509</t>
  </si>
  <si>
    <t>HRISHIKESH</t>
  </si>
  <si>
    <t>JATHAR</t>
  </si>
  <si>
    <t>jatharhrishikesh93@gmail.com</t>
  </si>
  <si>
    <t>https://www.linkedin.com/in/hrishikesh-jathar-2b8b0a243</t>
  </si>
  <si>
    <t>VIKAS VITHOBA JATHAR</t>
  </si>
  <si>
    <t>MANJIRI VIKAS JATHAR</t>
  </si>
  <si>
    <t>Vaibhav Vihar Complex A-102,Malnaka,Ratnagiri</t>
  </si>
  <si>
    <t>Microsoft Azure AI 900</t>
  </si>
  <si>
    <t>Introduction to Python</t>
  </si>
  <si>
    <t>Networking and Security Architecture with VMware NSX</t>
  </si>
  <si>
    <t>Aryan Technologies</t>
  </si>
  <si>
    <t>Solar Powered Wheelchair</t>
  </si>
  <si>
    <t>Yoga and Meditation</t>
  </si>
  <si>
    <t>https://preskilet.com/watch?v=62bc6a865493430004e5efd4</t>
  </si>
  <si>
    <t>https://drive.google.com/open?id=13m4kAJMYiSpA9gxjUtSFbU_aYYyfr6nV</t>
  </si>
  <si>
    <t>https://drive.google.com/open?id=1MkJtJXi3m_dKW7UMfIdqqhCeZsklkM6P</t>
  </si>
  <si>
    <t>https://drive.google.com/open?id=1etlaPfF2jRleNCZ6GhUEtgjj__ZChhA-</t>
  </si>
  <si>
    <t>https://drive.google.com/open?id=1VVHpyogso_bLpkebnqbIrjGfZHOx_Adv</t>
  </si>
  <si>
    <t>preskilet video and amcat report</t>
  </si>
  <si>
    <t>0120190517</t>
  </si>
  <si>
    <t xml:space="preserve">ANIRHUDHA </t>
  </si>
  <si>
    <t xml:space="preserve">SUDHAKAR </t>
  </si>
  <si>
    <t>KARAD</t>
  </si>
  <si>
    <t>akarad2002@gmail.com</t>
  </si>
  <si>
    <t xml:space="preserve">anirhudhakarad@mitaoe.ac.in </t>
  </si>
  <si>
    <t>https://www.linkedin.com/in/aniruddha-karad-934a86153</t>
  </si>
  <si>
    <t>SUDHAKAR SUDHAKAR KARAD</t>
  </si>
  <si>
    <t>AT POST PATOLE TAL SINNAR DIST NASHIK 422103</t>
  </si>
  <si>
    <t>DEHU PHATA ALANDI PUNE MAHARASHTRA 412105</t>
  </si>
  <si>
    <t>Infosys Springboard : Python Programmer</t>
  </si>
  <si>
    <t>Programming for Everybody (Getting Started with Python) from Coursera</t>
  </si>
  <si>
    <t>Eight Week Training On Ansys From Intern Shala Training</t>
  </si>
  <si>
    <t>Company Name: KSB.LTD
Domain :Operation Department
Duration: 20 June 2022 - 19 July 2022(One Month)</t>
  </si>
  <si>
    <t>Solar Electric Vehicle</t>
  </si>
  <si>
    <t>1.Attend workshop and certified on Three days National Level Workshop On “Introduction to Finite
Element Analysis using ANSYS” Organized By “School of
Mechanical &amp; Civil Engineering, MIT Academy of Engineering, Alandi (D), Pune”
2.Attended workshop and certified on "Two days’ National Level Workshop on “Multi Criteria Decision Making (MCDM) methods”
3.Attend workshop and certified “Startup Boot Camp” organised by “E-Cell MIT Academy of
Engineering”.</t>
  </si>
  <si>
    <t>Participated in drawing competitions and Kho-Kho Sport</t>
  </si>
  <si>
    <t>https://preskilet.com/watch?v=62bc69715493430004e5efce</t>
  </si>
  <si>
    <t>https://drive.google.com/open?id=11J0OFswGHvPnBXSfwhH4JzkWmrymPanL</t>
  </si>
  <si>
    <t>https://drive.google.com/open?id=1ElgBYz-6fWX738qD0BorDUUxw30VT3xl</t>
  </si>
  <si>
    <t>https://drive.google.com/open?id=1-ckoJ9G9ZQCUxQotR6ApZL-aYBJ9iLui</t>
  </si>
  <si>
    <t>https://drive.google.com/open?id=1NBVMfEFPD0BzUr258q6C7CobusUGkq9C</t>
  </si>
  <si>
    <t>https://drive.google.com/open?id=1qkV0gn40BCrgxBcCFFk3SDgcIkPiTsky</t>
  </si>
  <si>
    <t>https://drive.google.com/open?id=1Lp7kfGRjD_kfVKZIjKNoddx5SJnsBFy2</t>
  </si>
  <si>
    <t>Amcat report uploaded
Marksheet updated copy uploaded</t>
  </si>
  <si>
    <t>0120190599</t>
  </si>
  <si>
    <t xml:space="preserve">PRUTHVIRAJE </t>
  </si>
  <si>
    <t>DADA</t>
  </si>
  <si>
    <t xml:space="preserve">DESHMUKH </t>
  </si>
  <si>
    <t>shubhamdeshmukh441@gmail.com</t>
  </si>
  <si>
    <t xml:space="preserve">pddeshmukh@mitaoe.ac.in </t>
  </si>
  <si>
    <t>https://www.linkedin.com/in/pruthviraje-deshmukh-069a06213/</t>
  </si>
  <si>
    <t>ISHWAR WATHAR , POST -TUNGAT  TAL- PANDHARPUR  DIST- SOLAPUR</t>
  </si>
  <si>
    <t>DEHU PHATA , ALANDI</t>
  </si>
  <si>
    <t>Microsoft Azure Data fundamentals</t>
  </si>
  <si>
    <t>Introduction to Cloud Identity by Coursera
Programming for everybody by Coursera</t>
  </si>
  <si>
    <t>Networking and security architecture with VMware NSX by coursera</t>
  </si>
  <si>
    <t>SANY (R&amp;D)</t>
  </si>
  <si>
    <t>Solar Electric vehicle</t>
  </si>
  <si>
    <t xml:space="preserve">CODING NINJA WORKSHOP
TWO DAYS NATIONAL LEVEL WORKSHOP ON MCDM
GOOGLE WORKSHOP </t>
  </si>
  <si>
    <t>https://preskilet.com/watch?v=62a38ae6a6956a0004600712</t>
  </si>
  <si>
    <t>https://drive.google.com/open?id=1iVXG_XVKinF2MQcYkevdCzu53GqQgrO3</t>
  </si>
  <si>
    <t>https://drive.google.com/open?id=1GZF_DVGwDDmVHxbkhwR9o5gnUPIu_0NC</t>
  </si>
  <si>
    <t>https://drive.google.com/open?id=1CTdewbowJ9fLCSGtOOEtycEvNkVJT66z</t>
  </si>
  <si>
    <t>https://drive.google.com/open?id=1Z2T0iexpwDC6lr_Fwwjv08VOgXh4Rhts</t>
  </si>
  <si>
    <t>https://drive.google.com/open?id=1Qu9k-KSi7p9wYxbOObZINFo7cUTbmykH</t>
  </si>
  <si>
    <t>https://drive.google.com/open?id=1815_8W9ucv1KBhf72oS9EQhpc_RE0q8n</t>
  </si>
  <si>
    <t>sy amcat report and ty internship details</t>
  </si>
  <si>
    <t>0120190319</t>
  </si>
  <si>
    <t>sayalichaudhari2212@gmail.com</t>
  </si>
  <si>
    <t>www.linkedin.com/in/sayali-chaudhari-689ab91b4</t>
  </si>
  <si>
    <t>SANJAY CHAUDHARI</t>
  </si>
  <si>
    <t>YOGITA SANJAY CHAUDHARI</t>
  </si>
  <si>
    <t>Near Kothale (Eye Specialist) Hospital, Tilakwadi, Yavatmal.</t>
  </si>
  <si>
    <t>Malhar girls hostel, Dehuphata, Alandi, pune.</t>
  </si>
  <si>
    <t>Microsoft AI-900: Microsoft Azure Data Fundamentals</t>
  </si>
  <si>
    <t>Internship at MITAeromodelling Club where learned about basics of design and development of RC Planes and drones.</t>
  </si>
  <si>
    <t xml:space="preserve">6 months Internship  at Evolving X services private limited as Product Design Intern where the team was working on Virtual Reality. </t>
  </si>
  <si>
    <t>Machine Learning Intern at Feynn labs Services. Here, one Individual project and two team projects working on AI product prototype Ideation and development also the market segmentation using data analysis and Machine learning.</t>
  </si>
  <si>
    <t>Collision Detection algorithm for Vehicles with autonomous External Airbag system.</t>
  </si>
  <si>
    <t>Python, C/C++, HTML5, Structured Query Language (SQL)</t>
  </si>
  <si>
    <t>Fusion 360, CATIA, ANSYS, Blender</t>
  </si>
  <si>
    <t>1. Secretary of IUCEE Student Chapter MITAOE
2. Member of MITAeromodelling Club
3. Participated in SAE ISS Aerodesign Challenge 2021</t>
  </si>
  <si>
    <t xml:space="preserve">
1.Participated in DATATHON 2022 Competition and team secured 8th rank.
2.Participated in Boeing National Aeromodelling Competition held at Techfect IIT Bombay (2020) and team secured position in top 30.</t>
  </si>
  <si>
    <t>1. Participated in Social Annual Gathering(Dance).
2. Participated in Intracollege Carrom and Chess Tournaments.</t>
  </si>
  <si>
    <t>https://preskilet.com/sschaudhari@mitaoe.ac.in</t>
  </si>
  <si>
    <t>https://drive.google.com/open?id=1V3ljoQ-EqrqZ6V7RnOLTitTvxh2xB4cb</t>
  </si>
  <si>
    <t>https://drive.google.com/open?id=17GYxol48v8s01w89YNyVR2cMF8TvBxba</t>
  </si>
  <si>
    <t>https://drive.google.com/open?id=1zPbgtuxFz9SLjzhzBPp6nuuWw4QsFHeE</t>
  </si>
  <si>
    <t>https://drive.google.com/open?id=1F54oHj2wXKR7jVzVqZJZAgeAHnOKOlxr</t>
  </si>
  <si>
    <t>https://drive.google.com/open?id=18EdhHVUHH20M6J2lieQC9aOdxqgn-RZa</t>
  </si>
  <si>
    <t>https://drive.google.com/open?id=1tTWyh3t5zh93YNB4twK9ZnH4Miw75GDG</t>
  </si>
  <si>
    <t>https://drive.google.com/open?id=1Y3OPRtKPQgufqbJWY-8scfA6v41W7MRu</t>
  </si>
  <si>
    <t>https://drive.google.com/open?id=1LfvKAEsyyIrm7xABPY9AzT8scXpLCYpE</t>
  </si>
  <si>
    <t>https://drive.google.com/open?id=1p-sWAPnxdHpsI-LhE6Ckd3pWrdxvEHvq</t>
  </si>
  <si>
    <t>https://drive.google.com/open?id=1jrhrnEoAO1_t-DfpUODssLopA3y7Uw2j</t>
  </si>
  <si>
    <t>https://drive.google.com/open?id=1Ttk0cjIgryKYzihQbzrESotBa6ELqXJF</t>
  </si>
  <si>
    <t>I updated the AMCAT SY and TY result reports. Previously, I had added the Screenshot of Score as Reports was not Available.</t>
  </si>
  <si>
    <t>0220200041</t>
  </si>
  <si>
    <t xml:space="preserve">SHUBHAM </t>
  </si>
  <si>
    <t>DHARMRAJ</t>
  </si>
  <si>
    <t>CHOUGULE</t>
  </si>
  <si>
    <t>shubhamchougule2001@gmail.com</t>
  </si>
  <si>
    <t>https://www.linkedin.com/in/chougule-mechanical-2345121a9</t>
  </si>
  <si>
    <t>DHARMRAJ ANANT CHOUGULE</t>
  </si>
  <si>
    <t>PRIYANKA DHARMRAJ CHOUGULE</t>
  </si>
  <si>
    <t>KShitij- vihar society , A/P Shikrapur, Tal: Shirur, Dist: Pune, PIN: 412208</t>
  </si>
  <si>
    <t>"Infosys Springboard- Programming Fundamentals using Python - Science Graduates - Foundation Program"</t>
  </si>
  <si>
    <t>"Infosys Springboard-Programming Fundamentals using Python - Part 1"
"Mathworks - Matlab Onrampl"</t>
  </si>
  <si>
    <t>" Infosys Springboard : Python Programmer Certification"</t>
  </si>
  <si>
    <t>Project: Ergonomic Analysis Using Digital Human Modelling.</t>
  </si>
  <si>
    <t>SIP at GREEN SHUTTLE TECHNOLOGY PRIVATE LIMITED for 2 months</t>
  </si>
  <si>
    <t xml:space="preserve">DIPLOMA:- Design of Mini Jaggery Plant ( Sponsored by Engineering Cluster, Pimpri chinchwad)
B.Tech:- Selection of Refrigerant for domestic refrigerator using MADM Technique (AHP, TOPSIS, MOORA, COPRAS) </t>
  </si>
  <si>
    <t>Completed session on 'MADM Technique' and got certificate.
Completed session on 'Fusion 360'</t>
  </si>
  <si>
    <t>2 months training of Electrical wiring of Electric Vehicle in Green Shuttle private LTD.</t>
  </si>
  <si>
    <t>https://preskilet.com/watch?v=62a380eea6956a00046004fc</t>
  </si>
  <si>
    <t>https://drive.google.com/open?id=19P5LQBgdrEcKHKpv9T9FXzEiRMy1vXvN</t>
  </si>
  <si>
    <t>https://drive.google.com/open?id=1OYh9USurnhCqo9tcKft64sDyh5hAOacq</t>
  </si>
  <si>
    <t>https://drive.google.com/open?id=16_qU5NpGJRqyIKim-M7keAyuU3Q_C-P-</t>
  </si>
  <si>
    <t>https://drive.google.com/open?id=1Bl7HaLpaLWPG06iy_-MVL_CQGtHORKIm</t>
  </si>
  <si>
    <t>https://drive.google.com/open?id=1mMrwPPB_1FoLMsP22l7_6a31_uKznVag</t>
  </si>
  <si>
    <t>0120190398</t>
  </si>
  <si>
    <t>NIHAL</t>
  </si>
  <si>
    <t>SIKANDER</t>
  </si>
  <si>
    <t>MULLA</t>
  </si>
  <si>
    <t>nihalmulla18122000@gmail.com</t>
  </si>
  <si>
    <t>linkedin.com/in/nihal-mulla-b5b58b1a7</t>
  </si>
  <si>
    <t>SIKANDER RASUL MULLA</t>
  </si>
  <si>
    <t>HASINA SIKANDER MULLA</t>
  </si>
  <si>
    <t>E6,GULMOHAR HOUSING SOCIETY, RAVINDRANAGAR, KARWANCHIWADI, RATNAGIRI - 415 639</t>
  </si>
  <si>
    <t>SHEERSAI BOYS HOSTEL, NEAR ATHITHI HOTEL, DEHU PHATA, ALANDI, PUNE - 412 105</t>
  </si>
  <si>
    <t>Infosys Springboard : Programming Fundamentals using Python</t>
  </si>
  <si>
    <t>1)UNIVERSITY OF MICHIGAN : Programming for Everybody (Getting Started with
Python)
2)UNIVERSITY OF MICHIGAN : Python Data Structures
3)IAUTODESK Design Academy : Introduction to 3D Modeling
3)SMARTINTERNZ : Tableau DataViz Challenge 2021
4)MathWorks : MatLab Onramp</t>
  </si>
  <si>
    <t>Catia Certification Course from Saptasati Industries pvt. ltd.</t>
  </si>
  <si>
    <t>In GoKart : An Autosports club</t>
  </si>
  <si>
    <t>At Saptasati Industries pvt. Ltd.</t>
  </si>
  <si>
    <t>Controlling of Multiple Manipulators using Single Control unit</t>
  </si>
  <si>
    <t>1)Go Kart : An Autosports club
2)Intellectual Property Office, India : IP Awareness/Training program</t>
  </si>
  <si>
    <t>1)Wisdomatic Swarms Edgeline Go Kart Championship S01 &amp; S02
2) IKR (Indian Karting Race ) S07 2022 - IC category
3) IKC (Indian Karting Championship) S05 2022 - EV category
4)Carrom Boys in Nakshatra(Annual gathering) from Mechanical department - Runner Up
5)Football Team  FY and TY in Annual Sports Meet</t>
  </si>
  <si>
    <t>https://preskilet.com/nihalmulla18122000@gmail.com</t>
  </si>
  <si>
    <t>https://drive.google.com/open?id=1VZjoWVUC6aj5KWOuw1nn4qIZbf0prfY9</t>
  </si>
  <si>
    <t>https://drive.google.com/open?id=1Msmp9ZGozq-ObLmECdn_PcWNAUvoTyGA</t>
  </si>
  <si>
    <t>https://drive.google.com/open?id=1T8p_3rzyvBHCWymhDzPXNKy8Fd5BRSgK</t>
  </si>
  <si>
    <t>https://drive.google.com/open?id=1WqHD_681veG7ImSu7lkQsVCxJw2EpJEC</t>
  </si>
  <si>
    <t>https://drive.google.com/open?id=1rMmpTVM1_ks_IDPc3CBPO7Jja4sENARu</t>
  </si>
  <si>
    <t>https://drive.google.com/open?id=1Z-Y1WnIyWqnNhM6PticljvgBw2U2LrBm</t>
  </si>
  <si>
    <t>https://drive.google.com/open?id=1ICnhN7XAJVFvFEt8ylyVfruXHA_aym4y</t>
  </si>
  <si>
    <t>https://drive.google.com/open?id=1PGgBg5ht5PIcMbzLl-WSecNPyjqCd_m_</t>
  </si>
  <si>
    <t>https://drive.google.com/open?id=15XAUQh6H4rJEBX5dcWACoH4b6gcTjUpP</t>
  </si>
  <si>
    <t>0220200222</t>
  </si>
  <si>
    <t>URMODE</t>
  </si>
  <si>
    <t>shubhamurmode2244@gmail.com</t>
  </si>
  <si>
    <t>https://www.linkedin.com/in/shubham-urmode-5128b122a/</t>
  </si>
  <si>
    <t>At. chobhe pipari, Post- Dhavlas, Tal- Madha, Dist. - solapur, maharashtra, 413208.</t>
  </si>
  <si>
    <t>PB boys hostel, hindavi colony, road no. 2, dehu phata, Alandi.</t>
  </si>
  <si>
    <t>infosys : introduction to python</t>
  </si>
  <si>
    <t>infosys : programing fundamentals using python - science graduate - foundation program</t>
  </si>
  <si>
    <t>DESIGN AND ANALYSIS OF HELICAL COIL HEAT EXCHANGER</t>
  </si>
  <si>
    <t>ROBOTICS CLUB MITAOE  DD ROBOCON 2022:  Design of bots for given problem statement its manufacturing  and representing college in final stage of dd robocon organized IIT delhi.</t>
  </si>
  <si>
    <t>DD ROBOCON</t>
  </si>
  <si>
    <t>PRONY BRAKE DYNAMOMETER
ANALYSIS OF HEAT TRANSFER IN GAS SOLID FLUIDIZED BED USING MACHINE LEARNING</t>
  </si>
  <si>
    <t>Fusion 360, SolidWorks, CATIA, ANSYS, MATLAB</t>
  </si>
  <si>
    <t>EVENT CO-ORDINATOR OF NATIONAL LEVEL ROBOTICS- EQUILLIBRIUM.</t>
  </si>
  <si>
    <t>NATIONAL LEVEL DD ROBOCON STAGE 1 DESIGN: 99/100
DD ROBOCON SECOND STAGE : 94/100
SELECTED FOR FINAL STAGE.</t>
  </si>
  <si>
    <t>WON INTERDEPARMENT KHO-KHO COMPETITION,
ORGANISED ROBOTICS WORKSHOP ,
PARTICIPATED IN EQUILLIBRIUM ROBOTICS COMPETITION.</t>
  </si>
  <si>
    <t>https://preskilet.com/shubham.urmode@mitaoe.ac.in</t>
  </si>
  <si>
    <t>https://drive.google.com/open?id=17kIM2UgZJsBnh_zswFWA9FaXmJcjVOFi</t>
  </si>
  <si>
    <t>https://drive.google.com/open?id=1XI4m-I7Od0hviKLWycXgzWMB9sYH8EH2</t>
  </si>
  <si>
    <t>https://drive.google.com/open?id=1jsOm5umKFj0DOPP053CJL40NGvxPOinY</t>
  </si>
  <si>
    <t>https://drive.google.com/open?id=1c7hykpcyTqA_FY2mitTcKPYx08zD51jJ</t>
  </si>
  <si>
    <t>https://drive.google.com/open?id=1DHAgg_AvxCZenJNSzBtQn_0Rv230HY-2</t>
  </si>
  <si>
    <t>0120190200</t>
  </si>
  <si>
    <t>BHIMANAND</t>
  </si>
  <si>
    <t>BANSOD</t>
  </si>
  <si>
    <t>yashbansod38@gmail.com</t>
  </si>
  <si>
    <t>https://www.linkedin.com/feed/?trk=onboarding-landing</t>
  </si>
  <si>
    <t>BHIMANAND VITTHALRAO BANSOD</t>
  </si>
  <si>
    <t>SUNITA BHIMANAND BANSOD</t>
  </si>
  <si>
    <t>devi police line, gandhi road ,Akola</t>
  </si>
  <si>
    <t xml:space="preserve">Alandi ,pune </t>
  </si>
  <si>
    <t>Google : Fundamentals of digital marketing</t>
  </si>
  <si>
    <t>Infyspringboard : React Associate Developer
Internshala Trainings : Node.js</t>
  </si>
  <si>
    <t xml:space="preserve">SY project </t>
  </si>
  <si>
    <t>Accio Job</t>
  </si>
  <si>
    <t>Affordable And Innovative Crop Protector</t>
  </si>
  <si>
    <t>Fusion 360, ANSYS</t>
  </si>
  <si>
    <t xml:space="preserve">Everyday python course
</t>
  </si>
  <si>
    <t>Node.js  provided by Intershala</t>
  </si>
  <si>
    <t xml:space="preserve">AjaanVriksha club </t>
  </si>
  <si>
    <t>https://preskilet.com/watch?v=62b54e65af4f2700045cdbae</t>
  </si>
  <si>
    <t>https://drive.google.com/open?id=1VPd8fruoj6L2hKobdVfo3EA4NTYgAnXy</t>
  </si>
  <si>
    <t>https://drive.google.com/open?id=1PE8lHYVcC0jzvkB7mnMdJHxYoZS6xxoI</t>
  </si>
  <si>
    <t>https://drive.google.com/open?id=1Tk1tO9Vgf0CewhMdyuXfDqv2Wej_UdfO</t>
  </si>
  <si>
    <t>https://drive.google.com/open?id=1UTXTkrsIgdmWaFhUCDAHkkpJGOmMrY0I</t>
  </si>
  <si>
    <t>https://drive.google.com/open?id=1C3VK_kMvUwZMCx8WO6DYH9-zyfPZRH-b</t>
  </si>
  <si>
    <t>0120190227</t>
  </si>
  <si>
    <t>RAJKUMAR</t>
  </si>
  <si>
    <t>kaustubhbarge1@gmail.com</t>
  </si>
  <si>
    <t>https://www.linkedin.com/in/kaustubh-barge-0648481b4</t>
  </si>
  <si>
    <t>HEMLATA</t>
  </si>
  <si>
    <t>Aba niwas Chouthai galli Tal - Koregaon Dist - Satara Maharashtra 415501</t>
  </si>
  <si>
    <t>"Programming Fundamentals using Python - Science Graduates - Foundation Program"</t>
  </si>
  <si>
    <t>"Programming for Everybody (Getting Started with Python)"
"Introduction to CAD, CAM,  and Practical CNC Machining for Milling"
"Fusion 360: Foundational Concepts"
"Introduction to 3D Modeling for Manufacturing"</t>
  </si>
  <si>
    <t>Programming for Everybody (Getting Started with Python) on Coursera</t>
  </si>
  <si>
    <t>Team Niyudrath Racing - Autosports Club of MITAOE Pune</t>
  </si>
  <si>
    <t>EJI Learning - Renewable energy and Education Technology</t>
  </si>
  <si>
    <t>Design &amp; Fabrication of custom CVT ( Continuously Variable Transmission)</t>
  </si>
  <si>
    <t>AutoCAD, Fusion 360, CATIA, ANSYS, MATLAB, Adams View, MSC Apex, Adobe Illustrator</t>
  </si>
  <si>
    <t xml:space="preserve">Member of Team Niyudrath Racing of MITAOE Pune which participates in SAE BAJA event
</t>
  </si>
  <si>
    <t>Team Niyudrath Racing secured AIR 2 rank in Go Green event of SAE BAJA 2021 &amp; 2022</t>
  </si>
  <si>
    <t>NCC Cadet of 3 MAH AIR SQN NCC Pune
Runner-up &amp; Winner prize for Intra-college kabaddi competition in FY &amp; TY 
Runner-up prize  for Intra-college Shotput competition in TY</t>
  </si>
  <si>
    <t>https://preskilet.com/watch?v=62bdef3f9535010004fd2d00</t>
  </si>
  <si>
    <t>https://drive.google.com/open?id=15s4B2fFGEi-GLlT7PUispp1Nf12pVdRS</t>
  </si>
  <si>
    <t>https://drive.google.com/open?id=1x8c95TcZlOzO4adqkJqY6yTjLxlM4h5c</t>
  </si>
  <si>
    <t>https://drive.google.com/open?id=1aoHXBBPHFqSprqr19j-TbPms63lW_-jB</t>
  </si>
  <si>
    <t>https://drive.google.com/open?id=1ZT8kwCQDnN3WzeGMcXMdcW8Pyy_xkKsn</t>
  </si>
  <si>
    <t>https://drive.google.com/open?id=10PA0E6YGweJ2AvV8oPwZYo0i7lc-djHC</t>
  </si>
  <si>
    <t>https://drive.google.com/open?id=1KPafDVSp8cewbhjfY_sQwNkiZCh3w8Xv</t>
  </si>
  <si>
    <t>https://drive.google.com/open?id=1Ackn4uUg7b_PgS7bh7QmI9dKvgzviu7O</t>
  </si>
  <si>
    <t xml:space="preserve">I updated Educational certifications as I have uploaded wrong 12th result in pdf. </t>
  </si>
  <si>
    <t>0120190392</t>
  </si>
  <si>
    <t>DAIV</t>
  </si>
  <si>
    <t>mihirdaiv@gmail.com</t>
  </si>
  <si>
    <t>https://www.linkedin.com/in/mihir-daiv-673192208/</t>
  </si>
  <si>
    <t xml:space="preserve">510/10 "Radha Smruti" Bunglow, Bhagat Singh Colony, Nr. SBI Bank Pratibhanagar, Kolhapur - 416008 </t>
  </si>
  <si>
    <t>Room No. 33, Dynwardhini Boys Hostel, Behind Athithi Hotel, Dehu Phata, Alandi, Pune - 412105</t>
  </si>
  <si>
    <t>Completed the course of "Python for Everybody" by Coursera</t>
  </si>
  <si>
    <t>Completed the training of "Data Structures and Algorithms" by Intern-Shala</t>
  </si>
  <si>
    <t>Image Classfication of farm products using Machine Learning</t>
  </si>
  <si>
    <t>AutoCAD, Fusion 360, CATIA, ANSYS, MSC Apex, Nastran, Patran</t>
  </si>
  <si>
    <t>Datathon '22</t>
  </si>
  <si>
    <t>Participated in College and School Cricket and Football</t>
  </si>
  <si>
    <t>https://preskilet.com/watch?v=62bee2322c9a6200041e12ed</t>
  </si>
  <si>
    <t>https://drive.google.com/open?id=1q21JlAR2Ie0dQom3hwKFIUNzBc7P185M</t>
  </si>
  <si>
    <t>https://drive.google.com/open?id=150npBuY43Rpq5mpYCA7ykRySp-3XM8eL</t>
  </si>
  <si>
    <t>https://drive.google.com/open?id=1tLxuIl2dmSOmH415bnpGBqzUR-p1yMSt</t>
  </si>
  <si>
    <t>02202000822</t>
  </si>
  <si>
    <t>VISHVE</t>
  </si>
  <si>
    <t>akashvishve2001@gmail.com</t>
  </si>
  <si>
    <t>www.linkedin.com/in/akash-vishve-5b49a0236</t>
  </si>
  <si>
    <t>RAMDAS BHIKAJI VISHVE</t>
  </si>
  <si>
    <t>A/p Pargaon Tarfe Ale Tal- Junnar Dist - Pune</t>
  </si>
  <si>
    <t>A/p Tapkirnagar Near to Mit Arts commerce science college Alandi</t>
  </si>
  <si>
    <t>Material Handling Trolley</t>
  </si>
  <si>
    <t>Mayur Engineering works</t>
  </si>
  <si>
    <t>Design and Manufacturing of a drone for  Spraying pesticides  and disinfectanats.</t>
  </si>
  <si>
    <t>https://preskilet.com/watch?v=62bd49ac9535010004fd2460</t>
  </si>
  <si>
    <t>https://drive.google.com/open?id=1e4_l3OUnxtImDbo1sQp7dZJbcabr8HOv</t>
  </si>
  <si>
    <t>https://drive.google.com/open?id=1R2IUBbbV0La9DqC3Fqnc_u_iD2xFhdqQ</t>
  </si>
  <si>
    <t>https://drive.google.com/open?id=1Qw-HwCAO3aNKjDz26Pp4toFFFgQidJsx</t>
  </si>
  <si>
    <t>https://drive.google.com/open?id=1X7KeoARz9kwouKgH6P7Bzdq8OVmbx7Y0</t>
  </si>
  <si>
    <t>https://drive.google.com/open?id=1eykZTy1k_Pg15o9HIpv0q4XNxnz2JcXH</t>
  </si>
  <si>
    <t>https://drive.google.com/open?id=1frEe00ur8e9vr3OuSrMYQlwLZOuaf7eQ</t>
  </si>
  <si>
    <t>https://drive.google.com/open?id=1fmCVby7zhjRroVFRjEh6OgxacNDrm9ak</t>
  </si>
  <si>
    <t>https://drive.google.com/open?id=1HDFxYHFxro3i_jIkDcrhR5J4vRWHhVAa</t>
  </si>
  <si>
    <t>Amcat Results And Preskill Video</t>
  </si>
  <si>
    <t>0120190262</t>
  </si>
  <si>
    <t>ASHVINKUMAR</t>
  </si>
  <si>
    <t>padeshpande123@gmail.com</t>
  </si>
  <si>
    <t xml:space="preserve">padeshpande@mitaoe.ac.in </t>
  </si>
  <si>
    <t>https://www.linkedin.com/in/prathamesh-deshpande-0ba379219/</t>
  </si>
  <si>
    <t>DEEPALI</t>
  </si>
  <si>
    <t>DESHPANDE GALLI,BAJIPRABHU CHOWK, AMBAJOGAI.</t>
  </si>
  <si>
    <t>ADIRAJ CLUSTERS,BEHIND DAULAT PETROL PUMP,BHUGAON.</t>
  </si>
  <si>
    <t>"ME343T - Hydraulics And Pneumatics"</t>
  </si>
  <si>
    <t>"AS105T - Calculus And Differential Equations"
"AS106T - Engineering Physics"
"CS101L - Logic Development - C Programming"
"ME104T - Engineering Graphics"</t>
  </si>
  <si>
    <t>Python Programmer Certification by InfosysSpringboard.Certificate Link:-https://drive.google.com/file/d/1CYJjYT2Rc5RsmxTYdlx3aIgkhuAkKM_x/view?usp=sharing</t>
  </si>
  <si>
    <t>Python Programming Language Course" by Talent Battle.Certificate Link:-https://drive.google.com/file/d/1pGI3_QcLmxtLbWvUHNwOUiOMlYoqBmWb/view?usp=sharing</t>
  </si>
  <si>
    <t>"Microsoft AI-900: Microsoft Azure AI</t>
  </si>
  <si>
    <t>Done the course Programming for Everybody(Getting started with Python) at Courseera.Link of Certificate:- https://drive.google.com/file/d/1pwtOswULPwQqpjUjSJ6wzBi00JWQ25I8/view?usp=sharing</t>
  </si>
  <si>
    <t>Done the Internship in "Machine Learning" at Internshala.Certificate Link:- https://drive.google.com/file/d/1B7LDVN8qvAd5C9HSzVfdNBlxsV_n-EYZ/view?usp=sharing</t>
  </si>
  <si>
    <t>Machine Learning Intern at VIEH Group.</t>
  </si>
  <si>
    <t>Design And Analysis of Adjustable Cost Effective Lower Limb Exoskeleton.</t>
  </si>
  <si>
    <t>Web Development Training by Verzeo.</t>
  </si>
  <si>
    <t>https://preskilet.com/watch?v=62a3902da6956a0004600894</t>
  </si>
  <si>
    <t>https://drive.google.com/open?id=16uBERXWcgZgmC3WdXumVFLljYRfdH5di</t>
  </si>
  <si>
    <t>https://drive.google.com/open?id=12qcq95Jd90dX9CVBToBEKMNKsIRo83wJ</t>
  </si>
  <si>
    <t>https://drive.google.com/open?id=1BCC9PnYDaKBTXLTHgAuD3Bj2ZuUx4KUV</t>
  </si>
  <si>
    <t>https://drive.google.com/open?id=1QIrSBFNxVeIHeo_x51Z-VXlmYSCZ71Fj</t>
  </si>
  <si>
    <t>https://drive.google.com/open?id=1ekrY_KOE4mAjk2l0muqrSddjGNTaTDrs</t>
  </si>
  <si>
    <t>Technical Course Certification:-Python Programmer Certification by Infosys Springboard.I have completed it late so not able to upload on time.</t>
  </si>
  <si>
    <t>0120190061</t>
  </si>
  <si>
    <t>priyankakarad386@gmail.com</t>
  </si>
  <si>
    <t>Pbkarad@mitaoe.ac.in</t>
  </si>
  <si>
    <t>https://www.linkedin.com/in/priyanka-karad-66333b195</t>
  </si>
  <si>
    <t>KAUSHALYA</t>
  </si>
  <si>
    <t>Safdarabad Tal. Parli v. Dist. Beed Maharashtra 431530</t>
  </si>
  <si>
    <t>Indrayani nagar near MIT Jr College Aalandi 412105</t>
  </si>
  <si>
    <t>88+48+65/3=67</t>
  </si>
  <si>
    <t>ME 342T _ TM Th
ME 341T _MD Th
ME 354T _ASD Th
HP 305L _ES lab</t>
  </si>
  <si>
    <t>AS105T CDE (M1)
AS106T Engineering Physics
CS101T Logical Development C Programming
EX102T EEE 
ME 104T Engineering Graphics
ME 222L Engineering Informatics</t>
  </si>
  <si>
    <t>"Programming Fundamentals using Python -Science Graduate - Foundation Program" on infosys springboard course</t>
  </si>
  <si>
    <t>Drive link of technical certificate : (all technology and non technical certificate are attached) 
https://drive.google.com/folderview?id=1uEbFjzf2IEd1kUpsb4_5JrdUnwnCn7FB
Basic Python Course By infosys springboard 
Machine learning : A case study approach By coursera 
Programming for Everybody by Coursera</t>
  </si>
  <si>
    <t>Complete Python by infosys springboard 
(But there is problem while submitting last assessment .)</t>
  </si>
  <si>
    <t>Python for everybody course by coursera</t>
  </si>
  <si>
    <t>Machine learning course by coursera</t>
  </si>
  <si>
    <t>Intern at Auto cluster development and research institute in Pimpri 
Innovative crop protector</t>
  </si>
  <si>
    <t>Innovative crop Protector</t>
  </si>
  <si>
    <t xml:space="preserve">Chess competitions </t>
  </si>
  <si>
    <t>https://jzf2IEd1kUpsb4_5JrdUnwnCn7FB</t>
  </si>
  <si>
    <t>https://drive.google.com/open?id=1SosQjQMS2PQBZjL7TwX3IZ1XGpYW8CWc</t>
  </si>
  <si>
    <t>https://drive.google.com/open?id=1uJa1yII5MMc79qlXpZe6I3NtefVGP5a1</t>
  </si>
  <si>
    <t>https://drive.google.com/open?id=1GcfkqCp1gTA5FzuwhVauPWjB1iwhOjpe</t>
  </si>
  <si>
    <t>https://drive.google.com/open?id=1_gAUtujlgm8YIVVeidhQzSPE6VsiEGjX</t>
  </si>
  <si>
    <t>https://drive.google.com/open?id=1ijA2HTFlJsEJ2kWLqICQjI04CbrbSPCN</t>
  </si>
  <si>
    <t>https://drive.google.com/open?id=1l_mRljbIAooRvEl8U6O6Zcn6QYIVd--x</t>
  </si>
  <si>
    <t xml:space="preserve">I have attached Technical Certificate of programming fundamental using Python Course. Due to there is some error while downloading at nearly around 8 to 11 june so I unable to attach that time. </t>
  </si>
  <si>
    <t>SHIKHARE</t>
  </si>
  <si>
    <t>shubhamshikhare914@gmail.com</t>
  </si>
  <si>
    <t>https://www.linkedin.com/in/shubham-shikhare-b3bb60215/</t>
  </si>
  <si>
    <t>VIJAY APPA SHIKHARE</t>
  </si>
  <si>
    <t>MADHUMATI VIJAY SHIKHARE</t>
  </si>
  <si>
    <t>B/407 GORAI GOLDEN SANDS , PLOT NI -44 , GORAI -2 , BORVALI -W MUMBAI -92</t>
  </si>
  <si>
    <t>702 PHASE 1 VISION KALPVRUSKH At Pimpri Chinchawad (M Corp.), Haveli, Alandi, Pune</t>
  </si>
  <si>
    <t>Programming for Everybody(Getting Started with Python)</t>
  </si>
  <si>
    <t>MATLAB ONRAMP COURSE
Software Development Trainee - Aspiring Minds</t>
  </si>
  <si>
    <t>Introduction to Public Speaking- University of Washington</t>
  </si>
  <si>
    <t xml:space="preserve">INVOTECH AUTOMATION PVT LTD - DIPLOMA INTERNSHIP 6 MONTHS </t>
  </si>
  <si>
    <t>Design of Pneumatic Powered Air Vehicle
Design of Bamboo Trolley(Prototype)
M.V ENGINEERING SERVICES - 2 MONTHS</t>
  </si>
  <si>
    <t xml:space="preserve">Design Of Innovative Vertical Axis Wind Turbine
</t>
  </si>
  <si>
    <t xml:space="preserve">Design of Solar Cap - Invotech Automation </t>
  </si>
  <si>
    <t>Design&amp;Analysis of Shock Absorber
Aug 2019-Nov 2019
Associated with Shri Bhagubhai Mafatlal Polytechnic</t>
  </si>
  <si>
    <t>AutoCAD, SolidWorks, ANSYS, MATLAB</t>
  </si>
  <si>
    <t>1. Participated in Quad torc (ALL- TERAIN VEHICLE ) and won 5th prize ( 1st diploma team to participate among other b-tech teams )</t>
  </si>
  <si>
    <t>1.First Rank in SY B-Tech Mechanical (Associated with MIT Academy of Engineering, Alandi, Pune)
2.Diploma Toper of Mechanical Engineering (2019-2020) - [Associated with Shri Bhagubhai Mafatlal Polytechnic]
3.NAT Q5 &amp; Q4 JAPANESE LANGAUAGE CERTIFICATION</t>
  </si>
  <si>
    <t>1.Employability skills - VEDAS Team ( a leading coach in soft skill training program)
2.Personality Devleopment - WordsMaya</t>
  </si>
  <si>
    <t xml:space="preserve">- Class representative - Act as a bridge between the students and the academic leaders and the Students’
- Founder of Foreign Language Club - To create awareness and to make language learning more economical for students.
- President of Foreign Language Club - To provide overall leadership and direction to the club organization;
- Participation in Club Mela - To promote and create awareness about the Japanese language we set up a stall regarding anime quiz and jump force (game) competition
Anchoring - Shiv Jayanti 2022
- Lead singer in Nakshtra 2022 ( Japansese song ) - Blue Bird (Naruto Shippuden OP 3 )
- Organizing various guest lectures and seminars for promoting language learning
- MIT Academy of Engineering -B-Tech Mechanical Engineering
- Career Opportunities through the Japanese Language
- Career Opportunities through the Spanish Language
- Secrets of 5S and Kaizen - World of Quality Management
To participate in Festum 2019 - Setup of a games stall won 2nd prize for more Sales
Formation of Anime group IN DIPLOMA COLLEGE 
Participation in cultural event - GarbaRass , Social Gathering, Anchoring - Diploma
</t>
  </si>
  <si>
    <t>https://drive.google.com/drive/folders/1nDG66V7FrEXqN3W9ARjgRdtRLwwd4N32?usp=sharing</t>
  </si>
  <si>
    <t>https://drive.google.com/open?id=10PnHMR0RpSwLwrgpl2HggXBrpO5tdPIG</t>
  </si>
  <si>
    <t>https://drive.google.com/open?id=1gUDMpyVoCWzi4NyFiLQC0M9f3ZoKgxQT</t>
  </si>
  <si>
    <t>https://drive.google.com/open?id=1ANrHuAaHPG2Zcg1Sf1BXmArd59KouKOF</t>
  </si>
  <si>
    <t>https://drive.google.com/open?id=1STCGLocppcmbSGfc2FnmYWECVUH1qM_a</t>
  </si>
  <si>
    <t>https://drive.google.com/open?id=1zXK2tfmdqFCHCujfLXGLisgxuvLJUChX</t>
  </si>
  <si>
    <t>https://drive.google.com/open?id=1_JdAbv38kfgTwuj-kHQuN-rmqjv1ilbH</t>
  </si>
  <si>
    <t>0120190196</t>
  </si>
  <si>
    <t>BALKRISHNA</t>
  </si>
  <si>
    <t>GHODKI</t>
  </si>
  <si>
    <t>vedantghodki01@gmail.com</t>
  </si>
  <si>
    <t>https://www.linkedin.com/in/vedant-ghodki-02540a1b7</t>
  </si>
  <si>
    <t xml:space="preserve">BALKRISHNA </t>
  </si>
  <si>
    <t>SANJIVANEE</t>
  </si>
  <si>
    <t>Jajodiya Layout, Shriniwas Colony, WARDHA- 442001</t>
  </si>
  <si>
    <t>Sheersai Boys Hostel, Near Dehu Phata - 412105</t>
  </si>
  <si>
    <t xml:space="preserve">Python Programmer Certification, Programming Fundamentals using Python - Science Graduates - Foundation  Program: INFOSYS, Oracle Cloud Infrastructure Foundations 2021 Certified Associate </t>
  </si>
  <si>
    <t>1)Oracle Cloud Infrastructure Foundations 2021 Certified Associate: Oracle
2)MATLAB Onramp : Mathworks
3)Machine Learning Course, by TechAnalogy.
4)Programming For Everybody (Getting Started With Python) by University Of Michigan
5) Python Data structures, by University of Michigan
6) Front End Web Development Bootcamp, by CollegeTime.
7) CSS3 and Bootstrap For Absolute Beginners
8)Robotics Workshop, by MITAOE Robotics club
9)Introduction to 3D Modelling, via AutoDesk.
10)FUSION 360: Introduction to CAD/CAM, via AutoDesk Design Academy</t>
  </si>
  <si>
    <t>1) Search Engine Optimization Intern at Deyor Adventures Pvt. Ltd
2) Web development Mentor and technical Content writer at CollegeTime. 
3) Content development and Microsoft PowerPoint Intern at THE RIGHT COMPANY</t>
  </si>
  <si>
    <t xml:space="preserve">1) Working on SPM design and manufacturing at SHREE SAI ENTERPRISES Pvt. Ltd
2) Web Development Intern at ECO DECO </t>
  </si>
  <si>
    <t xml:space="preserve"> SPM design and manufacturing </t>
  </si>
  <si>
    <t>1) Nonlinear analysis using Reduced Order Modeling 
2) Prepared a Wireless display Notice board using Arduino and GSM module
3) Solar Panel Cleaner</t>
  </si>
  <si>
    <t>Participated in DATATHON
Robotics workshop
Web development Workshop
FUSION 360: Introduction to CAD/CAM course via AutoDesk Design Academy
Data Analytics Workshop</t>
  </si>
  <si>
    <t>1) 18th rank in Firodiya Karandak '20
2) 1st in magazine competition under savitribai phule pune university '20</t>
  </si>
  <si>
    <t>SmartKnower Internship Program</t>
  </si>
  <si>
    <t>1) Firodiya 2020
2) Menace Dance Club 2019
3) Ajanvriksha magazine club 2019
4) Saksham NGO 
5) Pune Plogathon 2020
6) Vatsalya 2020
7) Nakshatra by MITAOE</t>
  </si>
  <si>
    <t>https://preskilet.com/watch?v=62a3a359a6956a0004600b2c</t>
  </si>
  <si>
    <t>https://drive.google.com/open?id=1P6oOm-7QUdX_YFKrC-WqSQoQ-3PDALfU</t>
  </si>
  <si>
    <t>https://drive.google.com/open?id=1x-Ie0abznxWMpY8y276rdEzy13YzcT_3</t>
  </si>
  <si>
    <t>https://drive.google.com/open?id=15S-NiOWNgm30t5XLYv4BOZjqQyXJmWcP</t>
  </si>
  <si>
    <t>https://drive.google.com/open?id=1-RwvqU0qS8o1vH1dv5zlm3CGW0hjmMmT</t>
  </si>
  <si>
    <t>https://drive.google.com/open?id=1g3XFMuOYi5btBUE3qdMFXuHq22yGzYfq</t>
  </si>
  <si>
    <t>https://drive.google.com/open?id=1Arj0AQzCUElKa_EmyVaVwdTNnhENb2fG</t>
  </si>
  <si>
    <t>https://drive.google.com/open?id=1tWcmLFuo_Ziz4ViLR5IDyAQOp4dix5UC</t>
  </si>
  <si>
    <t>https://drive.google.com/open?id=1BnCDcePWH1-HP9RtwF_AXW-5HRj9vU5X</t>
  </si>
  <si>
    <t>https://drive.google.com/open?id=1YlzmuveYN6vBzvW5snKJikC5D8ovIQN2</t>
  </si>
  <si>
    <t>https://drive.google.com/open?id=1aLodq5GVNEfYS6qmLz_q1-RH70SsxQR4</t>
  </si>
  <si>
    <t>https://drive.google.com/open?id=1O2NT1sGkk9ttMUjvV7sfva2dfZFLeFka</t>
  </si>
  <si>
    <t>Did some extra certifications</t>
  </si>
  <si>
    <t>0120190022</t>
  </si>
  <si>
    <t>TAUHID</t>
  </si>
  <si>
    <t>JAFAR</t>
  </si>
  <si>
    <t>SHEIKH</t>
  </si>
  <si>
    <t>tauhid2103@gmail.com</t>
  </si>
  <si>
    <t>https://www.linkedin.com/in/tauhid-sheikh-204a27232</t>
  </si>
  <si>
    <t>JAFAR ABDUL BARI SHEIKH</t>
  </si>
  <si>
    <t>TALAT JAFAR SHEIKH</t>
  </si>
  <si>
    <t>Near Shivaji High School, Azad ward, Kurkheda, at post Kurkheda, Dist. Gadchiroli, 441209</t>
  </si>
  <si>
    <t>Near MIT Academy of Engineering Alandi Pune, Pune, 412105</t>
  </si>
  <si>
    <t>Avg. Marks = 455</t>
  </si>
  <si>
    <t>Avg. Marks = 535</t>
  </si>
  <si>
    <t>1."Python Programmer Certification"         2. "Programming Fundamentals using Python - Science Graduates - Foundation Program: Infosys"</t>
  </si>
  <si>
    <t>1. Computational Fluid Dynamics: Applications and
Opportunities.
2. Mechanical Engineering Design and
 Manufacturing with Fusion 360.
3. Python for Everybody &amp; Data Structure.
4. Multi Criteria Decision Making (MCDM)
 Methods.</t>
  </si>
  <si>
    <t>Internship at Shree Sai Enterprises
Working on Special Purpose Machine (SPM) design and Manufacturing, SHREE SAI ENTERPRISES Pvt. Ltd.</t>
  </si>
  <si>
    <t>1. Special Purpose Machine (SPM) design and Manufacturing.</t>
  </si>
  <si>
    <t>1. Analysis of Heat Transfer In Gas-Solid Fluidized Bed Using
 Machine Learning.
2. Knee Scooter for Handicapped people.
3. Case Study on Air Flow Analysis in Bus.
4. Topology Optimization of a Car Hand Brake.
5. Car upper-dipper light sensor.</t>
  </si>
  <si>
    <t>AutoCAD, Fusion 360, SolidWorks, CATIA, ANSYS, MATLAB, MSC Apex.</t>
  </si>
  <si>
    <t>Urdu, Arabic</t>
  </si>
  <si>
    <t xml:space="preserve">1. National Level Workshop on “Multi Criteria Decision Making (MCDM) Methods”.
2. Teaching Assistant
, Private Tution Classes, on Kurkheda- 441209.
3. Team Leader - Project (Analysis of Heat Transfer In Gas-Solid Fluidized Bed Using
 Machine Learning) in Hydrotechnique Pvt. Ltd. MIDC, Bhosri.
</t>
  </si>
  <si>
    <t>1. One Day Hands-On Training on "Computational Fluid Dynamics: Applications and Opportunities" organized by MIT-WPU.
2. AUTODESK training certificate on "Introduction to Mechanical Engineering Design
 and Manufacturing with Fusion 360".</t>
  </si>
  <si>
    <t>1. Math's Poster Presentation compitition, organised by The Axes-Math's CLUB.
2. Drama based on HIV &amp; AIDS, District level winner.
3. Science fair competitive event, organised by district school.</t>
  </si>
  <si>
    <t>https://drive.google.com/file/d/1vtgfzsyUVqVQRHqrZc4B_wsxxQc1C_06/view?usp=sharing</t>
  </si>
  <si>
    <t>https://drive.google.com/open?id=1YXwWQgxsTBxSBlwMZJ1XU2NI-oy7RWzm</t>
  </si>
  <si>
    <t>https://drive.google.com/open?id=1W4hAFgNn35VrwBJwT-epx3LPQZG-h9nK</t>
  </si>
  <si>
    <t>https://drive.google.com/open?id=1Q9-uH5ijjiqLdh-_OcDqUvcp4O2_FNK_</t>
  </si>
  <si>
    <t>https://drive.google.com/open?id=1xmqLLCnRlPONRtlkJbtNr0dSQWOhdj-6</t>
  </si>
  <si>
    <t>https://drive.google.com/open?id=1GdSXBf7hOPhhlMNzjCKbJoJz-12e1djL</t>
  </si>
  <si>
    <t>https://drive.google.com/open?id=1BY0uLZrvh7eeCDFhSwy3J2-0SUbEVvL4</t>
  </si>
  <si>
    <t>https://drive.google.com/open?id=1RfVqFnL-hvK9F0Vndh99HvyM7Qde_vzy</t>
  </si>
  <si>
    <t>https://drive.google.com/open?id=1CJ_SBcWiH9STVjj1wNtzAhQWzteT7SgD</t>
  </si>
  <si>
    <t>https://drive.google.com/open?id=1_mxQYIaunvwpYFhvoKAjRXq0IlmGo10B</t>
  </si>
  <si>
    <t>https://drive.google.com/open?id=1O5CeQ1vzjngrbxwei3PePg_o_y3J3PBZ</t>
  </si>
  <si>
    <t>https://drive.google.com/open?id=18Ldh_-KyohwsxF3KFbew98fRT8oAo5fa</t>
  </si>
  <si>
    <t>Uploaded Technical Certification</t>
  </si>
  <si>
    <t>0120190051</t>
  </si>
  <si>
    <t>CHIRAG</t>
  </si>
  <si>
    <t>dhandec2@gmail.com</t>
  </si>
  <si>
    <t>https://www.linkedin.com/in/chirag-dhande-09561a212</t>
  </si>
  <si>
    <t>SURESH BALIRAM DHANDE</t>
  </si>
  <si>
    <t>SUNITA SURESH DHANDE</t>
  </si>
  <si>
    <t>AT POST SUNASGAON, TAL- BHUSAVAL, DIST- JALGAON, MAHARASTRA, 425309</t>
  </si>
  <si>
    <t>HINDAVI COLONY NO. 2 NEAR MIT ACADEMY OF ENGINEERING, ALANDI, PUNE, MAHARASTRA. 412105</t>
  </si>
  <si>
    <t>AS105T - CALCULUS AND DIFFERENTIAL EQUATIONS
AS106T - ENGINEERING PHYSICS
CS101T - LOGIC DEVELOPMENT- C PROGRAMMING
EX102T - ELECTRICAL AND ELECTRONICS ENGINEERING 
ME104T - ENGINEERING GRAPHICS</t>
  </si>
  <si>
    <t xml:space="preserve">PYTHON PROGRAMMER CERTIFICATION </t>
  </si>
  <si>
    <t xml:space="preserve">AUTOCAD TRAINING PROGRAM </t>
  </si>
  <si>
    <t>PRODUCTION INTERN AT CREESTAA ELEVATORS (REWALE GROUP OF ENGINEERING)</t>
  </si>
  <si>
    <t xml:space="preserve">DESIGN OF COST EFFECTIVE ADJUSTABLE LOWER LIMB EXOSKELETON </t>
  </si>
  <si>
    <t>React.js (JavaScript/Typescript), Angular, MEAN, MERN</t>
  </si>
  <si>
    <t xml:space="preserve">AUTOCAD, C C++, PYTHON TRAINING </t>
  </si>
  <si>
    <t>https://preskilet.com/csdhande@mitaoe.ac.in</t>
  </si>
  <si>
    <t>https://drive.google.com/open?id=1xxswoMmfl51rGuVhTaF0VDPgcY72PQtq</t>
  </si>
  <si>
    <t>https://drive.google.com/open?id=1yWm6wrYwPXOSEIzACGMVUjvOHWQg1ODq</t>
  </si>
  <si>
    <t>https://drive.google.com/open?id=1grq5jhUf7eulbEXnWZk3af3jFsfyZqsQ</t>
  </si>
  <si>
    <t>https://drive.google.com/open?id=1cy64mtFujt0zsZiLL429VVBBgplMUQrG</t>
  </si>
  <si>
    <t>https://drive.google.com/open?id=1vgzWXKpTZbdSCax2Pd_R0Szr4EimKjeH</t>
  </si>
  <si>
    <t>https://drive.google.com/open?id=1ZGGo3kL2S2aVlELRhA_HDqhoUJz0jEfN</t>
  </si>
  <si>
    <t>shantanu.patil@mitaoe.ac.in</t>
  </si>
  <si>
    <t>0220200093</t>
  </si>
  <si>
    <t>SHANTANU</t>
  </si>
  <si>
    <t>DHANANJAY</t>
  </si>
  <si>
    <t>shantanup775@gmil.com</t>
  </si>
  <si>
    <t>https://www.linkedin.com/in/shantanu-patil-02b067170</t>
  </si>
  <si>
    <t>DHANANJAY MAHADEV PATIL</t>
  </si>
  <si>
    <t>SADHANA DHANANJAY PATIL</t>
  </si>
  <si>
    <t>BALAJI PRAK, PLOT NO.83, IN FRONT OF D PHARMACY COLLEGE, DHARANGUTTI-416102</t>
  </si>
  <si>
    <t>SR. NO. 110/3/2, FLAT NO. 302, KALE COLONY LANE NO. 3, NEAR DEHU PHATA, INFRONT OF DEO KRIPA PETROL PUMP, ALANDI, PUNE-412105</t>
  </si>
  <si>
    <t>"Infosys: Programming Fundamentals using Python - Science Graduates - Foundation Program"</t>
  </si>
  <si>
    <t>"Anexas Europe: Six Sigma Yellow Belt"</t>
  </si>
  <si>
    <t xml:space="preserve">Diploma Internship
Done six weeks Internship in Swift Enterprise Pvt.Ltd. Head Office Plot No.90, (74 To 78 &amp; 83 To 91), L. K Akiwate Co-Op. Ind. Estate Ltd.Jaysingpur-416101
In Machining Shop and Foundry.
Duration: Six weeks [12-05-2019 to 21-06-2019]
</t>
  </si>
  <si>
    <t>Two months of internship in Talent Serve.</t>
  </si>
  <si>
    <t>Design &amp; Development of Automatic Agricultural Pesticide Sprinkling Robot.</t>
  </si>
  <si>
    <t>1. Running a online AUTOCAD Class.
2. Studied Industrial 3D Printing Technology.</t>
  </si>
  <si>
    <t>Secured 2nd Rank in Paper Presentation Competition at National Level in year 2019 held at DKTE’S Yashwantrao Chavan Polytechnic, Ichalkaranji.</t>
  </si>
  <si>
    <t>Winner Up in Inter-College Sport [2018-19] Chess and Kho-Kho,held at DKTE’S Yashwantrao Chavan Polytechnic, Ichalkaranji.</t>
  </si>
  <si>
    <t>https://preskilet.com/watch?v=62a395e3a6956a0004600971</t>
  </si>
  <si>
    <t>https://drive.google.com/open?id=168zXZmgmLVUmzGijQ1PR4aTmndbG4XuB</t>
  </si>
  <si>
    <t>https://drive.google.com/open?id=1Ei-Qw6uVpk0I_b3E3ugLyNncfV_DXxqR</t>
  </si>
  <si>
    <t>https://drive.google.com/open?id=1Z5SsvIquzOet2cEu_8lZeMbyfUauI2X3</t>
  </si>
  <si>
    <t>https://drive.google.com/open?id=1KOeU2J_AmwC5_x1vNYyTAXtmJJYs1kju</t>
  </si>
  <si>
    <t>https://drive.google.com/open?id=1YQk5DGK_dmzs6rqu9teMpWL-6xwDqn7W</t>
  </si>
  <si>
    <t>https://drive.google.com/open?id=16y02rE8Rz3Ld5nVotuUGRZPclIB8AWXa</t>
  </si>
  <si>
    <t>vyankatesh.mankar@mitaoe.ac.in</t>
  </si>
  <si>
    <t>0220200157</t>
  </si>
  <si>
    <t xml:space="preserve">RAJKUMAR </t>
  </si>
  <si>
    <t xml:space="preserve">MANKAR </t>
  </si>
  <si>
    <t xml:space="preserve">vyankatesh.mankar@mitaoe.ac.in </t>
  </si>
  <si>
    <t>https://www.linkedin.com/in/vyankatesh-mankar-9597a0235</t>
  </si>
  <si>
    <t xml:space="preserve">RAJKUMAR  KALLAPPA  MANKAR </t>
  </si>
  <si>
    <t xml:space="preserve">CHANDRAKALA  RAJKUMAR  MANKAR </t>
  </si>
  <si>
    <t>Renuka Nagar, Ambajogai Road, Latur, Maharashtra, 413512</t>
  </si>
  <si>
    <t xml:space="preserve">Infosys Springboard 3 Certificates : (1)- Introduction to python, (2)- Programming fundamentals using python Part-1, (3) -Programming fundamentals using python science graduates-foundation program </t>
  </si>
  <si>
    <t xml:space="preserve">(1)- Introduction to python
(2)- Programming fundamentals using python Part-1
(3) -Programming fundamentals using python science graduates-foundation program </t>
  </si>
  <si>
    <t xml:space="preserve">Diploma summer Internship -
Indomobil Sales and Services Pvt Ltd, (Authorized Dealership of Mahindra ) 
SY Project- 
Road Cleaning Machine </t>
  </si>
  <si>
    <t xml:space="preserve">TY Summer Internship :-
1. TalentServe 
2. Helix Integrated Learning Engineering consultancy 
TY Project :-
Design and manufacturing of AI controlled cost-effective hand exoskeleton </t>
  </si>
  <si>
    <t xml:space="preserve">Diploma Project:-
Solar operated pesticide sprayer </t>
  </si>
  <si>
    <t xml:space="preserve">AutoCAD, Fusion 360, SolidWorks, CATIA, ANSYS, Proteus, MATLAB, Tableau, Openrefine, Tinker Cad </t>
  </si>
  <si>
    <t>1. National Level poster presentation 
2. National Level techical quiz
3. Two Days National Level Workshop(MCDM)
4. Aptitude Test organized by RMD Sinhgad School of Engineering 
5. MathWorks Training Services ( MATLAB)</t>
  </si>
  <si>
    <t xml:space="preserve">1.Legendary National Level Chess Tournament .
2.State Level Online chess Tournament .
3.Won Certificate of chess Tournament .
4.Certificate in AutoCAD with A++ grade 
5.National Level poster presentation 
6. National Level techical quiz 
</t>
  </si>
  <si>
    <t xml:space="preserve">1. Mathworks Training Services ( MATLAB Onramp Program)
2. AutoCAD under BCI technical Training programme with A++ grade </t>
  </si>
  <si>
    <t xml:space="preserve">Participated in National Level poster presentation and technical quiz, National and state  Level chess Tournament , Badminton competition, participated in Workshop of introduction to hydraulic &amp; pneumatic held by CSMSS ,  participated in  aptitude Test organized by RMD ,  participated quiz on yoga and meditation,participated in National Science Day quiz organized by MITAOE,  participated two days National Level Workshop on MCDM organized by MITAOE </t>
  </si>
  <si>
    <t>https://drive.google.com/file/d/1Zve7mqHatx6z9ea6VSb13EIjj5y9W6gx/view?usp=drivesdk.  Preskillet video link- https://preskilet.com/watch?v=62936ef64e995f0004d4cfc1</t>
  </si>
  <si>
    <t>https://drive.google.com/open?id=12Zq5ROGDOQahO2WXLB5yYT4gd2p68b8l</t>
  </si>
  <si>
    <t>https://drive.google.com/open?id=1uotcfHYMXewo9AiZ690HbUI-nx53nMIc</t>
  </si>
  <si>
    <t>https://drive.google.com/open?id=1SHTFMvIanEwZ8mrfN8g65qJmYKkPVL93</t>
  </si>
  <si>
    <t>https://drive.google.com/open?id=1JNf0jqzV81vpnrADsVqfC-SuwV8SOFG8</t>
  </si>
  <si>
    <t>https://drive.google.com/open?id=1z2nLk82PzGavr_VG-Yom8aVfn_JL9CbO</t>
  </si>
  <si>
    <t>https://drive.google.com/open?id=14vgbGIgkE_IupuHLggdP8rLjf9Mf8LXS</t>
  </si>
  <si>
    <t>shivam.mandavgade@mitaoe.ac.in</t>
  </si>
  <si>
    <t>0220200180</t>
  </si>
  <si>
    <t xml:space="preserve">SHIVAM  </t>
  </si>
  <si>
    <t xml:space="preserve">MANDAVGADE </t>
  </si>
  <si>
    <t>https://www.linkedin.com/in/shivam-mandavgade-017762232/</t>
  </si>
  <si>
    <t xml:space="preserve">DILIP S MANDAVGADE </t>
  </si>
  <si>
    <t>VIBHATAI</t>
  </si>
  <si>
    <t xml:space="preserve">AT PO GHATLADKI, TQ CHANDUR BAZAR, DIST AMRAVATI </t>
  </si>
  <si>
    <t xml:space="preserve">DHANJAY BOYS HOSTEL, HINDVI COLONY NO 2, NEAR MIT COLLAGE AALANDI </t>
  </si>
  <si>
    <t xml:space="preserve">1) THE COMPLETE PYTHON COURSE - SPRINGBOARD (INFOSYS) 2) CONTAINERS IN PYTHON -(SPRINGBORD INFOSYS)  </t>
  </si>
  <si>
    <t>1) BLUE PRISM CERTIFICATION COURSE ( AICTE-EDUSKILLS)</t>
  </si>
  <si>
    <t>1) Programming Fundamentals using Python - Science Graduates - Foundation
Program</t>
  </si>
  <si>
    <t>work in bajaj auto for 6 months</t>
  </si>
  <si>
    <t xml:space="preserve">Sany multinational  company pune </t>
  </si>
  <si>
    <t xml:space="preserve">STUDY ON MADM (MULTI ATTRIBUTES DECISION MAKING ) METHODS </t>
  </si>
  <si>
    <t>Fusion 360, CATIA, MATLAB, Creo</t>
  </si>
  <si>
    <t>1ST RUNNER UP IN NATIONAL LEVEL ROBOTICS COMPITITIONHELD AT MITAOE 2022</t>
  </si>
  <si>
    <t>Participants in drama as NSS volunteer</t>
  </si>
  <si>
    <t>https://preskilet.com/watch?v=62b4a8a330b2800004523748</t>
  </si>
  <si>
    <t>https://drive.google.com/open?id=15PnC_ZRZmnOZR2sekQjuhyu58ku7_rpm</t>
  </si>
  <si>
    <t>https://drive.google.com/open?id=1zAez75ZlZTaGkw8Jg2fHWwoapV7BmVT2</t>
  </si>
  <si>
    <t>https://drive.google.com/open?id=1gLJiHY9ERavh_SD0vuUQFrrDPi-p903r</t>
  </si>
  <si>
    <t>https://drive.google.com/open?id=1N31AZ3ThT5CtK5ysGK64Rs6FLeaFjVDJ</t>
  </si>
  <si>
    <t>https://drive.google.com/open?id=1jrR4HIbMNAskk1pA7_o1EXhFoC4URJzo</t>
  </si>
  <si>
    <t>https://drive.google.com/open?id=1NJTh41cyl8WIXFCj_trjFTS1SvRtpNm3</t>
  </si>
  <si>
    <t>niranjan.wagh@mitaoe.ac.in</t>
  </si>
  <si>
    <t>0220200102</t>
  </si>
  <si>
    <t>WAGH</t>
  </si>
  <si>
    <t>https://www.linkedin.com/in/niranjan-wagh-b16b6021b</t>
  </si>
  <si>
    <t>MILIND VASANTRAO WAGH</t>
  </si>
  <si>
    <t>SANGITA MILIND WAGH</t>
  </si>
  <si>
    <t>11/2 Aadharsh Nager behind Dmart,Jalgaon,Maharashtra-425001</t>
  </si>
  <si>
    <t>Infosys springboard programing fundamental using python-science graduate foundation program</t>
  </si>
  <si>
    <t xml:space="preserve"> To perform low velocity test on CFRP material specimen</t>
  </si>
  <si>
    <t xml:space="preserve"> To Design and fabrication of prototype of vegetable vending machine.</t>
  </si>
  <si>
    <t>Design and Manufacturing of hydraulic Power Hand truck.</t>
  </si>
  <si>
    <t>Fusion 360, SolidWorks, ANSYS</t>
  </si>
  <si>
    <t>● Work as A Class Representative.
● Volunteered in Knovelty 2020 State level event.
● Organized Nakshatra Event at MIT Academy of Engineering.
● Member of Robotic society India.
● Member of Ishrae</t>
  </si>
  <si>
    <t>• Technical intern At Twittjobs
• Technical Intern at Robotics, MIT Academy of Engineering
• Sales Team Intern at Ed- cell, MIT Academy of Engineering
• President of Ishrae 
• working on startup</t>
  </si>
  <si>
    <t>https://preskilet.com/niranjan.wagh@mitaoe.ac.in,  |  https://drive.google.com/drive/folders/1qfoBhhiSSheyVgubZ1YH0EcZ0BeGiI-i</t>
  </si>
  <si>
    <t>https://drive.google.com/open?id=15hbJZU9vk2iDOnOq43fPsMGTl0takRkT</t>
  </si>
  <si>
    <t>https://drive.google.com/open?id=1Zl5_OWPLS9kB8i3fvZoUY5DPr81uCUxq</t>
  </si>
  <si>
    <t>https://drive.google.com/open?id=1t44V8A_nj5sHyOEnrNSxBUmdwJjL_MKn</t>
  </si>
  <si>
    <t>https://drive.google.com/open?id=1cYuQ0fPJLss4gjdM-k2QezdpxPNLryg1</t>
  </si>
  <si>
    <t>https://drive.google.com/open?id=11DPTbyhmk76BppkPZYFfUCtxQUA9yyoQ</t>
  </si>
  <si>
    <t>https://drive.google.com/open?id=1DYRSzEpUQBqe-oVbN2tIhDLEKZObAbFo</t>
  </si>
  <si>
    <t>https://drive.google.com/open?id=17mXuNm38VqpTArslKWJy3QAi7tjS6O52</t>
  </si>
  <si>
    <t>https://drive.google.com/open?id=1rwvnLB0mdHamD2EyuNUElWwF4I0WiXyz</t>
  </si>
  <si>
    <t xml:space="preserve">Technical certification because my exam date had late that's why
And third year marksheet </t>
  </si>
  <si>
    <t>rajeshrathod@mitaoe.ac.in</t>
  </si>
  <si>
    <t>0220190012</t>
  </si>
  <si>
    <t>GANU</t>
  </si>
  <si>
    <t>rraj8379804116@gmail.com</t>
  </si>
  <si>
    <t>www.linkedin.com/in/rajeshrathodr44a777</t>
  </si>
  <si>
    <t>GANU SHAMA RATHOD</t>
  </si>
  <si>
    <t>SUMAN GANU RATHOD</t>
  </si>
  <si>
    <t>AT. NASLAPUR , POST - PALAJ, TQ- BHOKAR, DIST- NANDED-431801</t>
  </si>
  <si>
    <t>AT KALE COLONY LANE 3 , ALANDI , PUNE , MAHARASHTRA ,PUNE-412105</t>
  </si>
  <si>
    <t>ME203T- SOLID MECHANICS (CLEARED)</t>
  </si>
  <si>
    <t xml:space="preserve">"INFOSYS SPRINGBOARD : PROGRAMMING FUNDAMENTAL USING PYTHON- SCIENCE GRADUATE FOUNDATION PROGRAM" and </t>
  </si>
  <si>
    <t>"Microsoft Technology Associate: introduction to programming using python" and "MATHWORKS TRAINING SERVICES : MATLAB"</t>
  </si>
  <si>
    <t>"INFOSYS SPRINGBOARD : JAVA SCRIPT"</t>
  </si>
  <si>
    <t>COOLING COMPARTMENT OF HEAVY VEHICLE BY USING PELTIER EFFECT</t>
  </si>
  <si>
    <t>INTERNSHIP IS ONGOING ON SOLAR PLANT INSTALLATION AT ENERTURE AND WEB DEVELOPMENT WITH IBM.
AUTOMATIC TYRE INFLATION SYSTEM THIS IS PROJECT WHICH IS RELATED TO FILL CORRECT AIR PRESSURE IN THE TYRE AUTOMATICALLY.</t>
  </si>
  <si>
    <t>360 DEGREE ROTATION OF BULLOCK CART</t>
  </si>
  <si>
    <t>"Implant training: At gurukrupa Automotive Garage , Nanded"</t>
  </si>
  <si>
    <t>Workshop attended and cetified on "Multi Criteria Decision Making(MCDM) Method" by"Mit academy of engineering alandi pune"</t>
  </si>
  <si>
    <t>https://preskilet.com/rajeshrathod@mitaoe.ac.in</t>
  </si>
  <si>
    <t>https://drive.google.com/open?id=1T996aO1czPFgrnWIACkRM2Jzz3GS0DOO</t>
  </si>
  <si>
    <t>https://drive.google.com/open?id=1je_aJQR_HTBle7Mj7DoQ91Zu4TUHLQlu</t>
  </si>
  <si>
    <t>https://drive.google.com/open?id=1dVldUksTt0HLyM_RlO2RrYSwlihGuD24</t>
  </si>
  <si>
    <t>https://drive.google.com/open?id=1adwTQZLQY8DrU3fG3DumwI2iXKY3iN5d</t>
  </si>
  <si>
    <t>https://drive.google.com/open?id=1DTahnz1DzGU5xa_cBL-82yKyHTz4t4xZ</t>
  </si>
  <si>
    <t>nishad.dudhe@mitaoe.ac.in</t>
  </si>
  <si>
    <t>0220200095</t>
  </si>
  <si>
    <t>NISHAD</t>
  </si>
  <si>
    <t>DUDHE</t>
  </si>
  <si>
    <t>nishaddudhe@mitaoe.ac.in</t>
  </si>
  <si>
    <t>https://www.linkedin.com/in/nishad-dudhe-541835212</t>
  </si>
  <si>
    <t>MUKESH SUDAMRAO DUDHE</t>
  </si>
  <si>
    <t>SHARDA MUKESH DUDHE</t>
  </si>
  <si>
    <t>Gandhi nagar near primary school no. 8 dhamangaon road yavatmal, 445001</t>
  </si>
  <si>
    <t>gilbile colony near MIT arts and commerce college alndi 412105</t>
  </si>
  <si>
    <t>Python certificate training by ATS (microsoft technology associate)</t>
  </si>
  <si>
    <t xml:space="preserve">Introduction to 3D Modeling for Manufacturing : Autodesk Design Academy
</t>
  </si>
  <si>
    <t>Object Oriented Programming with python by Infosys Springboard</t>
  </si>
  <si>
    <t>Rochem India Private Limited</t>
  </si>
  <si>
    <t xml:space="preserve">Numerical investigation of pregnant women dummy for side impact </t>
  </si>
  <si>
    <t>AutoCAD, Fusion 360, CATIA, ANSYS, Creo</t>
  </si>
  <si>
    <t xml:space="preserve">Go-karting club </t>
  </si>
  <si>
    <t>https://preskilet.com/watch?v=6297862f5545ea0004a927b5</t>
  </si>
  <si>
    <t>https://drive.google.com/open?id=1jHcWh7rUFOYj87lQew8TEqs4opHTST-j</t>
  </si>
  <si>
    <t>https://drive.google.com/open?id=1i1B4z_dBq1515dKwlDpASNfSRsjTjoTk</t>
  </si>
  <si>
    <t>https://drive.google.com/open?id=1GT3xQTIu0IKuuGTW6Rm0kAGlDbHkU5S3</t>
  </si>
  <si>
    <t>https://drive.google.com/open?id=1A0qy1adlAT5ktb-QItBj1Ogk7OLxCeDb</t>
  </si>
  <si>
    <t>https://drive.google.com/open?id=1c9WrXEr4azo6qTvU-LG1JjHIthIZaa6q</t>
  </si>
  <si>
    <t>https://drive.google.com/open?id=1VftSjqqu2rdLymLNEvCuJ9MeI7eT0ASS</t>
  </si>
  <si>
    <t>https://drive.google.com/open?id=1zSflCnMoTJMWp5qEmiDMWh8yDG4dka0b</t>
  </si>
  <si>
    <t>AMCAT Result is update because i was unable to download the SY result due to website technical issue</t>
  </si>
  <si>
    <t>parish.wankhede@mitaoe.ac.in</t>
  </si>
  <si>
    <t>0220200146</t>
  </si>
  <si>
    <t>PARISH</t>
  </si>
  <si>
    <t>WANKHEDE</t>
  </si>
  <si>
    <t>https://www.linkedin.com/in/parish-wankhede-1097521b1</t>
  </si>
  <si>
    <t>SANTOSH WANKHEDE</t>
  </si>
  <si>
    <t>CHAYA WANKHEDE</t>
  </si>
  <si>
    <t>Plot no.35, Shantiniketan Colony, Near Ajanta Chowk, Jalgaon-425001</t>
  </si>
  <si>
    <t>Premsai Apartment, Near MIT Arts Commerce Science College, Dudulgaon, Pune</t>
  </si>
  <si>
    <t>Introduction to Design for Manufacturing</t>
  </si>
  <si>
    <t>Krishigati.Pvt.Ltd</t>
  </si>
  <si>
    <t>Pune Metro</t>
  </si>
  <si>
    <t>Optimization of Bus Body</t>
  </si>
  <si>
    <t>AutoCAD, Fusion 360, SolidWorks, CATIA, ANSYS, MATLAB, Creo, Adobe Illustrator</t>
  </si>
  <si>
    <t>Member of Team Niyudrath Karting</t>
  </si>
  <si>
    <t>Edgeline Competition of Go-kart</t>
  </si>
  <si>
    <t>https://drive.google.com/drive/folders/1nz3g4_XL75DEjkFHmALLOXdqR_L82qBr?usp=sharing</t>
  </si>
  <si>
    <t>https://drive.google.com/open?id=1s8vcdKNqphncgdhibzSvR8IQDT5P0p3w</t>
  </si>
  <si>
    <t>https://drive.google.com/open?id=1aJRNCJ7u4RxsptaDpYaDsPP_dVSfeNr8</t>
  </si>
  <si>
    <t>https://drive.google.com/open?id=1rqDLuPOiqHS_-NUQO3O4tZlGO4GHVVaN</t>
  </si>
  <si>
    <t>https://drive.google.com/open?id=1L4QVKjX6LKJ9vvdRNKFWsy_ZeNJeQjIf</t>
  </si>
  <si>
    <t>https://drive.google.com/open?id=1GfqGIgkt1ACAJNwgYbfe5yH2LKLUKmLd</t>
  </si>
  <si>
    <t>https://drive.google.com/open?id=1GDY-kmUPso9iId5sbhZP4x2tDsgEIHZL</t>
  </si>
  <si>
    <t>https://drive.google.com/open?id=1OO_Jg-58nI-buTxViRZe_uow2HB0AmOK</t>
  </si>
  <si>
    <t>https://drive.google.com/open?id=1U7vIsHKej03UdkbLH1Cxh_gVbc2f0ln7</t>
  </si>
  <si>
    <t>https://drive.google.com/open?id=1Xn5bpMBplnAbGAOYpzrbOqWHAW5k6uv4</t>
  </si>
  <si>
    <t xml:space="preserve">I Updated Files of Educational, Technical and Internship Certificates also AMCAT result </t>
  </si>
  <si>
    <t>kunal.attarde@mitaoe.ac.in</t>
  </si>
  <si>
    <t>0220200140</t>
  </si>
  <si>
    <t>ATTARDE</t>
  </si>
  <si>
    <t>www.linkedin.com/in/kunal-attarde</t>
  </si>
  <si>
    <t>SUNIL ATTARDE</t>
  </si>
  <si>
    <t>SADHANA ATTARDE</t>
  </si>
  <si>
    <t>Plot No. 3, Ishwar colony, Near lathi school, Infront of Nayan-Tara Residency, Jalgaon-425001.</t>
  </si>
  <si>
    <t>Sr. No. 110/3/2, Flat No. 302, Kale Colony Lane No. 3, Near Dehu Phata, Infront of Deo kripa Petrol pump, Alandi, Pune-412105.</t>
  </si>
  <si>
    <t>ELEATION- ESA_CREO_91374</t>
  </si>
  <si>
    <t>Udemy- UC-e1e64114-cc2c-420e-b4f3-7ca6cf2460dc</t>
  </si>
  <si>
    <t>Coursera</t>
  </si>
  <si>
    <t>Talent Serve</t>
  </si>
  <si>
    <t>Design &amp; Validation of Vegetable Vending Machine</t>
  </si>
  <si>
    <t>Participated in CAD Contest Organized by Eleation.</t>
  </si>
  <si>
    <t>https://preskilet.com/watch?v=62960108716ac10004981556</t>
  </si>
  <si>
    <t>https://drive.google.com/open?id=1yLIKPYSb9H49WSt0t4Gju3yV6I-0yuYr</t>
  </si>
  <si>
    <t>https://drive.google.com/open?id=1oliAaxvh-bhVr2HGqxFNzdRoLVO-oM2E</t>
  </si>
  <si>
    <t>https://drive.google.com/open?id=1zPXHD8_c6Ic-4fwX4NvKjEuwd4Pqj8QP</t>
  </si>
  <si>
    <t>https://drive.google.com/open?id=15V79N0Qt6fOs8RbHXCcgkoZtdV4zjaCr</t>
  </si>
  <si>
    <t>https://drive.google.com/open?id=1my3GNB1AKhLmTT6u6nokETu_Q-UZ3Qai</t>
  </si>
  <si>
    <t>https://drive.google.com/open?id=1UDWjNg1WS34L3BtCYTljOABhvZ_TLnM2</t>
  </si>
  <si>
    <t>pooja.giri@mitaoe.ac.in</t>
  </si>
  <si>
    <t>GIRI</t>
  </si>
  <si>
    <t xml:space="preserve">pooja.giri@mitaoe.ac.in </t>
  </si>
  <si>
    <t>https://www.linkedin.com/in/pooja-giri-b3ba55219</t>
  </si>
  <si>
    <t>DATTATRAY RAMBUWA GIRI</t>
  </si>
  <si>
    <t>USHA DATTATRAY GIRI</t>
  </si>
  <si>
    <t>211 A/3-2, Nagar Parishad Colony, Post-Gangakhed, Dist-Parbhani. 431514</t>
  </si>
  <si>
    <t>Tapkir Nagar, Dudulgaon Post-Alandi, Dist Pune 412105</t>
  </si>
  <si>
    <t>Programming Fundamentals Using python</t>
  </si>
  <si>
    <t xml:space="preserve">Object oriented programming using Python </t>
  </si>
  <si>
    <t xml:space="preserve">C Programming </t>
  </si>
  <si>
    <t>Electric Vehicle Internship-1 Month</t>
  </si>
  <si>
    <t xml:space="preserve">Pune Metro Internship </t>
  </si>
  <si>
    <t>1.Self Balancing vehicle using Gyroscope
2.Voice controlled robotic vehicle</t>
  </si>
  <si>
    <t xml:space="preserve">AutoCAD, Fusion 360, SolidWorks, CATIA, ANSYS, SP3D, Aveva E3D, Microstation, Revit </t>
  </si>
  <si>
    <t>Second Prize in State level Project Competition (E-proxo)</t>
  </si>
  <si>
    <t>Lila Poonawala Foundation Scholarship</t>
  </si>
  <si>
    <t>Implant training in Vikas sugar industry Latur.</t>
  </si>
  <si>
    <t>https://drive.google.com/drive/folders/1n9uErGXojgMiy3Ky4SRBLKqzAqdJy8dU</t>
  </si>
  <si>
    <t>https://drive.google.com/open?id=1bA3oO-c9OURFAWmc2Va3kAyx0mpftGSn</t>
  </si>
  <si>
    <t>https://drive.google.com/open?id=1AQUigvGbzO-Zo6nJOvATzZy8QwwkF54I</t>
  </si>
  <si>
    <t>https://drive.google.com/open?id=1EiTp3x-rX26oypY6ZSDsva4kbc-Xyt9h</t>
  </si>
  <si>
    <t>https://drive.google.com/open?id=1U0vZnBaqiO1KVmjyOHxv-NGo5X4jMct8</t>
  </si>
  <si>
    <t>https://drive.google.com/open?id=1YMh4z-a8jN_lolNwFH38q8zgBBPuUPPs</t>
  </si>
  <si>
    <t>https://drive.google.com/open?id=1Ej-gcPDAoOr9AZq8nSvWRcyugIq7bqQY</t>
  </si>
  <si>
    <t xml:space="preserve">Technical certification </t>
  </si>
  <si>
    <t>sandip.dhumal@mitaoe.ac.in</t>
  </si>
  <si>
    <t>PARMESHVAR</t>
  </si>
  <si>
    <t>DHUMAL</t>
  </si>
  <si>
    <t>https://www.linkedin.com/in/sandip-dhumal-733636235</t>
  </si>
  <si>
    <t>PARMESHVAR BAPURAO DHUMAL</t>
  </si>
  <si>
    <t>SAVITA PARMESHVAR DHUMAL</t>
  </si>
  <si>
    <t>At Masala,Post Bhisewagholi,Tq. &amp; Dist. Latur</t>
  </si>
  <si>
    <t>At charoli fata,near kalewadi petrol pump,alandi</t>
  </si>
  <si>
    <t>1) Introduction to python  2) Programming fundamentals using python science graduates- foundation program</t>
  </si>
  <si>
    <t>1) Introduction to python 
2) Programming fundamentals using python science graduates- foundation program</t>
  </si>
  <si>
    <t>IOT Based Air Pollution Monitoring And Controlling System</t>
  </si>
  <si>
    <t>Helix integrated learning engineering consultancy,kothrud depot,pune</t>
  </si>
  <si>
    <t>Manually Operated Drainage Cleaning Machine</t>
  </si>
  <si>
    <t>1) Participated in "Three Day National Level Workshop On Introduction to finite element analysis using the ANSYS"
2) Participated in workshop of "Design Thinking, Critical Thinking and Innovation Design"
3) Participated in workshop of "Develop a Hydraulics and pneumatics circuits"
4) Participated in "One Week Online Course of Catia For Beginners under JSPM"</t>
  </si>
  <si>
    <t>State Level technical Quiz Competition Participation Certificate</t>
  </si>
  <si>
    <t>1) One day hands on training on "Computational Fluid Dynamics : Application and Opportunities"
2) Mathworks Training Services (Matlab Onramp)</t>
  </si>
  <si>
    <t xml:space="preserve">1) Participation in National Sciencd Day Quiz Competition
2) Participation Certificate in National Level Internship Eligibility test
3) Winner of Cricket Sport in annual social cultural event </t>
  </si>
  <si>
    <t>https://preskilet.com/watch?v=62a242e6fed70c00042b6973    Drive link = https://drive.google.com/file/d/16yM_EmPpqucK7LqF4184fQrJpVA-klbL/view?usp=drivesdk</t>
  </si>
  <si>
    <t>https://drive.google.com/open?id=1SkMpOqLeziyHAirpZEYuWWC2oCGejQog</t>
  </si>
  <si>
    <t>https://drive.google.com/open?id=1Ltlo9ajubtmN9thzru4_OLk5KwZlYWm8</t>
  </si>
  <si>
    <t>https://drive.google.com/open?id=1UBuhaBPkOVmZx3tPwvqhGjbY_8zX8Xwi</t>
  </si>
  <si>
    <t>https://drive.google.com/open?id=1AOI8ZyFFJ5BqWNjm6C1GRvm6HNAGUSWQ</t>
  </si>
  <si>
    <t>https://drive.google.com/open?id=1xU8XAlsQtwqmN0jMcyAkLfoFVeUwEj1P</t>
  </si>
  <si>
    <t>https://drive.google.com/open?id=1kjtz0UJIQ2SN86rC90WIP8IFdfj1HAOQ</t>
  </si>
  <si>
    <t>darshan.kuwar@mitaoe.ac.in</t>
  </si>
  <si>
    <t>0220200089</t>
  </si>
  <si>
    <t>DARSHAN</t>
  </si>
  <si>
    <t>KUWAR</t>
  </si>
  <si>
    <t>https://www.linkedin.com/in/darshan-kuwar-129ab2219</t>
  </si>
  <si>
    <t>HEMANT SHANTARAM KUWAR</t>
  </si>
  <si>
    <t>JAYASHRI HEMANT KUWAR</t>
  </si>
  <si>
    <t>Janta Park, Lane No.7, Plot No.353/2, Navapur, Nandurbar</t>
  </si>
  <si>
    <t>Premsai Appartment, Flat no.- 410, Anandgram Society, Dudulgaon, Pune</t>
  </si>
  <si>
    <t>Microsoft Python Certification by Inflow Technology</t>
  </si>
  <si>
    <t>1. Minor project on Buckling Analysis of Composite Cylindrical Shell used in Spacecraft- Used ABAQUS software to study the comparative analysis of standard material shell and composite material shell with various parameters.
2. Minor project on PPE Kit Ventilation Unit- Modelling of a product with mechanical and electronic parts and build a system which helps to eliminate the ventilation problems in PPE kit.
3. Two month Internship in Autosports club of MIT Academy of Engineering- Developed my product designing software skills and also the knowledge about material election for specific applications.
4. Two month internship in Castal Dies and Tools in Pune- Checked the quality of dies and also I have learn about VMC programming and supervise the production and validation of manufactured dies and required modifications.</t>
  </si>
  <si>
    <t>1. Major project is Design and Analysis of Automated Pesticider- Designed a model for agriculture purpose to spray pesticides remotely using mobile application and can be used for various types of crops. We also done static and modular analysis on the frame of pesticider for validation of design. 
2. Two month internship in Green Shuttle Technology Private Limited- Design of 6-seater Passenger Vehicle Body Panel, Development and Drafting of Food Cart chassis, Open Cargo chassis and Close Cargo chassis, Analysis of developed chassis for static condition and analysis of child parts for dynamic conditions.</t>
  </si>
  <si>
    <t>B.Tech Project- Design and Analysis of Automated Pesticider
Diploma Project- Solar Powered Pesticide Spraying Automated Vehicle</t>
  </si>
  <si>
    <t>Fusion 360, SolidWorks, CATIA, ANSYS, Creo, Nastran</t>
  </si>
  <si>
    <t>1. Runner Up of State-Level Paper Presentation Competition at Government Polytechnic, Karad in Diploma Third Year.
2. Participated in DIPEX Project Competition at Solapur in Diploma Third Year.
3. Participated in Three days National Level Workshop on Introduction to Finite Element Analysis using Ansys in BTech Third Year.</t>
  </si>
  <si>
    <t>1. Winner of Kabaddi competition at ZONAL IEDSSA &amp; also at Institute level in Diploma Third Year.
2. Participated at State level in Kabaddi competition
3. Worked as Secretory of MESA Committee in Government Polytechnic, Nashik
4. Worked as Student Co-ordinator of National Service Scheme in Government Polytechnic, Nashik
5. Working as Corporate Relations (CR) Volunteer of Training and Placement Cell in MIT Academy of Engineering, Alandi</t>
  </si>
  <si>
    <t>https://preskilet.com/darshan.kuwar@mitaoe.ac.in</t>
  </si>
  <si>
    <t>https://drive.google.com/open?id=1GmwLgI6icjGJfs0sTgKb21UW6hR0XbvZ</t>
  </si>
  <si>
    <t>https://drive.google.com/open?id=1gvu5zDB9JwwS_nGHG0JJk6Nt6sSUjbxo</t>
  </si>
  <si>
    <t>https://drive.google.com/open?id=1S6MJM9zI7SXXKn5HtyEJW32DMc9iIzDV</t>
  </si>
  <si>
    <t>https://drive.google.com/open?id=10ZYYVvDo--yUriGUSnjuDtUF5s8NeWFU</t>
  </si>
  <si>
    <t>https://drive.google.com/open?id=1_RK1DPyhGRqdUeXAUUHR2S31A1Voqhgs</t>
  </si>
  <si>
    <t>https://drive.google.com/open?id=1S7jWBarcY1GPr0fG0x0fYjWnRPEryley</t>
  </si>
  <si>
    <t>https://drive.google.com/open?id=1O-DtnEgld0hqTTiUJUWeJqG5oUint9NV</t>
  </si>
  <si>
    <t>https://drive.google.com/open?id=1ejbU2CffQLY8sRVLE4VJl2qxnBfkU671</t>
  </si>
  <si>
    <t>https://drive.google.com/open?id=1EMxOBVInXlW05KIaeP8KQnqb0jw7WsiZ</t>
  </si>
  <si>
    <t>https://drive.google.com/open?id=1isvRRfxSxiFWJemPOlxyTdnnbCWfmLRP</t>
  </si>
  <si>
    <t>https://drive.google.com/open?id=1Vcw6X5MbIng3CnL7fb0XGM3UcmBLMLW4</t>
  </si>
  <si>
    <t>I've uploaded SY and TY AMCAT Reports and Technical Certificate cause it is not available earlier</t>
  </si>
  <si>
    <t>mahesh.shindge@mitaoe.ac.in</t>
  </si>
  <si>
    <t>0220200148</t>
  </si>
  <si>
    <t>SHINDGE</t>
  </si>
  <si>
    <t>https://www.linkedin.com/in/mahesh-shindge-46518a227</t>
  </si>
  <si>
    <t>GODAVARI</t>
  </si>
  <si>
    <t>At Ajansonda (Kh) Subdist,Chakur  Dist,Latur</t>
  </si>
  <si>
    <t>Yash Niwas, Kale Colony Near HP petrol pump Alandi Pune.</t>
  </si>
  <si>
    <t>Robotics Process Automaton Virtual Internship by AICTE</t>
  </si>
  <si>
    <t>Python Programming Course</t>
  </si>
  <si>
    <t xml:space="preserve">Object Oriented Programming in Python </t>
  </si>
  <si>
    <t xml:space="preserve">Design Thinking Course </t>
  </si>
  <si>
    <t>Auto Cluster Development &amp; Research Institute, Chinchwad Pune</t>
  </si>
  <si>
    <t xml:space="preserve">Design of Automotive component with the help Parametric Design in CATIA  </t>
  </si>
  <si>
    <t xml:space="preserve">IOT based air quality sensing and monitoring system </t>
  </si>
  <si>
    <t xml:space="preserve">1) Blue prism Associate Developer 
2) Programming in Python 
3) Core Java 
4) MATLAB Onramp 
5) Data Management 
</t>
  </si>
  <si>
    <t xml:space="preserve">National Level ANSYS Workbench Workshop
National Level Science Day Quiz </t>
  </si>
  <si>
    <t xml:space="preserve">National Yoga Day Quiz Competition
Tree Plantation Program   </t>
  </si>
  <si>
    <t>https://preskilet.com/watch?v=62b2ce53cd590700045fb36c</t>
  </si>
  <si>
    <t>https://drive.google.com/open?id=1N_-haAmnWYA2LOac7oY5-pp_G2_RO3DU</t>
  </si>
  <si>
    <t>https://drive.google.com/open?id=17MGj4MaITY-jowwI5GCylJMZDfeXfk8x</t>
  </si>
  <si>
    <t>https://drive.google.com/open?id=17WRdGC3nsoLPTEkF0cpHsmwqgYMzDT6H</t>
  </si>
  <si>
    <t>https://drive.google.com/open?id=1696m0wTcYUmy5KnFN1Ct3ht5J0HcovuL</t>
  </si>
  <si>
    <t>https://drive.google.com/open?id=1TWUyMXmzlxgydh7lY92_cxqj1w9z1Ze9</t>
  </si>
  <si>
    <t>https://drive.google.com/open?id=1TqBA90V3gzzkJMmwgWdDyhOdVAhZROWW</t>
  </si>
  <si>
    <t>https://drive.google.com/open?id=1UsS0-PZPxuFVr5zBmuM-0fsIWtRZsAPD</t>
  </si>
  <si>
    <t>https://drive.google.com/open?id=1wjAF6Z8s55yTD0LUouNJOMhztSULixYf</t>
  </si>
  <si>
    <t>https://drive.google.com/open?id=1lKKuELCT5AQmXRGGC9N3m7oTMep7QdI-</t>
  </si>
  <si>
    <t xml:space="preserve">I have updated my Technical Certification and AMCAT Results Pdf. </t>
  </si>
  <si>
    <t>tanuja.himparge@mitaoe.ac.in</t>
  </si>
  <si>
    <t>0220200195</t>
  </si>
  <si>
    <t>PADMAKAR</t>
  </si>
  <si>
    <t>HIMPARGE</t>
  </si>
  <si>
    <t>https://www.linkedin.com/in/tanuja-himparge-093570241</t>
  </si>
  <si>
    <t>Sawargaon (Pi), Tq.Mukhed, Dist.Nanded, Maharashtra, 431715</t>
  </si>
  <si>
    <t>Ahmedpur, Dist.Latur, Maharashtra, 413515</t>
  </si>
  <si>
    <t>The Complete Python Course</t>
  </si>
  <si>
    <t>Design and Fabrication of Automatic Fertilizers Sprayer</t>
  </si>
  <si>
    <t>Road Cleaning Machine</t>
  </si>
  <si>
    <t>AutoCAD, CATIA, Creo</t>
  </si>
  <si>
    <t>https://preskilet.com/tanuja.himparge@mitaoe.ac.in</t>
  </si>
  <si>
    <t>https://drive.google.com/open?id=1xbazMysXeWKxtMetXMb5wNuH3-2IkP9N</t>
  </si>
  <si>
    <t>https://drive.google.com/open?id=1m-tUfNooUujBLxrSqHNFFQLDKeU0DOiT</t>
  </si>
  <si>
    <t>https://drive.google.com/open?id=15WAg39fqkh7o0Allb7c_DC6u_Tqj9g3w</t>
  </si>
  <si>
    <t>https://drive.google.com/open?id=1fa2_Rfjju4RK6i7rR4_Uyco76ncXMAWe</t>
  </si>
  <si>
    <t>atharv.bedse@mitaoe.ac.in</t>
  </si>
  <si>
    <t>0220200101</t>
  </si>
  <si>
    <t xml:space="preserve">ATHARV </t>
  </si>
  <si>
    <t>BEDSE</t>
  </si>
  <si>
    <t>https://www.linkedin.com/in/atharv-bedse-a6046a222</t>
  </si>
  <si>
    <t>DILIP CHATUR BEDSE</t>
  </si>
  <si>
    <t>VANDANA DILIP BEDSE</t>
  </si>
  <si>
    <t>60, Shivaji nagar 2 ,sakri ,tal sakri dist dhule</t>
  </si>
  <si>
    <t>Sr.No. 110/3/2, F.No. 302 Kale colony no.3, Chkhed Pune Alandi (M CI) -412105.</t>
  </si>
  <si>
    <t>The Python Workshop</t>
  </si>
  <si>
    <t>Cybersecurity Fundamentals</t>
  </si>
  <si>
    <t>Social Media Marketing and Buisness Development bt Talent Serve</t>
  </si>
  <si>
    <t>1.Fabrication of Drone
2.Manufacturing of thermoelectric Ao-==</t>
  </si>
  <si>
    <t>AutoCAD, CATIA, MATLAB</t>
  </si>
  <si>
    <t>https://preskilet.com/atharv.bedse@mitaoe.ac.in</t>
  </si>
  <si>
    <t>https://drive.google.com/open?id=1Kl5XsJu9utHyp_czJOXOvONmIQ67zCeq</t>
  </si>
  <si>
    <t>https://drive.google.com/open?id=17F6EGZ6r40hR6MgZB7rlhQV76NrvwrVI</t>
  </si>
  <si>
    <t>https://drive.google.com/open?id=1LG34t4mQSr3rDy6pDacX89KxcA-AQ4sV</t>
  </si>
  <si>
    <t>https://drive.google.com/open?id=1OdUwz3HdWhiT73ovh2kz6SC8PlofyRvK</t>
  </si>
  <si>
    <t>https://drive.google.com/open?id=1Pv_DSnXshBtdI1AndaPciw8Ogg27vBRZ</t>
  </si>
  <si>
    <t>kmjumade@mitaoe.ac.in</t>
  </si>
  <si>
    <t>0120190411</t>
  </si>
  <si>
    <t>KAKSHANK</t>
  </si>
  <si>
    <t>JUMADE</t>
  </si>
  <si>
    <t>kakshank5@gmail.com</t>
  </si>
  <si>
    <t>https://www.linkedin.com/in/kakshank-jumade-0ba847241</t>
  </si>
  <si>
    <t>MAHESH JUMADE</t>
  </si>
  <si>
    <t>KAVITA JUMADE</t>
  </si>
  <si>
    <t xml:space="preserve">MQ-281 Sec 3 urjagram wcl colony post tadali dist.chandrapur </t>
  </si>
  <si>
    <t xml:space="preserve">Flat no.410 aksha vasant park dudulgaon alandi pune </t>
  </si>
  <si>
    <t>ME343T</t>
  </si>
  <si>
    <t>CV102T</t>
  </si>
  <si>
    <t>Object oriented programming using python</t>
  </si>
  <si>
    <t>Skill lync: basics of electric vehicle and its simulation</t>
  </si>
  <si>
    <t>Autocad course</t>
  </si>
  <si>
    <t xml:space="preserve">Skill lync : basics of electric vehicle and its simulation </t>
  </si>
  <si>
    <t>Talent serve</t>
  </si>
  <si>
    <t>Design of industrial robotic gripper using hydraulic and pneumatic control</t>
  </si>
  <si>
    <t xml:space="preserve">Bronze medal winner at National level cricket tournament.
NCC volunteer .
</t>
  </si>
  <si>
    <t>Represented vidharbha in national cricket tournament also played and won many other cricket,football tournaments, won second prize in intercollege bgmi tournament.</t>
  </si>
  <si>
    <t>https://preskilet.com/watch?v=62b54cbcaf4f2700045cdb60</t>
  </si>
  <si>
    <t>https://drive.google.com/open?id=1WniaX4VWQeUNeDGBI45oQF6AIRH18FGK</t>
  </si>
  <si>
    <t>https://drive.google.com/open?id=16HOTnoIEsVkuprG2dqKZVqlF8zE0_9n2</t>
  </si>
  <si>
    <t>https://drive.google.com/open?id=1689nnZscH0XH6jKdSIUYM8aAxOiocGFr</t>
  </si>
  <si>
    <t>https://drive.google.com/open?id=14L-69VHrqx_d_02W9FuqKyFK9uEP1G71</t>
  </si>
  <si>
    <t>https://drive.google.com/open?id=1_-o1kXHHiAFwr5xR_NWUjfpsqzvQE2ZF</t>
  </si>
  <si>
    <t>yotoshniwal@mitaoe.ac.in</t>
  </si>
  <si>
    <t>0120190198</t>
  </si>
  <si>
    <t>OMPRAKASH</t>
  </si>
  <si>
    <t>TOSHNIWAL</t>
  </si>
  <si>
    <t>yashtoshniwal247@gmail.com</t>
  </si>
  <si>
    <t>www.linkedin.com/in/yash-toshniwal-0869a31a3</t>
  </si>
  <si>
    <t>OMPRAKASH TOSHNIWAL</t>
  </si>
  <si>
    <t>SARIKA TOSHNIWAL</t>
  </si>
  <si>
    <t>Shivaji nagar, Parbhani</t>
  </si>
  <si>
    <t>Dehu fhata , Alandi</t>
  </si>
  <si>
    <t xml:space="preserve">CV102T - Applied Mechanics 
CH101T - Science of Nature 
ME235T - Fluid Mechanics </t>
  </si>
  <si>
    <t xml:space="preserve">
Infosys springboard - Java Developer Certification</t>
  </si>
  <si>
    <t>Verzeo Internship Program - AutoCAD</t>
  </si>
  <si>
    <t>Enerture Technologies</t>
  </si>
  <si>
    <t>IOT Based Smart Farming - Hydroponic farming</t>
  </si>
  <si>
    <t xml:space="preserve">Active member of Robin Hood Army </t>
  </si>
  <si>
    <t>https://preskilet.com/watch?v=62b42a9930b28000045230de</t>
  </si>
  <si>
    <t>https://drive.google.com/open?id=1LtlYxf9G3VTv1yAXDDdts81CgsSDQQPV</t>
  </si>
  <si>
    <t>https://drive.google.com/open?id=1ywNSZG8ivVo-hcer_CdI39DHbV_DHIRR</t>
  </si>
  <si>
    <t>https://drive.google.com/open?id=1d9NmXPC1WP-fCzZBBJhUg4EH-bOk0ArG</t>
  </si>
  <si>
    <t>https://drive.google.com/open?id=1HyDr-jffzAFs1pqJNjU_YkIZ2naMy1m1</t>
  </si>
  <si>
    <t>https://drive.google.com/open?id=1oTLpvSlOZSA7YwP8vf_603QbY1kPB9Wp</t>
  </si>
  <si>
    <t>TY cgpa</t>
  </si>
  <si>
    <t>vsdabhade@mitaoe.ac.in</t>
  </si>
  <si>
    <t>0420170096</t>
  </si>
  <si>
    <t xml:space="preserve">SHIVAJI </t>
  </si>
  <si>
    <t xml:space="preserve">DABHADE </t>
  </si>
  <si>
    <t>vsdabhade@mitaoe.ac.im</t>
  </si>
  <si>
    <t>@LinkedIn.com</t>
  </si>
  <si>
    <t xml:space="preserve">ROHINI </t>
  </si>
  <si>
    <t>Shivajinagar police line building shivneri flat no 304 pune5</t>
  </si>
  <si>
    <t>HP302L - PROFESSIONAL SKILLS</t>
  </si>
  <si>
    <t xml:space="preserve">Thermoacoustic refrigeration </t>
  </si>
  <si>
    <t>Photoshop</t>
  </si>
  <si>
    <t>novideo.com</t>
  </si>
  <si>
    <t>https://drive.google.com/open?id=1xGHTjGnk0leUAir4F09KY9NPUkPAjeJ2</t>
  </si>
  <si>
    <t>https://drive.google.com/open?id=1sZcddaw03VIKSaetuKcaKwfidxNk2J_u</t>
  </si>
  <si>
    <t xml:space="preserve">Department </t>
  </si>
  <si>
    <t>shubham.mahajan@mitaoe.ac.in</t>
  </si>
  <si>
    <t>0220200198</t>
  </si>
  <si>
    <t>https://www.linkedin.com/in/shubham-mahajan-695737159/</t>
  </si>
  <si>
    <t>At. Post Lohatar Tal.- Pachora Dist.- Jalgaon</t>
  </si>
  <si>
    <t>Flat no.-103 Morya hills, Kale Colony Lane 2 Near Dehu Phata ,Alandi</t>
  </si>
  <si>
    <t>Microsoft Python certificate: Inflow Techonology</t>
  </si>
  <si>
    <t>Road cleaning machine</t>
  </si>
  <si>
    <t>Self Balancing Vehicle</t>
  </si>
  <si>
    <t>3 in 1 agriculture Equipment ( Diploma)</t>
  </si>
  <si>
    <t>AutoCAD, Fusion 360, SolidWorks, CATIA, ANSYS, MATLAB, Comsol</t>
  </si>
  <si>
    <t>Baja SAE India ATV Competition</t>
  </si>
  <si>
    <t>https://drive.google.com/drive/folders/1k4_2ySEpxp95VnC0ziyYhrRKcYTscMHp?usp=sharing</t>
  </si>
  <si>
    <t>https://drive.google.com/open?id=12W0VvJP3aB_myVD3GzcLTwejPD7WAi1d</t>
  </si>
  <si>
    <t>https://drive.google.com/open?id=1AbkptbBs-mg5kqH8VRc2MqbOGv-BkqIS</t>
  </si>
  <si>
    <t>https://drive.google.com/open?id=1YzRXiaSxv3Ii1tZdVp0zfDYTQDFNIJwJ</t>
  </si>
  <si>
    <t>shradha.rathod@mitaoe.ac.in</t>
  </si>
  <si>
    <t>0220200220</t>
  </si>
  <si>
    <t xml:space="preserve">SHRADHA </t>
  </si>
  <si>
    <t xml:space="preserve">RAMRAO </t>
  </si>
  <si>
    <t xml:space="preserve">RATHOD </t>
  </si>
  <si>
    <t>shradharathod9579@gmail.com</t>
  </si>
  <si>
    <t>https://www.linkedin.com/in/shradha-rathod-b30117241</t>
  </si>
  <si>
    <t xml:space="preserve">RAMRAO CHATRU RATHOD </t>
  </si>
  <si>
    <t xml:space="preserve">VIMAL RAMRAO RATHOD </t>
  </si>
  <si>
    <t xml:space="preserve">Banjara Colony Aundha Nagnath </t>
  </si>
  <si>
    <t xml:space="preserve">Tapkir nagar dudulgaon , aalandi </t>
  </si>
  <si>
    <t xml:space="preserve">ME343T </t>
  </si>
  <si>
    <t>Microsoft python certificate , Infosys Springboard python certification</t>
  </si>
  <si>
    <t>Entrepreneurship development program</t>
  </si>
  <si>
    <t xml:space="preserve">Microsoft  python certification </t>
  </si>
  <si>
    <t xml:space="preserve">Material analysis by using industrial epoxy adhesive </t>
  </si>
  <si>
    <t xml:space="preserve">Self balancing vehicle using gyroscope </t>
  </si>
  <si>
    <t xml:space="preserve">Self balancing vehicle using gyroscope with a breaking energy </t>
  </si>
  <si>
    <t xml:space="preserve">Energy generation by suspension </t>
  </si>
  <si>
    <t>SolidWorks, CATIA</t>
  </si>
  <si>
    <t xml:space="preserve">6 weeks of industrial training at shivaparvati poultry feed </t>
  </si>
  <si>
    <t>https://preskilet.com/shradha.rathod@mitaoe.ac.in</t>
  </si>
  <si>
    <t>https://drive.google.com/open?id=1cZ0jSoE9NrzxIpCL5-xS4YyXRfsXETH5</t>
  </si>
  <si>
    <t>https://drive.google.com/open?id=1p0r8loyUA__P_m0pFo-TeoVvD0voQJOP</t>
  </si>
  <si>
    <t>https://drive.google.com/open?id=13-BieKKC6gM84pBaHpKcYsVX_Yo522Kn</t>
  </si>
  <si>
    <t>https://drive.google.com/open?id=1XEhbzz8EfMxHgsF_atVSPTkDNNlqeLnl</t>
  </si>
  <si>
    <t>raju.kadam@mitaoe.ac.in</t>
  </si>
  <si>
    <t>0220200174</t>
  </si>
  <si>
    <t>GOVIND</t>
  </si>
  <si>
    <t>https://www.linkedin.com/in/raju-kadam-5751aa1a4</t>
  </si>
  <si>
    <t>At:Hatni , post:Kaudgown ,Tq:Loha ,Dist:-Nanded</t>
  </si>
  <si>
    <t>At:-Alandi, moshi road near MITAOE Alandi-D ,pune</t>
  </si>
  <si>
    <t>Microsoft AI-900:Introduction to Programming using Python</t>
  </si>
  <si>
    <t>Data Processing Specialist</t>
  </si>
  <si>
    <t>Ongoing in mayun  engineering works</t>
  </si>
  <si>
    <t>Windlens charger for electric vehicle</t>
  </si>
  <si>
    <t>Android Development (Java/Kotlin), Spring &amp; Hibernate (Java), Flask (Python)</t>
  </si>
  <si>
    <t>AutoCAD, Fusion 360, CATIA, Comsole</t>
  </si>
  <si>
    <t>https://preskilet.com/raju.kadam@mitaoe.ac.in</t>
  </si>
  <si>
    <t>https://drive.google.com/open?id=1y1IIJI-4P9saPm0zsl7WgMsnTyRXc4BX</t>
  </si>
  <si>
    <t>https://drive.google.com/open?id=1wDHPUV8khXMLBEcEY2Zi6Ovr-BZP4RCy</t>
  </si>
  <si>
    <t>https://drive.google.com/open?id=1-yoFudX5fIIzifrbyAcwQpvI1c3Ut6qe</t>
  </si>
  <si>
    <t>arpita.funde@mitaoe.ac.in</t>
  </si>
  <si>
    <t>0220200183</t>
  </si>
  <si>
    <t>ARPITA</t>
  </si>
  <si>
    <t>KISAN</t>
  </si>
  <si>
    <t>FUNDE</t>
  </si>
  <si>
    <t>arpitafunde0606@gmail.com</t>
  </si>
  <si>
    <t xml:space="preserve">arpita.funde@mitaoe.ac.in </t>
  </si>
  <si>
    <t>https://www.linkedin.com/in/arpita-funde-8320941b9</t>
  </si>
  <si>
    <t>ANJANA</t>
  </si>
  <si>
    <t>Sr no 165 , near sadhana girls school malwadi Hadapsar Pune 28.</t>
  </si>
  <si>
    <t xml:space="preserve">Sr no 165, sadhana girls school malwadi Hadapsar Pune 28 </t>
  </si>
  <si>
    <t>Infosys , AWS</t>
  </si>
  <si>
    <t xml:space="preserve">Infosys </t>
  </si>
  <si>
    <t>Infosys , Accenture, aws</t>
  </si>
  <si>
    <t xml:space="preserve">Siddhi motors </t>
  </si>
  <si>
    <t>Design and analysis of helical coil heat exchanger.</t>
  </si>
  <si>
    <t>Internship in om export pvt .Ltd and project is design and analysis of belt conveyor system for coal handling.</t>
  </si>
  <si>
    <t>Design and analysis of belt conveyor system for coal handling - mechatol product engineering pvt.ltd.</t>
  </si>
  <si>
    <t>Automatic breaking system.</t>
  </si>
  <si>
    <t xml:space="preserve">AutoCAD, Fusion 360, CATIA, ANSYS, MATLAB, Creo, MSc apex </t>
  </si>
  <si>
    <t xml:space="preserve">Project competition and participate in equilibrium competition </t>
  </si>
  <si>
    <t xml:space="preserve">State level participation </t>
  </si>
  <si>
    <t xml:space="preserve">Done training in autodesk from linkedin learning . Done workshop by hackveda limited. </t>
  </si>
  <si>
    <t xml:space="preserve">Participate in dance events . Participate in shapeal program . Participate in hackthon program </t>
  </si>
  <si>
    <t>https://preskilet.com/watch?v=62b413ae30b2800004522fbe</t>
  </si>
  <si>
    <t>https://drive.google.com/open?id=1K0CZUBDwQMi5zZTUJOHOipdI8fi_oh-i</t>
  </si>
  <si>
    <t>https://drive.google.com/open?id=1YInSUPptaHsW6osHd_JHhrUW2WGZTqHr</t>
  </si>
  <si>
    <t>https://drive.google.com/open?id=1XLYDGKR7i50epdN2Hjj1tYprzfND6Jy3</t>
  </si>
  <si>
    <t>https://drive.google.com/open?id=1VtKe6l4MiY6ZBxjINY81Ksfw4N5JTQZm</t>
  </si>
  <si>
    <t>https://drive.google.com/open?id=1lL93bsWBbUOayCds9JO3B6B1o-WZ4qP0</t>
  </si>
  <si>
    <t>https://drive.google.com/open?id=1So4U3b-bzQ9aya542cQDuCkyzsYo2wEt</t>
  </si>
  <si>
    <t>https://drive.google.com/open?id=1u1vm1oXHnNMiejnFW3UIo_DToqqXqgCD</t>
  </si>
  <si>
    <t>I had remaining to uploaded 1 certificate.</t>
  </si>
  <si>
    <t>pratima.hatkar@mitaoe.ac.in</t>
  </si>
  <si>
    <t>0220200121</t>
  </si>
  <si>
    <t>PRATIMA</t>
  </si>
  <si>
    <t>HATKAR</t>
  </si>
  <si>
    <t>https://www.linkedin.com/in/pratima-hatkar-a4a9b023a</t>
  </si>
  <si>
    <t>VINOD HATKAR</t>
  </si>
  <si>
    <t>SHILA HATKAR</t>
  </si>
  <si>
    <t>Jangamvadi hospital, workshop corner near, prabhat nagar, nanded</t>
  </si>
  <si>
    <t>HP petrol pump kale colony alandi, pune</t>
  </si>
  <si>
    <t>Innovative LPG gas lifting trolley</t>
  </si>
  <si>
    <t xml:space="preserve">EJI learning (Internship) 
Solar powered air purifier (Project) </t>
  </si>
  <si>
    <t>Geneva mechanism using belt conveyor</t>
  </si>
  <si>
    <t>CATIA, ANSYS, Comsol</t>
  </si>
  <si>
    <t>Post matric scolership</t>
  </si>
  <si>
    <t>https://preskilet.com/watch?v=62bdd72f9535010004fd2b11</t>
  </si>
  <si>
    <t>https://drive.google.com/open?id=1XW3HDq9DHFHrxJbNDpNefUYVMQlgx9jU</t>
  </si>
  <si>
    <t>https://drive.google.com/open?id=1zXL8kymDKRgOpejiwCXBj2z7lbflywd6</t>
  </si>
  <si>
    <t>https://drive.google.com/open?id=1R479SBNdDV9UUICsANoJGQL-UF5qxzgL</t>
  </si>
  <si>
    <t>https://drive.google.com/open?id=1RNCTDoMaCR3oDqG8dsCrvl5YWKlK_wqB</t>
  </si>
  <si>
    <t>https://drive.google.com/open?id=1OpCvsdBNbh83mkNjQ6FJpaa3HwNEYRmm</t>
  </si>
  <si>
    <t>https://drive.google.com/open?id=1x6i9EkQdB5zPSc6DKNzCMQXf0-M00pKd</t>
  </si>
  <si>
    <t>I update Branch name</t>
  </si>
  <si>
    <t>ram.naghore@mitaoe.ac.in</t>
  </si>
  <si>
    <t>0220200138</t>
  </si>
  <si>
    <t xml:space="preserve">RAM </t>
  </si>
  <si>
    <t>NAGHORE</t>
  </si>
  <si>
    <t>https://www.linkedin.com/in/ram-madhav-naghore-499420240</t>
  </si>
  <si>
    <t>At Hiwara ,TQ.kalamanuri,Dis.Hingoli, Maharashtra</t>
  </si>
  <si>
    <t>Waman niwas,dehu phata Alandi,pune</t>
  </si>
  <si>
    <t>ME231-Strength of material</t>
  </si>
  <si>
    <t>Diploma in mechanical engineering</t>
  </si>
  <si>
    <t xml:space="preserve">Microsoft Technology assosiate certificate in python </t>
  </si>
  <si>
    <t xml:space="preserve">Data science </t>
  </si>
  <si>
    <t>Medicine reminder</t>
  </si>
  <si>
    <t>SkillVoid in collaboration with E-cell IIT ROORKEE in Data science</t>
  </si>
  <si>
    <t>Thermal and performance analysis of solar collector using copper oxide nanofluid</t>
  </si>
  <si>
    <t>Working model single plate clutch</t>
  </si>
  <si>
    <t>Python, Java, C#</t>
  </si>
  <si>
    <t>Industrial training in automobile engineering</t>
  </si>
  <si>
    <t>Social works with Robin hood club</t>
  </si>
  <si>
    <t>https://preskilet.com/watch?v=62a45548589aee0004d9844b</t>
  </si>
  <si>
    <t>https://drive.google.com/open?id=1jMSZ-GYUKYwHgV0xOawteK-uUeuvLWRD</t>
  </si>
  <si>
    <t>https://drive.google.com/open?id=1gs0y2KyYRfiOirMeyC6hmd3TdFgs9TOe</t>
  </si>
  <si>
    <t>https://drive.google.com/open?id=1fnC3rW-5mbAeFHk5OLku4qqOcgLHZWAh</t>
  </si>
  <si>
    <t>https://drive.google.com/open?id=1eud8NHS_XG45j-KNydpZkD1t3sJB3bHl</t>
  </si>
  <si>
    <t>sryelwande@mitaoe.ac.in</t>
  </si>
  <si>
    <t>0220190199</t>
  </si>
  <si>
    <t xml:space="preserve">RAJARAM </t>
  </si>
  <si>
    <t xml:space="preserve">YELWANDE </t>
  </si>
  <si>
    <t>sanket.r.yelwande@gmail.com</t>
  </si>
  <si>
    <t>https://www.linkedin.com/in/sanket-yelwande-b99796241</t>
  </si>
  <si>
    <t>At post nighoje tal- khed dist -pune 410501</t>
  </si>
  <si>
    <t>infosys springboard</t>
  </si>
  <si>
    <t>Automatic srap and dust colleting trolly</t>
  </si>
  <si>
    <t>Research project on burnishing process</t>
  </si>
  <si>
    <t>Duel disc polishing and grinding machine</t>
  </si>
  <si>
    <t>Autocad</t>
  </si>
  <si>
    <t>https://drive.google.com/file/d/1dn_CQgu_cpVqVmCgYmoY5WMXnybkviqk/view?usp=drivesdk</t>
  </si>
  <si>
    <t>https://drive.google.com/open?id=1_gqtnAefOiR2tMFYDt2d5U5KgY_40vW7</t>
  </si>
  <si>
    <t>https://drive.google.com/open?id=1RNER6YdUb55myG_Juqi0P7Qu6C-5qS_S</t>
  </si>
  <si>
    <t>vishnu.patil@mitaoe.ac.in</t>
  </si>
  <si>
    <t>VISHNU</t>
  </si>
  <si>
    <t>www.linkedin.com/in/patil-vishnu-88618a181</t>
  </si>
  <si>
    <t xml:space="preserve">KISAN </t>
  </si>
  <si>
    <t>ANNAPURNA</t>
  </si>
  <si>
    <t>Back of Mankari Petrol Pump, Patel Nagar, Ring Road, Latur</t>
  </si>
  <si>
    <t>Lane No. 13, Bhairav Nagar, Dhanori, Vishrantwadi, Pune</t>
  </si>
  <si>
    <t>Infoysy Springboard : Python Programming</t>
  </si>
  <si>
    <t>House of fabrication, Gujarwadi, Pune</t>
  </si>
  <si>
    <t>Electric Bike</t>
  </si>
  <si>
    <t>Baja SAE India Atv</t>
  </si>
  <si>
    <t>https://drive.google.com/file/d/1CvmGOQBxeR3CAxlnegvxQg3xUruw70_l/view?usp=sharing</t>
  </si>
  <si>
    <t>https://drive.google.com/open?id=1NehZDk2RDBw1CzdIfimDsQZal5oDgDy2</t>
  </si>
  <si>
    <t>https://drive.google.com/open?id=1LZkgsPm6YuHQwdMHxgTjXsgHmr-AcxKk</t>
  </si>
  <si>
    <t>https://drive.google.com/open?id=1ZJkhTGZwDD4Oke7AGa1RrJ_FHNcShM91</t>
  </si>
  <si>
    <t>akgaikwad@mitaoe.ac.in</t>
  </si>
  <si>
    <t>0220190185</t>
  </si>
  <si>
    <t>AVIKESH</t>
  </si>
  <si>
    <t>KISHAN</t>
  </si>
  <si>
    <t>akgaikwad0201@gmail.com</t>
  </si>
  <si>
    <t>https://www.linkedin.com/in/avikesh-gaikwad-55167b224/</t>
  </si>
  <si>
    <t>KISHAN GOPALRAO GAIKWAD</t>
  </si>
  <si>
    <t>LALITABAI</t>
  </si>
  <si>
    <t>AT POST DEVTHANA TQ BHOKAR DISTRICT NANDED</t>
  </si>
  <si>
    <t>KALE COLONY LANE 2 ALANDI (DEVACHI) PUNE</t>
  </si>
  <si>
    <t>ME203 - SOLID MECHANICS</t>
  </si>
  <si>
    <t>" The Fundamental of Digital Marketing" from "Google Digital Garage"</t>
  </si>
  <si>
    <t>"Object Oriented programming in Python"</t>
  </si>
  <si>
    <t>Fundamental of Digital Marketing From Google digital garage</t>
  </si>
  <si>
    <t>Solar power plant from eji learning</t>
  </si>
  <si>
    <t>Automatic Tyre inflation system</t>
  </si>
  <si>
    <t xml:space="preserve">Participated in
National level workshop "Introduction to Finite Element Analysis using Ansys”.
National level workshop on "Multicriteria Decision-making methods".
</t>
  </si>
  <si>
    <t>https://preskilet.com/akgaikwad@mitaoe.ac.in</t>
  </si>
  <si>
    <t>https://drive.google.com/open?id=1nDt_5XP0NOQ2H8i2jGRWEnMbX84RDxc2</t>
  </si>
  <si>
    <t>https://drive.google.com/open?id=1DpwOrgHI2DjxWAm7qHR3cHMrDPqldNdU</t>
  </si>
  <si>
    <t>https://drive.google.com/open?id=1oTINN_rnX7CeDSCpRQ1sYM_5nLLqmXe0</t>
  </si>
  <si>
    <t>https://drive.google.com/open?id=1fe98lFAT6NNCODvJfaeGedzU8ydgTWpx</t>
  </si>
  <si>
    <t xml:space="preserve">Branch and preskilet video </t>
  </si>
  <si>
    <t>ketan.wagh@mitaoe.ac.in</t>
  </si>
  <si>
    <t>0220200185</t>
  </si>
  <si>
    <t>KETAN</t>
  </si>
  <si>
    <t>ketanwagh51@gmail.com</t>
  </si>
  <si>
    <t>https://www.linkedin.com/in/ketan-wagh-507460229</t>
  </si>
  <si>
    <t>RAMDAS WAGH</t>
  </si>
  <si>
    <t>NAGARBAI WAGH</t>
  </si>
  <si>
    <t>A/p- Rashin, tal-karjat, district-ahmednagar-414403</t>
  </si>
  <si>
    <t>A/p - Alandi, Pune Maharashtra</t>
  </si>
  <si>
    <t>Mechanical prototyping practical
Hydraulic and pneumatic</t>
  </si>
  <si>
    <t xml:space="preserve">Object oriented programming using python on Infosys spring board </t>
  </si>
  <si>
    <t>Machine learning with python
Acciojob coding internship program</t>
  </si>
  <si>
    <t>Specimen polishing machine
Low cost refrigeration system</t>
  </si>
  <si>
    <t xml:space="preserve">React.js (JavaScript/Typescript), Flask (Python), Object oriented programming using python, introduction to programming using python </t>
  </si>
  <si>
    <t>ETHNUS- josh scholarship and training program
Robotics and automation 3 day's technical Workshop attended 
Participated in Multi Criteria Decision Making Methods National level workshop</t>
  </si>
  <si>
    <t>Participated in state level Quiz compitition of HP
State level MCQ compitition of Automobile engineering
Participated in Multi Criteria Decision Making Methods National level workshop
State level practice test of industrial engineering and Quality control
State level refrigeration and air conditioning tests</t>
  </si>
  <si>
    <t>ETHNUS- josh scholarship training program-2022</t>
  </si>
  <si>
    <t xml:space="preserve">Machine learning with python
</t>
  </si>
  <si>
    <t>Participated in various events, workshop,social works in college</t>
  </si>
  <si>
    <t>https://preskilet.com/watch?v=62bd4c579535010004fd2480</t>
  </si>
  <si>
    <t>https://drive.google.com/open?id=1mJaGFEd39eeOVntejkUjU1M1XQx_OyKd</t>
  </si>
  <si>
    <t>https://drive.google.com/open?id=1SCkQjnPMs2UQQwk239aXIKb5gjZEQqN1</t>
  </si>
  <si>
    <t>https://drive.google.com/open?id=1uW9IBhSanRj2fpdMCJFt3hiMrnLWmp_N</t>
  </si>
  <si>
    <t>https://drive.google.com/open?id=1UjnewnKY6AIYdxUJ3bzpB7hoHq_4I6VS</t>
  </si>
  <si>
    <t>https://drive.google.com/open?id=1GMKHM_ac2tZ87vW0pDzKForZTDiQc_vv</t>
  </si>
  <si>
    <t>https://drive.google.com/open?id=1twyXRrCKPCSA0GNiLlibl5xqn-ZNdYFv</t>
  </si>
  <si>
    <t>https://drive.google.com/open?id=1OcIbnC_u9RkTRTfSXuOzGWM3YTcNmwxv</t>
  </si>
  <si>
    <t>Priskilet video, sy amcat result</t>
  </si>
  <si>
    <t>akash.damdhar@mitaoe.ac.in</t>
  </si>
  <si>
    <t>0220200119</t>
  </si>
  <si>
    <t>NAMDEO</t>
  </si>
  <si>
    <t>DAMDHAR</t>
  </si>
  <si>
    <t>https://www.linkedin.com/in/akash-damdhar-0452801a2</t>
  </si>
  <si>
    <t>At post. Jamod Ta.Jalgaon jamod Dist.Buldana</t>
  </si>
  <si>
    <t>Concept heritage society, Near MIT clg , Alandi Dist.Pune</t>
  </si>
  <si>
    <t>Fundamentals of Python By Infosys Springboard</t>
  </si>
  <si>
    <t>IOT Based irrigation and controlling and monitoring system</t>
  </si>
  <si>
    <t xml:space="preserve">SANY Heavy Industries India </t>
  </si>
  <si>
    <t>Design and Development of weight operated trolley.</t>
  </si>
  <si>
    <t>Fusion 360, CATIA, ANSYS, MATLAB, Creo, Lotus Shark, Adams , Msc Nastran , Msc Apex</t>
  </si>
  <si>
    <t>Working in BAJA Autosport club as a steering department member.</t>
  </si>
  <si>
    <t>Work experience in costing department in baja autosport club.</t>
  </si>
  <si>
    <t>https://preskilet.com/watch?v=62bddf349535010004fd2b68</t>
  </si>
  <si>
    <t>https://drive.google.com/open?id=15QlG5XjPpUuyRGX_ZGITm2qvk01kRZiO</t>
  </si>
  <si>
    <t>https://drive.google.com/open?id=1cJPpgvpolCbmlFaiyUV_CPFXoE7EftYs</t>
  </si>
  <si>
    <t>https://drive.google.com/open?id=1cGVnTvc_rtIvPbrjsSH3kGjWbSIyG4EM</t>
  </si>
  <si>
    <t>https://drive.google.com/open?id=11xkuCusao3cUFGngYTSHGO62Ra-EyO8y</t>
  </si>
  <si>
    <t>https://drive.google.com/open?id=17dvBMNMI16i-TrfwkBQ-Alqw39tWvxG4</t>
  </si>
  <si>
    <t>For Updating preskilet link</t>
  </si>
  <si>
    <t>siraj.shaikh@mitaoe.ac.in</t>
  </si>
  <si>
    <t>0220200197</t>
  </si>
  <si>
    <t>SIRAJ</t>
  </si>
  <si>
    <t>UJALESAB</t>
  </si>
  <si>
    <t>sirajshaikh02729@gmail.com</t>
  </si>
  <si>
    <t>https://www.linkedin.com/in/shaikh-siraj-6a217522b</t>
  </si>
  <si>
    <t>NASIMA</t>
  </si>
  <si>
    <t>AT,POST ATKALI,TQ-BILOLI,DIST-NANDED</t>
  </si>
  <si>
    <t>Programming fundamentals using python(Ongoing)</t>
  </si>
  <si>
    <t>Numerical investigation of women  dummy.</t>
  </si>
  <si>
    <t>OSCILLATING CYLINDER ENGINE  MECHANISM</t>
  </si>
  <si>
    <t>AutoCAD, Fusion 360, SolidWorks, CATIA, ANSYS, Creo</t>
  </si>
  <si>
    <t>Participated in BAJA 2022</t>
  </si>
  <si>
    <t>EBC AND PUNJABRAO DESHMUKH</t>
  </si>
  <si>
    <t>Participated in SAEBAJA 2022 National level event.</t>
  </si>
  <si>
    <t>https://preskilet.com/watch?v=62bdf1dd9535010004fd2d38</t>
  </si>
  <si>
    <t>https://drive.google.com/open?id=1w5HoWobVJZfoR-rC5Km8nlC51fbrBtqE</t>
  </si>
  <si>
    <t>https://drive.google.com/open?id=19vWguvHH_YVZkeDsO_j2tMPKbsA_MRse</t>
  </si>
  <si>
    <t>preskilet video link is updated.</t>
  </si>
  <si>
    <t>shubham.sonawane@mitaoe.ac.in</t>
  </si>
  <si>
    <t>0220200139</t>
  </si>
  <si>
    <t xml:space="preserve">AABA </t>
  </si>
  <si>
    <t>https://www.linkedin.com/in/shubham-sonawane-106891241</t>
  </si>
  <si>
    <t>AABA SONAWANE</t>
  </si>
  <si>
    <t>SANGITA SONAWANE</t>
  </si>
  <si>
    <t>Dhangarwada, erandol road mhasawad, jalgaon</t>
  </si>
  <si>
    <t>Google</t>
  </si>
  <si>
    <t>Google digital unlocked</t>
  </si>
  <si>
    <t>Project :- analysis and fabrication of solar collector using nano fluid</t>
  </si>
  <si>
    <t>Diploma project :- three axis working model</t>
  </si>
  <si>
    <t>https://drive.google.com/file/d/12t6FnBDP_hOZuLB0T2C6IdKda4N-iu0i/view?usp=drivesdk</t>
  </si>
  <si>
    <t>https://drive.google.com/open?id=16kadIHqL3Q3tbjk8uRxq4pSmG6AjCijz</t>
  </si>
  <si>
    <t>https://drive.google.com/open?id=1flhkc3rt4lCAJtZecnW1frwwMg1B97a9</t>
  </si>
  <si>
    <t>https://drive.google.com/open?id=1BflWw39UGODIWJfjVd4aRMOCnLzZ05Xk</t>
  </si>
  <si>
    <t>https://drive.google.com/open?id=1GJBKW126bZzym-OOI-ToCr2CcymXYGZB</t>
  </si>
  <si>
    <t>vishal.gaikwad@mitaoe.ac.in</t>
  </si>
  <si>
    <t>0220200109</t>
  </si>
  <si>
    <t>www.linkedin.com/in/vishal-gaikwad-7a336b241</t>
  </si>
  <si>
    <t>TANAJI UGRASEN GAIKWAD</t>
  </si>
  <si>
    <t>ANITA TANAJI GAIKWAD</t>
  </si>
  <si>
    <t>At .sirsal TQ.ausa di.latur</t>
  </si>
  <si>
    <t>ME231L</t>
  </si>
  <si>
    <t>Springboard :  Object Oriented Programming By Using Python</t>
  </si>
  <si>
    <t xml:space="preserve">Springboard : FULL STACK WEB DEVELOPMENT </t>
  </si>
  <si>
    <t>MAYUR ENGINNERING PVT LMTD</t>
  </si>
  <si>
    <t>AIR COMPRESSSOR BY USING SCOTCH YOKE MECHANISM</t>
  </si>
  <si>
    <t>PARTICIPATE IN CODECHEF CODING ROUND</t>
  </si>
  <si>
    <t>https://preskilet.com/watch?v=62a36251a6956a00045fff8d</t>
  </si>
  <si>
    <t>https://drive.google.com/open?id=1zut_gU1n5G4LqbiV6Tl6p43aIW_TVgMc</t>
  </si>
  <si>
    <t>https://drive.google.com/open?id=12RdJ_v36Hm6SqgStNtxcaZt6XzYLPQpH</t>
  </si>
  <si>
    <t>https://drive.google.com/open?id=1-LGj_mUVBqvHyTkwAXmdH3hoVJ9o4ZdE</t>
  </si>
  <si>
    <t>krantisinha.jagtap@mitaoe.ac.in</t>
  </si>
  <si>
    <t>0220200136</t>
  </si>
  <si>
    <t>KRANTISINHA</t>
  </si>
  <si>
    <t>https://www.linkedin.com/in/krantisinha-jagtap-63304a21a/</t>
  </si>
  <si>
    <t>BHARAT SITARAM JAGTAP</t>
  </si>
  <si>
    <t>NUTAN BHARAT JAGTAP</t>
  </si>
  <si>
    <t>Shivaji Nagar, Near Old Water Tank, Murud Dist Latur-413510</t>
  </si>
  <si>
    <t>Programming Fundamentals using Python - Science Graduates - Foundation Program: Infosys Springboard</t>
  </si>
  <si>
    <t>Introduction to 3D Modeling for Manufacturing : Autodesk, Introduction to Design for Manufacturing: Autodesk etc</t>
  </si>
  <si>
    <t xml:space="preserve">Project : IOT Based Air Quality Monitoring &amp; Controlling System </t>
  </si>
  <si>
    <t>1) Internship @Green Shuttle Technology Private Limited, Pune
2) Project - Comparative Numerical Analysis of ZnO and AgZnO nanofluid through automobile radiator</t>
  </si>
  <si>
    <t>1) Comparative Numerical Analysis of ZnO and AgZnO nanofluid through automobile radiator
2) IOT based Air Quality Monitoring &amp; Controlling System 
3) Drainage Cleaning Machine</t>
  </si>
  <si>
    <t>1) Go Kart Event
2) CFD Wokshop</t>
  </si>
  <si>
    <t>1) 1st Runner-up in  National Level Go kart event organized by Wisdomatic Swarms, 
2) Winner in Intercollegiate Cricket Sport</t>
  </si>
  <si>
    <t>Attended One Day Hands-On Training on "Computational Fluid Dynamics: Applications and Opportunities" organised by Dr. Vishwanath Karad MITWPU on 30th April 2022.</t>
  </si>
  <si>
    <t>1) Participated in Edgeline Go-Kart  Championship 2021 (National Level),
2) Participated in Cricket (Intercollegiate Sport)</t>
  </si>
  <si>
    <t>https://preskilet.com/krantisinha.jagtap@mitaoe.ac.in</t>
  </si>
  <si>
    <t>https://drive.google.com/open?id=1DfUAQnajg4L_J7DMiid6eRmeMCy_yGg7</t>
  </si>
  <si>
    <t>https://drive.google.com/open?id=1k7z7e0It9uPTgqWQ0zCVMVtYMLJJigZz</t>
  </si>
  <si>
    <t>https://drive.google.com/open?id=1f4gYe84N2i75fWaGqOPQ6a933jWts3Tt</t>
  </si>
  <si>
    <t>https://drive.google.com/open?id=1CxJk7yYldIJJuGJj2MaghTAvHp_q8kZE</t>
  </si>
  <si>
    <t>https://drive.google.com/open?id=1D-3HtLldekAfrhVco9_rQ0H8ST7jHx31</t>
  </si>
  <si>
    <t>https://drive.google.com/open?id=1Ehor5Si1wj_fYb4P_U1U2Ik-lChJvXEd</t>
  </si>
  <si>
    <t>https://drive.google.com/open?id=13nmUikgXaI1qbFwJlJdNDATSmw1AFT8J</t>
  </si>
  <si>
    <t>https://drive.google.com/open?id=1SL8DciOHmwHyz0wTL11nWk-w8vQSGwyU</t>
  </si>
  <si>
    <t>Updated the AMCAT results in PDFs , previously screenshots are uploaded</t>
  </si>
  <si>
    <t>YES (1 &amp; 2 Flipped)</t>
  </si>
  <si>
    <t>salman.tamboli@mitaoe.ac.in</t>
  </si>
  <si>
    <t>0220200175</t>
  </si>
  <si>
    <t>SALMAN</t>
  </si>
  <si>
    <t>SIKANDAR</t>
  </si>
  <si>
    <t>TAMBOLI</t>
  </si>
  <si>
    <t>https://www.linkedin.com/in/salman-tamboli-31300b22a</t>
  </si>
  <si>
    <t>PARVIN</t>
  </si>
  <si>
    <t>At post Chincholi, Tal- Madha, Dist- Solapur, 413208</t>
  </si>
  <si>
    <t>Dhananjay Boys Hostel, Hindavi colony 2, Alandi, Pune</t>
  </si>
  <si>
    <t>Infosys: Introduction to Python</t>
  </si>
  <si>
    <t>Infosys: Programming Fundamentals using Python - Science Graduates - Foundation Program.</t>
  </si>
  <si>
    <t>Project:
Project done on Optimization of Abrasive waterjet machining parameters' by using Taguchi and Anova method.
-It uses Design of Experiments, We have to enter some inputs in minitab software and entered the details about scenario and receive the results in terms of output values of parameters.
1. Input parameters- Standoff Distance, Abrasive flow rate, Traverse speed.
2. Output parameters - Material removal rate, Surface roughness, Kerf width.</t>
  </si>
  <si>
    <t>Experimentally and Numerical Simulation to improve the Performance of Vapour Compression Cycle using Water Cooled Condenser
-that means as we know air-cooled condensers have less heat transfer with surrounding in VCC and this becomes less in hot regions and weather. Thus, consume more Power by compressor and decrease COP. Increase Global Warming and environmental issues.
So, we are going to use the water-cooled condenser having more efficiency and heat 
transfer than the air-cooled and the transferred heat to the surrounding will be less to 
overcome the environmental issues.</t>
  </si>
  <si>
    <t>1. Study of permanent magnets for use in suspension system.
2. Optimization of Abrasive waterjet machining parameters' by using Taguchi and Anova method.
3. Experimentally and Numerical Simulation to improve the Performance of Vapour Compression Cycle using Water Cooled Condenser.</t>
  </si>
  <si>
    <t>Equilibrium 2022 : A National Level Technical Event Organized from 23-24 March 2022.
The 1st Runner Up in "Search and Destroy" Competition.</t>
  </si>
  <si>
    <t>https://preskilet.com/watch?v=62a31b7ba6956a00045ff917</t>
  </si>
  <si>
    <t>https://drive.google.com/open?id=1FS_cijjHRhd08OKzbxTkHwzkxrKTe3ep</t>
  </si>
  <si>
    <t>https://drive.google.com/open?id=1mC-URmdMFpk4x1Aj6eFxln46s2K9l7RI</t>
  </si>
  <si>
    <t>https://drive.google.com/open?id=1mSayFSKnTGunP9pKDMtnTFLZyPEAUEzE</t>
  </si>
  <si>
    <t>https://drive.google.com/open?id=1BaF43sGTWg3RPxvs2XcEKaK0wh5NIMkd</t>
  </si>
  <si>
    <t>https://drive.google.com/open?id=1RO4SfZceO8wi_ODLdozYKPujCepixBbH</t>
  </si>
  <si>
    <t xml:space="preserve">Marks updated </t>
  </si>
  <si>
    <t>mohit.jadhav@mitaoe.ac.in</t>
  </si>
  <si>
    <t>0220200098</t>
  </si>
  <si>
    <t xml:space="preserve">MOHIT </t>
  </si>
  <si>
    <t>PREMSING</t>
  </si>
  <si>
    <t>https://www.linkedin.com/in/mohit-jadhav-b27bb1147</t>
  </si>
  <si>
    <t xml:space="preserve">PREMSING BHOJUSING JADHAV </t>
  </si>
  <si>
    <t xml:space="preserve">VANDANA PREMSING JADHAV </t>
  </si>
  <si>
    <t xml:space="preserve">Premsing Jadhav , Behind Maruti mandir ,  At Post Ahilyapur , Taluka - Shirpur , District - Dhule , Pin Code - 425405 </t>
  </si>
  <si>
    <t xml:space="preserve">Infosys Springboard : Programming fundamentals using Python </t>
  </si>
  <si>
    <t xml:space="preserve">ROBOCON 2022 , Delhi </t>
  </si>
  <si>
    <t>Vegetable Vending Machine. - This is a automated and refrigerated machine that is to be used to dispense particular vegetable selected by the buyer from the dashboard. The Gripper is used as a end effector in the machine which has three degree of freedom. Each commodity in the machine has a specified compartment and each compartment is given specific co-ordinates. 
Foot Step Power Generation System. It was a system that had a Rack and Pinion mechanism and a gear train to convert the linear movement generated by foot to the rotary motion and converting the rotary motion to the electrical energy.</t>
  </si>
  <si>
    <t>AutoCAD, SolidWorks, CATIA, ANSYS, MATLAB, Creo</t>
  </si>
  <si>
    <t xml:space="preserve">Core Member at Invictus Club ( Robotics Club) 
Event Head in Equilibrium 2022  
CEO at Marketing Einstein (Social media Agency) and a Freelancer  - from July 2020 to till date </t>
  </si>
  <si>
    <t>https://preskilet.com/mohit.jadhav@mitaoe.ac.in</t>
  </si>
  <si>
    <t>https://drive.google.com/open?id=1RlU619XKyWWFvVHxkvt4oLoEuT3yDuP8</t>
  </si>
  <si>
    <t>https://drive.google.com/open?id=1ZN3eK_QNfFGM-MdxqvxwlyQ858iDaE4F</t>
  </si>
  <si>
    <t>https://drive.google.com/open?id=1ibwpCXZyveY-du6ew15tP5EQ8GlvssEq</t>
  </si>
  <si>
    <t>https://drive.google.com/open?id=19fatbg9ie4dSqgaJIPHXlxQc6hTAOGHv</t>
  </si>
  <si>
    <t>varad.madhavi@mitaoe.ac.in</t>
  </si>
  <si>
    <t>0220200115</t>
  </si>
  <si>
    <t>MADHAVI</t>
  </si>
  <si>
    <t>https://www.linkedin.com/in/varad-madhavi-14406a233</t>
  </si>
  <si>
    <t>SULBHA</t>
  </si>
  <si>
    <t>Gavat bajar, Ravivar peth, Junnar, 410502</t>
  </si>
  <si>
    <t>Vithai Hostel, Near Gajanan Maharaj Mandir, Tapkir nagar, 412105</t>
  </si>
  <si>
    <t xml:space="preserve">Electric vehicle Charging Station:
Here in this project, we have studied and develope the design for the charging station for the electric vehicle with the Solar Panels. we have develope the design with reference to the one TATA Nexon. In this project we have studied the different components such as battery, converter, electronic module for controlling and monitoring, cables, chargers etc. We come to know that, charging time is reduced as compared to the conventional structure. </t>
  </si>
  <si>
    <t xml:space="preserve">Numerical Simulation of Water cooled condenser:
In this project we are studying the water cooled condenser deeply. The aim of the project is to use the water cooled condenser instead of the Air Cooled condenser. 
We are going to do the small water cooled condenser and develop the original conditions of the condenser such as flowrate, volume flow rate, pressure, temperature, use of refrigerant, etc. </t>
  </si>
  <si>
    <t>https://preskilet.com/watch?v=62a36b2ca6956a00046000ac</t>
  </si>
  <si>
    <t>https://drive.google.com/open?id=1h7m-Qo78unbaCLRljhuQ5OUHPPlzl60j</t>
  </si>
  <si>
    <t>https://drive.google.com/open?id=1NF2OUEm5i8Btkoox2KHH_fdilB02OYHF</t>
  </si>
  <si>
    <t>https://drive.google.com/open?id=1sSwzh1b2fYsEbALA5pw6dYzssfn3IXAt</t>
  </si>
  <si>
    <t>https://drive.google.com/open?id=1NdSUuR-yC87-gSs4uihF4G1YESgsszqm</t>
  </si>
  <si>
    <t xml:space="preserve">Technical Certificates </t>
  </si>
  <si>
    <t>rugved.naigaonkar@mitaoe.ac.in</t>
  </si>
  <si>
    <t>0220200092</t>
  </si>
  <si>
    <t>RUGVED</t>
  </si>
  <si>
    <t>NAIGAONKAR</t>
  </si>
  <si>
    <t>https://www.linkedin.com/in/rugved-naigaonkar-573337212/</t>
  </si>
  <si>
    <t>PRAKASH SAKHARAM NAIGAONKAR</t>
  </si>
  <si>
    <t>RENUKA PRAKASH NAIGAONKAR</t>
  </si>
  <si>
    <t>Sambhaji nagar,patwari colony, yavatmal</t>
  </si>
  <si>
    <t>Near pathak mess, dehu phata , alandhi</t>
  </si>
  <si>
    <t>SY internship: Completed SY SIP at Niyudrath Karting (Autosport Club) of MITAOE.
Designed and manufactured Go kart chassis.</t>
  </si>
  <si>
    <t>TY Internship: Pune Metro
TY Project: Numerical investigation of pregnant women dummy for side impact analysis.</t>
  </si>
  <si>
    <t>Diploma project : Pneumatic sheet cutting machine
SY project: Disc polishing machine,</t>
  </si>
  <si>
    <t>1)Completed 3 days workshop on basics of ANSYS</t>
  </si>
  <si>
    <t>AIR 2 at Edgeline go kart Championship</t>
  </si>
  <si>
    <t xml:space="preserve">Participated in national level go kart event organised by Wisdomatic Swarms. </t>
  </si>
  <si>
    <t>https://drive.google.com/drive/folders/1aGY55WXh6B9R4ff6d5HobZwufKxsxG0E?usp=sharing</t>
  </si>
  <si>
    <t>https://drive.google.com/open?id=10PD6p3WdakXMMHtW5ZcObaKdPDCgAEh7</t>
  </si>
  <si>
    <t>https://drive.google.com/open?id=1qWv7q-9EX-kwnA85Tu6xviswb7ss9pIU</t>
  </si>
  <si>
    <t>https://drive.google.com/open?id=1CXIgpnnHxBPZGqRIaK3-5BQe0Wsy79xY</t>
  </si>
  <si>
    <t>https://drive.google.com/open?id=1IzMzRJqsEm_lo-zAqEyoTG85YvYnDXyn</t>
  </si>
  <si>
    <t>https://drive.google.com/open?id=19EzquVfEcYI24G9QfYQqRaGst2QJxE9P</t>
  </si>
  <si>
    <t>https://drive.google.com/open?id=1kSXJT6dC-OXn_193VPQCTkADjUkDHfHR</t>
  </si>
  <si>
    <t>prathamesh.dhamnikar@mitaoe.ac.in</t>
  </si>
  <si>
    <t>DHAMNIKAR</t>
  </si>
  <si>
    <t>https://www.linkedin.com/in/prathamesh-dhamnikar-bab435211</t>
  </si>
  <si>
    <t>Manorath colony , Dabki road , Akola</t>
  </si>
  <si>
    <t>Concept heritage , near MIT Collage , alandi , Pune</t>
  </si>
  <si>
    <t>Infosys : Programming Fundamentals using Python</t>
  </si>
  <si>
    <t>Oracle Certificate associate</t>
  </si>
  <si>
    <t>Python with Data structure and algorithms from Coding Ninja .</t>
  </si>
  <si>
    <t xml:space="preserve">1. Internship done for 2 months at Team Niyudrath Karting in Powertrain Department 
- Design various powertrain component and done analysis for the same : Shaft , Hub , Flange , Engine mounting , Sprocket .
- Participated in National level event ' Edgeline championship organized by Wisdomatic Swarms ' virtual event . 
2. Project done on 'Optimization of Abrasive waterjet machining parameters' by using taguchi and anova method 
- It uses Design of Experiments , We have to enter some inputs in minitab software and entered the details about scenario and receive the results in terms of output values of parameters . 
1. Input parameters - Standoff Distance , Abrasive flow rate , Traverse speed .
2. Output parameters - Material removal rate , Surface roughness , Kerf width . </t>
  </si>
  <si>
    <t xml:space="preserve">1. Internship in Sany heavy industry india pvt ltd , chakan plant , Pune in Quality Department . Performed FIFO audit , contamination audit , torque audit  and two projects are undergoing i.e. Matrix for different models of excavator , Quality manual for in house quality . Also my job role includes Assembly line check up , Inward quality check , 7QC tools , PPM , 8D report , Why why analysis done .
2. Project done on ' Design and analysis of electric motor fins'
- Design various CAD models of various tyoes of fins on electric motor casing 
- Finalize six optimum design and done the analysis for the same 
- Shortlist one design on the basis of result in terms of Max heat transfer rate , best thermal conductivity , cost efficiency . 
</t>
  </si>
  <si>
    <t>1. Design and analysis of electric motor fins 
2. Optimization of abrasive waterjet machining process parameters
3. Accident identification and alerting system for car</t>
  </si>
  <si>
    <t>Fusion 360, CATIA, ANSYS, MATLAB, MSC Nastran ,MSC patran , MSC Apex , Minitab , Tinkercad , Tableau</t>
  </si>
  <si>
    <t>1. Working as an Organizing Secretary of Mechanical Engineering Student Association (MESA)
2. Working as an Student placement Co - Ordinator in Corporate relations MITAOE from Mechanical Department .
3.Working in NSS as an active volunteer . 
4. Worked in Autosports club in MITAOE from February 2021 to Sept 2021</t>
  </si>
  <si>
    <t xml:space="preserve">1. Catia training from Internshala 
2. Interview and Placement preparation from Internshala 
3. Aptitude training from Talentbattle </t>
  </si>
  <si>
    <t xml:space="preserve">1. Organized farewell program for Btech 2022 Mechanical Students batch under MESA
2. Organized women's day event in 2022 year under MESA
</t>
  </si>
  <si>
    <t>https://preskilet.com/watch?v=62a3761aa6956a00046002ad</t>
  </si>
  <si>
    <t>https://drive.google.com/open?id=10QbJIVoK3AzwzkaHpsqPUjwG87J7KnOo</t>
  </si>
  <si>
    <t>https://drive.google.com/open?id=11tj2f88YzwQ0nW1cMSD0PE-wz2nvdzfT</t>
  </si>
  <si>
    <t>https://drive.google.com/open?id=1yrA0ln_Fcuid8uDcTaPOltbt2ZVpoqwk</t>
  </si>
  <si>
    <t>https://drive.google.com/open?id=1tDc5sleyzq2WwxHEwqqR5XgHPEQtBYUy</t>
  </si>
  <si>
    <t>https://drive.google.com/open?id=1-LKLw_RU4p4oL8TiZ7VjwDOHiB0CX3wy</t>
  </si>
  <si>
    <t>https://drive.google.com/open?id=11OhPNAvNiF-dxI3FZEjLTY4fJf0sg9UV</t>
  </si>
  <si>
    <t>Marks 6th semister</t>
  </si>
  <si>
    <t>prajwal.agarwal@mitaoe.ac.in</t>
  </si>
  <si>
    <t>0220200128</t>
  </si>
  <si>
    <t>https://www.linkedin.com/in/prajwal-agarwal-a05707213</t>
  </si>
  <si>
    <t>PRADDEP</t>
  </si>
  <si>
    <t>RITU</t>
  </si>
  <si>
    <t>11/236, Flat No S-11, Mohan Arcade, Station Road, Ichalkaranji 416115</t>
  </si>
  <si>
    <t>Flat No 305, Indrayani Hills Alandi 412105</t>
  </si>
  <si>
    <t>Infosys Springboard - Python Programmer Certification Microsoft Excel</t>
  </si>
  <si>
    <t>Coursera - Introduction to Data Analysis using</t>
  </si>
  <si>
    <t>Internship with Project of Design and Development of Automation using Fanuc Control Robot At General Machine Tool Yadrav, Kolhapur.</t>
  </si>
  <si>
    <t>Internship on Design and Manufacturing of Pipe less Inline Hydraulic Jig and Fixture at RR Metacraft Ichalkaranji, Kolhapur.</t>
  </si>
  <si>
    <t xml:space="preserve">Internship In Development in Manufacturing Process and Quality Management at Ved Industries Kolhapur. </t>
  </si>
  <si>
    <t xml:space="preserve">1. Sponsored by DigiPro 3D Pune on project of Experimental Analysis of PETG Material by 3D Printed Specimen using Fused Deposition Modeling. </t>
  </si>
  <si>
    <t xml:space="preserve">1. BE Project - Design, Analysis and Manufacturing Of Electrospinning Nanofiber Mask For Virous Protection, Pollution Protection, Automobile Paint Shops
2. Minor Project - Design And Analysis Of PLA AND ABS Sandwiched Plastic Using Industrial Epoxy Adhesive 
3. Diploma Project -  Experimental Analysis of PETG Material by 3D Printed Specimen using Fused Deposition Modeling. </t>
  </si>
  <si>
    <t xml:space="preserve">1. Bagged the First Price in “Technical Paper Presentation Competition” at “Sharad 
Institute of Polytechnic” Kolhapur.
2. Second Price In technocrat event of paper presentation at "Sharad Institute of Technology" Kolhapur.   </t>
  </si>
  <si>
    <t xml:space="preserve">1. Achieved All India Ranking 2 in Go green Department and Overall All Indian Ranking 19 In an International Level Event arranged by SAE BAJA 2022 At Indore
2. Participated In State Level Technical Paper Presentation Competition arranged By Maharashtra State Board Of Technical Education At Pune. </t>
  </si>
  <si>
    <t xml:space="preserve">1. One week’ Workshop attended on “3D Modelling in CATIA Software” from “Apollo 
Institute”, sangli in year 2019.
</t>
  </si>
  <si>
    <t xml:space="preserve">Participated At International Event Organized by SAE BAJA at Indore and Achieved Overall All India Ranking of 19 and Go Green Department with All India Ranking of 2. </t>
  </si>
  <si>
    <t>https://drive.google.com/file/d/1sf3T-sM7-EyZDsEhWyhyEhbxPUnMYo8k/view?usp=sharing</t>
  </si>
  <si>
    <t>https://drive.google.com/open?id=1bu6JBhhvca1zAYrtaiFU862AFkR9_lPa</t>
  </si>
  <si>
    <t>https://drive.google.com/open?id=1TuwZFIUMHZ8u2pt13pFSuNrWIRA7dTCA</t>
  </si>
  <si>
    <t>https://drive.google.com/open?id=1vQrCvQjmoDd1lHU8XND3kbn9QzgTP1wB</t>
  </si>
  <si>
    <t>https://drive.google.com/open?id=1vPKco4Ab6zI0tUcE0WiFzgrhPVKskGRZ</t>
  </si>
  <si>
    <t>https://drive.google.com/open?id=1CfZ8w9RxaxgZ_my_gDfAEuhW4_C9aMPc</t>
  </si>
  <si>
    <t>I have Updated Industrial Certification (Technical Certification) as my course is completed.</t>
  </si>
  <si>
    <t>pavankumar.sarvade@mitaoe.ac.in</t>
  </si>
  <si>
    <t>0220200073</t>
  </si>
  <si>
    <t>PAVANKUMAR</t>
  </si>
  <si>
    <t>SARVADE</t>
  </si>
  <si>
    <t>pavansarvade999@gmail.com</t>
  </si>
  <si>
    <t>www.linkedin.com/in/pavankumar-sarvade999</t>
  </si>
  <si>
    <t xml:space="preserve">CHANDRAKANT SARVADE </t>
  </si>
  <si>
    <t>MANJUSHA SARVADE</t>
  </si>
  <si>
    <t xml:space="preserve">18, EWS, Sagar Chowk, Vedi Gharkul, Solapur </t>
  </si>
  <si>
    <t>Python
Matlab Onramp</t>
  </si>
  <si>
    <t>Infosys Springboard: Database Management</t>
  </si>
  <si>
    <t xml:space="preserve">Automatic Sanitizer Spraying &amp; Temperature Detection Rescuer </t>
  </si>
  <si>
    <t>Internship- Indian Railways
Project- Autonomous Fertilizer Spraying Robo for different crops</t>
  </si>
  <si>
    <t>DESIGN &amp; DEVELOPMENT OF BENDING PRESS TOOL</t>
  </si>
  <si>
    <t>AutoCAD, Fusion 360, SolidWorks, CATIA, MATLAB, Comsol</t>
  </si>
  <si>
    <t xml:space="preserve">1. Given a National Level “Paper Presentation” Competition at AGPPI, 
Solapur.
2. Winner in “Parts Making on Lathe” competition at AGPPI, Solapur.
3. 5-days Workshop on “Design Thinking” </t>
  </si>
  <si>
    <t>Awarded for District level Competition in Cricket in Inter-Diploma 
Competitions.</t>
  </si>
  <si>
    <t>Organized Events in Diploma
Participation in Management</t>
  </si>
  <si>
    <t>https://drive.google.com/drive/folders/1gbvnlUSVo3Bg-rH4bmJpgrG7CEmdzFIS</t>
  </si>
  <si>
    <t>https://drive.google.com/open?id=1EyekP84Tz9P1fW_BkeUXcl2wrhiSRCA6</t>
  </si>
  <si>
    <t>https://drive.google.com/open?id=1nmlEdF_CofkuiG2sQt86wvz5L0ZRLz7K</t>
  </si>
  <si>
    <t>rutuja.tarkase@mitaoe.ac.in</t>
  </si>
  <si>
    <t>0220200217</t>
  </si>
  <si>
    <t>TARKASE</t>
  </si>
  <si>
    <t>https://www.linkedin.com/in/rutuja-tarkase-933163235</t>
  </si>
  <si>
    <t>B-12 Flat No23 Sector 1B Dwarka City Mahalunge Ingle Pune 410501</t>
  </si>
  <si>
    <t xml:space="preserve">Zero </t>
  </si>
  <si>
    <t>Coursera - Introduction to Data Analysis using Microsoft Excel</t>
  </si>
  <si>
    <t xml:space="preserve">Internship at Multi National Company, Sany Heavy Industry Pvt. India on TPM Activity Support For Excavator assembly Line GH </t>
  </si>
  <si>
    <t>1. BE Project - Design, Analysis and Manufacturing Of Electrospinning Nanofiber Mask For Virous Protection, Pollution Protection, Automobile Paint Shops
2. Minor Project - Design And Analysis Of PLA AND ABS Sandwiched Plastic Using Industrial Epoxy Adhesive</t>
  </si>
  <si>
    <t>AutoCAD, Fusion 360, SolidWorks, CATIA, Creo</t>
  </si>
  <si>
    <t>Certified “CATIA V5 R19 Skill Gap Analysis - Beginner” from “TATA
TECHNOLOGIES</t>
  </si>
  <si>
    <t>Achieved All India Ranking 2 in Go green Department and Overall All Indian Ranking 19 In an International Level Event arranged by SAE BAJA 2022 At Indore</t>
  </si>
  <si>
    <t>Participated At International Event Organized by SAE BAJA at Indore and Achieved Overall All India Ranking of 19 and Go Green Department with All India Ranking of 2.</t>
  </si>
  <si>
    <t>https://drive.google.com/drive/folders/178Se87nAzyrImSalxd7PwSY42W0o3rx8?usp=sharing</t>
  </si>
  <si>
    <t>https://drive.google.com/open?id=1H7w9fpcljSPJhgVJjJgLzy2O7bL9ZIWD</t>
  </si>
  <si>
    <t>https://drive.google.com/open?id=1mCZt4ZvgBD8BN70YOTACPpGkaWhYC9lV</t>
  </si>
  <si>
    <t>https://drive.google.com/open?id=1rrZ5lv4a78Vd5FvFF2vR-zAxH-fusNxF</t>
  </si>
  <si>
    <t>https://drive.google.com/open?id=1uH-z86kpC3cMlNFyqWlyzBR7zE7IlYCc</t>
  </si>
  <si>
    <t>I have Updated Industrial Certification as my course is completed</t>
  </si>
  <si>
    <t>yash.sujgure@mitaoe.ac.in</t>
  </si>
  <si>
    <t>0220200149</t>
  </si>
  <si>
    <t>SUJGURE</t>
  </si>
  <si>
    <t>https://www.linkedin.com/in/yash-sujgure-21035b1a1</t>
  </si>
  <si>
    <t>Shivshanti bunglow, near hari pooja society, opposite dutta petrol pump, vihitgoan lam road, Nashik Raod , Nashik.</t>
  </si>
  <si>
    <t>Basics of python</t>
  </si>
  <si>
    <t>Electric vehicle charging station.</t>
  </si>
  <si>
    <t>Numerical simulation of water cooled condenser.</t>
  </si>
  <si>
    <t>https://preskilet.com/watch?v=62a3809ea6956a00046004ea</t>
  </si>
  <si>
    <t>https://drive.google.com/open?id=1Hnx8MT05GXf2MHPIAsG_QjVHYctCQNX9</t>
  </si>
  <si>
    <t>https://drive.google.com/open?id=1e1Cr-g7cEEUiT0asXmAFSV0HGSpNKtXO</t>
  </si>
  <si>
    <t>raj.dhole@mitaoe.ac.in</t>
  </si>
  <si>
    <t>0220200234</t>
  </si>
  <si>
    <t>DHOLE</t>
  </si>
  <si>
    <t>https://www.linkedin.com/in/raj-dhole-a0094020a</t>
  </si>
  <si>
    <t>12, Jyoti Palace, Salisbury Park, Pune:- 411037</t>
  </si>
  <si>
    <t xml:space="preserve">ME343T - Hydraulic and pneumatic </t>
  </si>
  <si>
    <t xml:space="preserve">Microsoft Python Training </t>
  </si>
  <si>
    <t>Shivam tools</t>
  </si>
  <si>
    <t>Electric bi-cycle</t>
  </si>
  <si>
    <t>https://preskilet.com/raj.dhole@mitaoe.ac.in</t>
  </si>
  <si>
    <t>https://drive.google.com/open?id=18TUsiLspf6gg7KT5GGwdp2TD53nrTULe</t>
  </si>
  <si>
    <t>https://drive.google.com/open?id=1na1GBRdalAx5gW-JYnXyt826uX-DZiKN</t>
  </si>
  <si>
    <t>https://drive.google.com/open?id=1e2OYMnSqzuDl0x2dtjMOGZGQCcv-kIHn</t>
  </si>
  <si>
    <t>https://drive.google.com/open?id=10SwqZ9rHQeuE-cfte8rt20LgMtqKaux9</t>
  </si>
  <si>
    <t>https://drive.google.com/open?id=1tK2cTJOQAQKIJF7QkasR1nNXNiiwln3v</t>
  </si>
  <si>
    <t>I have updated preskilet link because I thought we have to upload drive link.</t>
  </si>
  <si>
    <t>rishabhraj@mitaoe.ac.in</t>
  </si>
  <si>
    <t>RISHABH</t>
  </si>
  <si>
    <t>rrishabhr6@gmail.com</t>
  </si>
  <si>
    <t>https://www.linkedin.com/in/rishabh-raj-45133a213</t>
  </si>
  <si>
    <t>RAJIV KUMAR</t>
  </si>
  <si>
    <t>RINA DEVI</t>
  </si>
  <si>
    <t>Near Murpa Mandir , Vill- Murpa , P.O - Kujju , Thana - Mandu , Dist- Ramgarh , Pin- 825316, Jharkhand</t>
  </si>
  <si>
    <t>ME343T - Hydraulics And Pneumatics</t>
  </si>
  <si>
    <t>lntroduction to Python , Coursera</t>
  </si>
  <si>
    <t>Programming for everybody(Getting started with Python)
Python Data Structure</t>
  </si>
  <si>
    <t>Associate in It Foundation-Python</t>
  </si>
  <si>
    <t xml:space="preserve">Machine Learning a Case Study Approch , Coursera
</t>
  </si>
  <si>
    <t>I am Going to Internship at Sunfalg Iron and steel Co.ltd ,Bhandara , warthi road , Nagpur ,Maharastra from 1st july to 31 st july 2022</t>
  </si>
  <si>
    <t>Solar Powered Wheelcahir sponsored by college</t>
  </si>
  <si>
    <t>Bio-Solar Thermal Heater</t>
  </si>
  <si>
    <t xml:space="preserve">Participated in Hindi speech compitition in first year 
</t>
  </si>
  <si>
    <t>https://preskilet.com/rishabhraj@mitaoe.ac.in</t>
  </si>
  <si>
    <t>https://drive.google.com/open?id=1Rw12xCByL2pYSeucxligNtKpGn8mxxgA</t>
  </si>
  <si>
    <t>https://drive.google.com/open?id=1YhelV-V5rHuMpPeotuEda9OIRyt8WzGf</t>
  </si>
  <si>
    <t>https://drive.google.com/open?id=17IFLZlU-eirw2IHFUUwHEMgRrHfVBhr0</t>
  </si>
  <si>
    <t>https://drive.google.com/open?id=1RTX09oTQ7XMZJ_KvScf82HReMuF_R09k</t>
  </si>
  <si>
    <t>https://drive.google.com/open?id=1OUoBEa20h7B7MR57aFl3bNTdxT78Z8RW</t>
  </si>
  <si>
    <t>https://drive.google.com/open?id=1SgBHsJ6t9rdIJVjaymw_5KV_5Thg8099</t>
  </si>
  <si>
    <t>manav.tak@mitaoe.ac.in</t>
  </si>
  <si>
    <t>0220200133</t>
  </si>
  <si>
    <t>RAMAKANT</t>
  </si>
  <si>
    <t>TAK</t>
  </si>
  <si>
    <t>https://www.linkedin.com/home?trk2=ga_campid%3D14650114791_asid%3D127961666580_crid%3D601257986854_kw%3Dlinkedin_d%3Dm_tid%3Dkwd-285981853_n%3Dg_mt%3Dp_geo%3D9299648_slid%3D&amp;mcid=6844056167778418688&amp;gclid=CjwKCAjw14uVBhBEEiwAaufYx5FoSwwnYjylr5PbYTU9Om3tQ0AXCEepN0NQ4W8c3fMgFCaEHjMlhRoCOiEQAvD_BwE&amp;gclsrc=aw%2Eds&amp;trk=IN-SEM_google-adwords_Jordan-brand-sign-up&amp;originalSubdomain=in</t>
  </si>
  <si>
    <t>RAMAKANT SAKHARAM TAK</t>
  </si>
  <si>
    <t>VAISHALI RAMAKANT TAK</t>
  </si>
  <si>
    <t>Matoshri Niwas, Manik Nagar, Parli Vaijanath, Dis. Beed, Maharashtra (431515)</t>
  </si>
  <si>
    <t>Suryoday Niwas, Kale Colony, Dehu Phata, Alandi,Tq. Khed, Dis. Pune, Maharashtra (412105)</t>
  </si>
  <si>
    <t>N</t>
  </si>
  <si>
    <t>Amcat Certificate ID : 36000224217355</t>
  </si>
  <si>
    <t>IGTR CATIA</t>
  </si>
  <si>
    <t>DSY Candidate</t>
  </si>
  <si>
    <t>Completed Internship Under Autosport's Club of MITAOE as Engineering Intern During The Period Of st June 2021 to 3th July 2021</t>
  </si>
  <si>
    <t>Pursuing Internship from Green Shuttle Technologies Private Limited as an Design Engineer</t>
  </si>
  <si>
    <t xml:space="preserve">1. Pallet Lifting and Unloading Trolley (Diploma Final Yar)
2. River Waste Collecting Mechanism (2nd Year Btech)
3. Vertical Axis Wind Turbine Design and Implementation (3rd Year Btech)
</t>
  </si>
  <si>
    <t>AutoCAD, Fusion 360, CATIA, ANSYS, Creo, Comsol</t>
  </si>
  <si>
    <t>Was Member Of Niyudrath Karting Till Designing Phase and Also Succesfully Completed Internship Under Autosport's Club MIT AOE</t>
  </si>
  <si>
    <t xml:space="preserve">Government Of India Post Matric Scholarship </t>
  </si>
  <si>
    <t>W months training in MIT AOE'S Autosports Training Program</t>
  </si>
  <si>
    <t>https://preskilet.com/watch?v=62a4cf5d589aee0004d98612</t>
  </si>
  <si>
    <t>https://drive.google.com/open?id=1YveDeeKO2bUH6UNdwRRj5xkVaRQdLMxP</t>
  </si>
  <si>
    <t>https://drive.google.com/open?id=1iJk2tXdqtYcs3b8nSc9mYiBRIS6RJ_dA</t>
  </si>
  <si>
    <t>https://drive.google.com/open?id=1PMUGDjrXLPDp6Weo7m6t1VOn5FPoUQBP</t>
  </si>
  <si>
    <t>https://drive.google.com/open?id=1yVaQdcWfabZvjvF5e4VgT96EGfXf2g7J</t>
  </si>
  <si>
    <t>https://drive.google.com/open?id=1xhZhIGC_kKlaiEuWuFF-PhMpjvn73q5D</t>
  </si>
  <si>
    <t>https://drive.google.com/open?id=1ujvGIsHDby0oRNMXtyvAeOEmawElmpRI</t>
  </si>
  <si>
    <t>https://drive.google.com/open?id=1h92kBcZfMzmMUKUGOh5pUIledvzHjwwO</t>
  </si>
  <si>
    <t>https://drive.google.com/open?id=1rNTFADicsocYbxKp632DQ9g3Fd_a70nv</t>
  </si>
  <si>
    <t>https://drive.google.com/open?id=1U_kHrBzgUiWPGvnAHa82Tjje9em0fQBc</t>
  </si>
  <si>
    <t>Updated Technical Certificate, Wrong Certificate was Uploaded Previously,
Also Uploaded TY Amcat Result.</t>
  </si>
  <si>
    <t>ashlesha.suwase@mitaoe.ac.in</t>
  </si>
  <si>
    <t>0220200237</t>
  </si>
  <si>
    <t xml:space="preserve">ASHLESHA </t>
  </si>
  <si>
    <t>SUWASE</t>
  </si>
  <si>
    <t>https://www.linkedin.com/mwlite/in/ashlesha-suwase-085957241</t>
  </si>
  <si>
    <t>At- Chatt. Shivaji Chok , Ambap, Kolhapur
Pin:  416112</t>
  </si>
  <si>
    <t>"ME342T- Tubromachines" " ME343T - Hydraulics and Pneumatics" " CS361 - Project Management"</t>
  </si>
  <si>
    <t>Fusion 360</t>
  </si>
  <si>
    <t>Mennon and Piston , Kolhapur.</t>
  </si>
  <si>
    <t>Solar Operated Automatic Car Washing System.</t>
  </si>
  <si>
    <t>Fusion 360, ansys, Catia , solid works</t>
  </si>
  <si>
    <t>https://drive.google.com/folderview?id=1HMxWge9obebRn2ExBsKQdpdV0GLEsgmt</t>
  </si>
  <si>
    <t>https://drive.google.com/open?id=15oII7cuvo6xCmf2KMwJigD_iuJcsn59h</t>
  </si>
  <si>
    <t>https://drive.google.com/open?id=1bzKVrNQNpIqxxqeogAgvcQPBeQHIFfN-</t>
  </si>
  <si>
    <t>abdulmuiz.ghori@mitaoe.ac.in</t>
  </si>
  <si>
    <t>0220200084</t>
  </si>
  <si>
    <t>ABDULMUIZ</t>
  </si>
  <si>
    <t>JALIL</t>
  </si>
  <si>
    <t>GHORI</t>
  </si>
  <si>
    <t>www.linkedin.com/in/abdulmuizghori</t>
  </si>
  <si>
    <t>ANJUM</t>
  </si>
  <si>
    <t>S.No.125 Rana Tara society Sadhgurunagar Bhosari Pune 411039</t>
  </si>
  <si>
    <t>Mathworks : Simulink Onramp</t>
  </si>
  <si>
    <t>Fusion 360: Introduction to 3D Modeling
for Manufacturing</t>
  </si>
  <si>
    <t>Programming in C ,C++,Python</t>
  </si>
  <si>
    <t>Internship : Mechel Precision Industries.</t>
  </si>
  <si>
    <t xml:space="preserve">Design and Manufacturing of Cost Effective  AI. Controlled Hand Exoskeleton </t>
  </si>
  <si>
    <t>DD Robocon 2022</t>
  </si>
  <si>
    <t>National Even : 1st Runner Up in Robowar Competition at Techno - Sci 2K22</t>
  </si>
  <si>
    <t>Press Tool Design and Die Manufacturing At Mechel Precision Industries.</t>
  </si>
  <si>
    <t>Active Member of Robotics Club</t>
  </si>
  <si>
    <t>https://preskilet.com/abdulmuiz.ghori@mitaoe.ac.in</t>
  </si>
  <si>
    <t>https://drive.google.com/open?id=1udbVQvZWnTuKCphcTzlP25_ytU1t1ZvC</t>
  </si>
  <si>
    <t>https://drive.google.com/open?id=1KuJfwPeHL6jwCKHc8F6uIPV_7lYcFPQC</t>
  </si>
  <si>
    <t>https://drive.google.com/open?id=16S1nKV73HeFGmenBCt_NiLVS-aKdVDuv</t>
  </si>
  <si>
    <t>https://drive.google.com/open?id=1ah4T12kMbs_nPNvInT3h9owYTzzbqcjz</t>
  </si>
  <si>
    <t xml:space="preserve">Preskillet profile link 
</t>
  </si>
  <si>
    <t>machindranath.bothe@mitaoe.ac.in</t>
  </si>
  <si>
    <t>0220200103</t>
  </si>
  <si>
    <t>MACHINDRANATH</t>
  </si>
  <si>
    <t xml:space="preserve">BOTHE </t>
  </si>
  <si>
    <t xml:space="preserve">machindranath.bothe@mitaoe.ac.in </t>
  </si>
  <si>
    <t>https://www.linkedin.com/in/machindranath-bothe-3828a5241</t>
  </si>
  <si>
    <t>BABASAHEB NAMDEV BOTHE</t>
  </si>
  <si>
    <t xml:space="preserve">SAVITA BABASAHEB BOTHE </t>
  </si>
  <si>
    <t>Walki,Tal-Nagar,Dist-Ahmednagar,414006</t>
  </si>
  <si>
    <t>Alandi,Tal-khed,Dist-Pune</t>
  </si>
  <si>
    <t xml:space="preserve">Pursuing </t>
  </si>
  <si>
    <t>Design And Manufacturing of a Drone For Spraying Pesticides And Disinfectants.</t>
  </si>
  <si>
    <t>https://preskilet.com/watch?v=62bd70849535010004fd2598</t>
  </si>
  <si>
    <t>https://drive.google.com/open?id=1Uc9_H_31vUsT-xW7egrP0GECcQisDRz-</t>
  </si>
  <si>
    <t>https://drive.google.com/open?id=1DuPD1UeZmKWep_2-IfaAubO04jiQTfBM</t>
  </si>
  <si>
    <t>https://drive.google.com/open?id=1yAk128E7X6sdABK7ydhzQ6Vglbfo4d6T</t>
  </si>
  <si>
    <t>https://drive.google.com/open?id=1PuS5X1ku8x736Em2IsdgGIcVU05EMcGU</t>
  </si>
  <si>
    <t>https://drive.google.com/open?id=10JC7ofhiu6cEed2ncXq-U12_UFt0Hw_D</t>
  </si>
  <si>
    <t>https://drive.google.com/open?id=1X1ey7HnMNUo622aS9xYIqKEIfOwZ9MUU</t>
  </si>
  <si>
    <t>https://drive.google.com/open?id=10etb1V61SOYealaqxWf6xMKBwok0gHaP</t>
  </si>
  <si>
    <t>AMCAT Resulit, Preskilet Video</t>
  </si>
  <si>
    <t>amol.sonawane@mitaoe.ac.in</t>
  </si>
  <si>
    <t>0220200006</t>
  </si>
  <si>
    <t xml:space="preserve">AMOL </t>
  </si>
  <si>
    <t>BALU</t>
  </si>
  <si>
    <t xml:space="preserve">SONAWANE </t>
  </si>
  <si>
    <t>amolsonawane19999@gmail.com</t>
  </si>
  <si>
    <t>https://www.linkedin.com/in/amol-sonawane-a50760236</t>
  </si>
  <si>
    <t xml:space="preserve">RAJASHRI </t>
  </si>
  <si>
    <t xml:space="preserve">A/p Ralegon- Therpal Tal - Parner Dist - Ahmadnagar </t>
  </si>
  <si>
    <t>A/p Alandi Tal - Khed Dist - Pune</t>
  </si>
  <si>
    <t>5 days plc traning Workshop certificate</t>
  </si>
  <si>
    <t>Turbine Project</t>
  </si>
  <si>
    <t>Mayur Engineering Works , Precast Product</t>
  </si>
  <si>
    <t>Design and Manufacturing of drone or Spraying pesticides and disinfectants</t>
  </si>
  <si>
    <t>https://preskilet.com/watch?v=62bd4bc39535010004fd2470</t>
  </si>
  <si>
    <t>https://drive.google.com/open?id=1azJJ0pJrz0yAAUvlar_hiargPVav-BVX</t>
  </si>
  <si>
    <t>https://drive.google.com/open?id=1O-jAGzDHpVm7DQyeNMVPYRanfh06Uihx</t>
  </si>
  <si>
    <t>https://drive.google.com/open?id=1M8jsDsvYvjRBfZDCVTy5VjdHAQbUyhgJ</t>
  </si>
  <si>
    <t>https://drive.google.com/open?id=1ZL68Div0jtNZeqjlKlIwGCsfP8hI_jQA</t>
  </si>
  <si>
    <t>https://drive.google.com/open?id=1FHN9vS84vqRT3HM1JTiF8y2ojuDZePtt</t>
  </si>
  <si>
    <t>https://drive.google.com/open?id=11u6mYowVzjRxVbaD3miSfFDCNc1RMiDX</t>
  </si>
  <si>
    <t>https://drive.google.com/open?id=1hnJDFp5TYhPg8kJxjdDmCgB_zZaj96iS</t>
  </si>
  <si>
    <t>https://drive.google.com/open?id=1THbK5ofavOdJn63IVUyVjZxaM6KlrTJ-</t>
  </si>
  <si>
    <t>Preskill video And Amcat Results And Certificate And Results</t>
  </si>
  <si>
    <t>odsonawane@mitaoe.ac.in</t>
  </si>
  <si>
    <t>0120170116</t>
  </si>
  <si>
    <t>DAULAT</t>
  </si>
  <si>
    <t>omkardaulatsonawane@gmail.com</t>
  </si>
  <si>
    <t>https://www.linkedin.com/in/omkar-sonawane-ab9186241</t>
  </si>
  <si>
    <t>DAULAT SONAWANE</t>
  </si>
  <si>
    <t>ARCHANA SONAWANE</t>
  </si>
  <si>
    <t>B-204, Sarovar Darshan Society, Rajendra Nagar, Behind MSEB office, Talegaon Dabhade, Maval, Pune, 410507</t>
  </si>
  <si>
    <t>Room No. -4, Dnyanwardhini Hostel, Kale Colony, Alandi, Maharashtra</t>
  </si>
  <si>
    <t>Enduro Student India (ESI) competition.</t>
  </si>
  <si>
    <t>Green Shuttle Technology Private Limited, Interning as Mechanical Design and Analysis Engineer.</t>
  </si>
  <si>
    <t>Multi-way Dumping Trolley</t>
  </si>
  <si>
    <t xml:space="preserve">Fusion 360, CATIA, ANSYS, Comsol Multiphysics </t>
  </si>
  <si>
    <t xml:space="preserve">Member of the SAE BAJA India team (Team Niyudrath Racing) of MITAOE for 2 years. </t>
  </si>
  <si>
    <t>Official Member of the Enduro Student India team  of MITAOE (Team Niyudrath Racing) where we achieved AIR 8</t>
  </si>
  <si>
    <t>https://preskilet.com/watch?v=62a393f1a6956a0004600929</t>
  </si>
  <si>
    <t>https://drive.google.com/open?id=10INrjD-2iKIPabJfVqj8Gp0523gquYR-</t>
  </si>
  <si>
    <t>https://drive.google.com/open?id=1xiE2P2Nefp30B1QxW6OK7PS5K-FWOsyp</t>
  </si>
  <si>
    <t>https://drive.google.com/open?id=1rketl38JHx8E0D_DwP-6kDY-QYckMWBE</t>
  </si>
  <si>
    <t>https://drive.google.com/open?id=17S9hPNL7Fe0BcS4-zbACI-tpKUdrU0eA</t>
  </si>
  <si>
    <t>0120190113</t>
  </si>
  <si>
    <t>GURAV</t>
  </si>
  <si>
    <t>ashishnew2112@gmail.com</t>
  </si>
  <si>
    <t>At post Yawali, Tal. Mohol, Dist. Solapur</t>
  </si>
  <si>
    <t>At post, Alandi. Near MITaoe college, Pune.</t>
  </si>
  <si>
    <t>(1)INFOSYS: Basic of python , (2)INFOYSIS: Programing fundamentals using python-foundation program.</t>
  </si>
  <si>
    <t>1)MATHWORKS: MATLAB onramp.
2)Programing for everybody.(getting started with python)
3)National Level Workshop on " Multi Criteria Decision making(MCDM) Methods</t>
  </si>
  <si>
    <t xml:space="preserve">1)Microsoft Azure: machine learning with python
</t>
  </si>
  <si>
    <t xml:space="preserve">INFOSYS: learn and master i  C programing for absolute. </t>
  </si>
  <si>
    <t>programing for Every body (python) by university of Michigan</t>
  </si>
  <si>
    <t xml:space="preserve"> Design for vertical Farming</t>
  </si>
  <si>
    <t xml:space="preserve">Project-1)Pesticides spraying drone (autonomous)
Internship-1)Saptasathi Industry (CNC machine operating ,Pressing tool) at ,chikli.
</t>
  </si>
  <si>
    <t xml:space="preserve">1)VIEH Group limited-Bike sharing prediction(machine learning)
2)manufacturing of die (use of CNC machine, coding regarding to CNC,pressing tool industrty)
</t>
  </si>
  <si>
    <t>English</t>
  </si>
  <si>
    <t xml:space="preserve">Part of aerothone compition as design and analysis of drone </t>
  </si>
  <si>
    <t>Aerothon compition training.</t>
  </si>
  <si>
    <t xml:space="preserve">part of compition 'firodiya'as team maneger as manegement </t>
  </si>
  <si>
    <t>https://preskilet.com/ashishgurav@mitaoe.ac.in</t>
  </si>
  <si>
    <t>https://drive.google.com/open?id=1_D3Q3qguD-OeqNAJmvOkBb31skpZYLT6</t>
  </si>
  <si>
    <t>https://drive.google.com/open?id=1D3fHW0Aj7NWsUuOpLqDseriEav4d5Inb</t>
  </si>
  <si>
    <t>https://drive.google.com/open?id=1SWXJaHndOPnd0WIwdPT102d0uQ1mRo8S</t>
  </si>
  <si>
    <t>https://drive.google.com/open?id=1qsHUeB82FfaNUVgH6mSvqebcOimXTWHp</t>
  </si>
  <si>
    <t>https://drive.google.com/open?id=1SFzVI0U87tJMgPOfTp195Zqqg6ZG9-yr</t>
  </si>
  <si>
    <t>mohit.thakkar@mitaoe.ac.in</t>
  </si>
  <si>
    <t>0220200236</t>
  </si>
  <si>
    <t>THAKKAR</t>
  </si>
  <si>
    <t>HITESH</t>
  </si>
  <si>
    <t>https://www.linkedin.com/in/mohit-thakkar-731908241</t>
  </si>
  <si>
    <t>HITESH PRABHUDAS THAKKAR</t>
  </si>
  <si>
    <t>PRITI HITESH THAKKAR</t>
  </si>
  <si>
    <t xml:space="preserve">57 Bharti ni ketan 1 st floor kamla nehru cross road no 2 near fire brigade kandivali west Mumbai 400067 . </t>
  </si>
  <si>
    <t>Programming Fundamentals using Python-Science Graduates-Foundation  Program</t>
  </si>
  <si>
    <t>DESIGN OF PNEUMATIC POWERED VEHICLE .</t>
  </si>
  <si>
    <t xml:space="preserve">Doing internship at Shivam group . </t>
  </si>
  <si>
    <t>Portable healer .</t>
  </si>
  <si>
    <t>Fusion 360, SolidWorks, CATIA, ANSYS</t>
  </si>
  <si>
    <t xml:space="preserve">participated to hands on workshop of robotics, participated in National quiz on yoga and meditation.I am memeber of Ishare . </t>
  </si>
  <si>
    <t>Pariticipated in cricket team at college level .</t>
  </si>
  <si>
    <t>https://preskilet.com/watch?v=62b53c36af4f2700045cd9a1</t>
  </si>
  <si>
    <t>https://drive.google.com/open?id=1vyse4FD06sSiN5RPFcd4W42R6haMtMj0</t>
  </si>
  <si>
    <t>https://drive.google.com/open?id=1NObcPb3vD6EZMDbnBW3-D1yH_sYi-Mhl</t>
  </si>
  <si>
    <t>https://drive.google.com/open?id=1C9JE3DB6nU2MIF9BcXJgVxQu7BIL8Szk</t>
  </si>
  <si>
    <t>https://drive.google.com/open?id=12CRN0AKm_XLV-qWcI-646jvVHad1t8u8</t>
  </si>
  <si>
    <t>https://drive.google.com/open?id=1tUpxGPXQJuhU6xM3FyvzCR56xiGmG9Zx</t>
  </si>
  <si>
    <t>https://drive.google.com/open?id=11UYjR_3lPg5Hwsc4oYwGJIPnMqjpM8fr</t>
  </si>
  <si>
    <t xml:space="preserve">third year Marksheet </t>
  </si>
  <si>
    <t>0120190108</t>
  </si>
  <si>
    <t>PRANALI</t>
  </si>
  <si>
    <t>BHUJBAL</t>
  </si>
  <si>
    <t>bhujbalpranali05@gmail.com</t>
  </si>
  <si>
    <t>https://www.linkedin.com/in/pranali-bhujbal-053022243</t>
  </si>
  <si>
    <t>KISAN RAMCHANDRA BHUJBAL</t>
  </si>
  <si>
    <t>ARUNA KISAN BHUJBAL</t>
  </si>
  <si>
    <t>At post Narayangaon,Warulwadi, opposite to senior College, Tal-Junnar , Dist - Pune</t>
  </si>
  <si>
    <t>At post Alandi,Dehu phata, Opposite to HP Petrol pump,Disha Building,Dist- Pune</t>
  </si>
  <si>
    <t xml:space="preserve">Hydraulics and Pneumatic
Turbomachine
Machine design </t>
  </si>
  <si>
    <t xml:space="preserve">Calculus and Diffrencial Equation
Engineering Physics
Electrical and Electronics engineering
Engineering Graphics </t>
  </si>
  <si>
    <t xml:space="preserve">Digital marketing </t>
  </si>
  <si>
    <t>Autoclusture reasarch and development institute</t>
  </si>
  <si>
    <t xml:space="preserve">TY - Airbag system in Two wheeler </t>
  </si>
  <si>
    <t>1.Taken part in I2I Project competition at COEP
2.Taken part in two days  National Level Workshop on "Multi Criteria Decision Making 
   Methods"</t>
  </si>
  <si>
    <t xml:space="preserve">1.Participation in decoration of Nakshtra
2.Glue Art in Aalekh Club
3.Sketch competition </t>
  </si>
  <si>
    <t>https://preskilet.com/62a0b8d6aa7dd1000485aa39</t>
  </si>
  <si>
    <t>https://drive.google.com/open?id=1qYbOD17rKvRrSfXaM_QTDPbpAeKsw6Tp</t>
  </si>
  <si>
    <t>https://drive.google.com/open?id=15IjosFqeUPI7gfhO4KTA7UNjCVbrBP7i</t>
  </si>
  <si>
    <t>https://drive.google.com/open?id=1Fk-7K40on7h-wvhtoWbHV1yJP70h5rOn</t>
  </si>
  <si>
    <t>https://drive.google.com/open?id=1ucmHTrM5sFsYun8ht9_CEL0xI-qpjvnj</t>
  </si>
  <si>
    <t>I didn't update anything, remained documents as it is</t>
  </si>
  <si>
    <t>0120190095</t>
  </si>
  <si>
    <t>BHIDAVE</t>
  </si>
  <si>
    <t>haridasbhidave@gmail.com</t>
  </si>
  <si>
    <t>https://www.linkedin.com/in/haridas-bhidave-298962243</t>
  </si>
  <si>
    <t>Kudalwadi Chikhali Pune</t>
  </si>
  <si>
    <t>ME343T- Hydraulics and Pneumatics</t>
  </si>
  <si>
    <t>N. A</t>
  </si>
  <si>
    <t>Object oriented programing with python</t>
  </si>
  <si>
    <t xml:space="preserve">Intrenshala (Ansys software) </t>
  </si>
  <si>
    <t xml:space="preserve">Sandvik Asia pvt. Ltd. </t>
  </si>
  <si>
    <t>Automatic Tyre Inflation system</t>
  </si>
  <si>
    <t>State level champion of kabbadi, social work</t>
  </si>
  <si>
    <t>https://preskilet.com/hsbhidave@mitaoe.ac.in</t>
  </si>
  <si>
    <t>https://drive.google.com/open?id=1tqyA0TAFbqa8zyrFyv8geMEuqCymWzeN</t>
  </si>
  <si>
    <t>https://drive.google.com/open?id=1jejWBL83kRFQaWkOD4BgMwlocQBe1JmR</t>
  </si>
  <si>
    <t>https://drive.google.com/open?id=1YdruRPex7mtfc_Yn-ALhQW1ksFlIH99_</t>
  </si>
  <si>
    <t>https://drive.google.com/open?id=1B1gksW3KzxHEsUOBEnhHpXPQ18lE8hpt</t>
  </si>
  <si>
    <t>0120190307</t>
  </si>
  <si>
    <t>SARVE</t>
  </si>
  <si>
    <t>shreesarve20@gmail.com</t>
  </si>
  <si>
    <t>www.linkedin.com/in/shreyash-sarve-21b88623b</t>
  </si>
  <si>
    <t xml:space="preserve">ANIL </t>
  </si>
  <si>
    <t>PRAGATI NAGAR, WARD NO. 3, WANI, YAVATMAL, MAHARASHTRA, 445304.</t>
  </si>
  <si>
    <t>TANISH ORCHID, FLAT NO. P608, CHAROLI BUDRUK, ALANDI, 412105.</t>
  </si>
  <si>
    <t>AS105T - CALCULUS AND DIFFERENTIAL EQUATIONS
CV102T - APPLIED MECHANICS
HP202L - PROFESSIONAL COMMUNICATION
ME234L - MACHINES AND MECHANISMS
ME343T - HYDRAULICS AND PNEUMATICS</t>
  </si>
  <si>
    <t>Object Oriented Programming using Python</t>
  </si>
  <si>
    <t>Oracle Certified Foundations Associate Certificate of Recognition</t>
  </si>
  <si>
    <t>3-Axis Machining with Fusion 360</t>
  </si>
  <si>
    <t>COMPANY- WESTERN COALFIELD LIMITED
INTERNSHIP DURATION IN WEEKS - 6 WEEKS</t>
  </si>
  <si>
    <t>Effect of various surface heat treatment methods and its parametric variation on the hardness properties of different grades of steels.</t>
  </si>
  <si>
    <t>https://preskilet.com/watch?v=62bda3819535010004fd2768</t>
  </si>
  <si>
    <t>https://drive.google.com/open?id=17g3beas6SlBRdR0eHyU0S-hIbc8mJ39S</t>
  </si>
  <si>
    <t>https://drive.google.com/open?id=1S-fAjKG8xCwhEaw6810Y9OxvkwITZy_B</t>
  </si>
  <si>
    <t>https://drive.google.com/open?id=1usDXfvUbiUl2v2QExdjjRMJKTcIrTweO</t>
  </si>
  <si>
    <t>https://drive.google.com/open?id=1TWmQJYWt4P6FoZZj4JZNeTQpFz7QXzIH</t>
  </si>
  <si>
    <t>https://drive.google.com/open?id=1d-kp3UwT2ikiT23TaywKpKVm-xbY1eiH</t>
  </si>
  <si>
    <t>https://drive.google.com/open?id=1d3CEoTLdFgTJcmI_drJnE6ptQznscn4F</t>
  </si>
  <si>
    <t>0120190379</t>
  </si>
  <si>
    <t xml:space="preserve">MIHIR </t>
  </si>
  <si>
    <t>KORDE</t>
  </si>
  <si>
    <t>0220200031</t>
  </si>
  <si>
    <t>EKNATH</t>
  </si>
  <si>
    <t>TELE</t>
  </si>
  <si>
    <t>shekhartele4@gmail.com</t>
  </si>
  <si>
    <t>https://www.linkedin.com/in/shekhar-tele-b401161a4</t>
  </si>
  <si>
    <t>KESHAR</t>
  </si>
  <si>
    <t>sidhachiwadi 61 phata malshiras</t>
  </si>
  <si>
    <t>CCC</t>
  </si>
  <si>
    <t>Wine factory</t>
  </si>
  <si>
    <t>Wax from molasses</t>
  </si>
  <si>
    <t>Scholarship</t>
  </si>
  <si>
    <t>https://drive.google.com/open?id=1Pz3tikGTozre9gRBwQ_UJw1QJS37c_yo</t>
  </si>
  <si>
    <t>https://drive.google.com/open?id=1-fYH0MZygjIBu0FNUZWrBiAMc3UWMXcM</t>
  </si>
  <si>
    <t>0120190121</t>
  </si>
  <si>
    <t>PRADEEPKUMARRAJU</t>
  </si>
  <si>
    <t>CHINNABUTCHIRAJU</t>
  </si>
  <si>
    <t>LOLABHATTU</t>
  </si>
  <si>
    <t>lolabhattup@gmail.com</t>
  </si>
  <si>
    <t>https://www.linkedin.com/in/pradeep-kumar-raju-lolabhattu-8375b81a3?lipi=urn%3Ali%3Apage%3Ad_flagship3_profile_view_base_contact_details%3B4RdM4JIZRlGm68m6z5o3Lg%3D%3D</t>
  </si>
  <si>
    <t>ANURADHADEVI</t>
  </si>
  <si>
    <t>Flat 46, Hira Moti Towers, Vidhi Gharkul, Solapur-413005</t>
  </si>
  <si>
    <t>AICTE:Robotic Process Automation</t>
  </si>
  <si>
    <t>German, Sanskrit, Telugu</t>
  </si>
  <si>
    <t>https://drive.google.com/file/d/1NlhrtxopGUTGOoiBWwSou9wbNCwqusth/view?usp=sharing</t>
  </si>
  <si>
    <t>https://drive.google.com/open?id=1jT2L7xXHAq4wX0vDAa_Ybi3TL2Y6hunX</t>
  </si>
  <si>
    <t>https://drive.google.com/open?id=1vKiFHs1VhRSpyA63DwMglKEGAeYoJ7XM</t>
  </si>
  <si>
    <t>https://drive.google.com/open?id=1rH1zBdSSTCfAFe47f4INdOMSZyO6cuSk</t>
  </si>
  <si>
    <t>0120190501</t>
  </si>
  <si>
    <t xml:space="preserve">SAAKSHEE </t>
  </si>
  <si>
    <t xml:space="preserve">CHAVAN </t>
  </si>
  <si>
    <t>chavansaakshee@gmail.com</t>
  </si>
  <si>
    <t xml:space="preserve">sachavan@mitaoe.ac.in </t>
  </si>
  <si>
    <t>https://www.linkedin.com/in/saakshee-chavan-4ab7a6241</t>
  </si>
  <si>
    <t>MANALI</t>
  </si>
  <si>
    <t>401, Om asmita chs ltd. Kalwa station road, kalwa (west) thane, 400605</t>
  </si>
  <si>
    <t>Robotic process automation: AICTE</t>
  </si>
  <si>
    <t>Introduction to IoT: CISCO</t>
  </si>
  <si>
    <t>https://drive.google.com/file/d/1C79qz7uPw1sTdZ4DgALCN5cFaxUVobUh/view?usp=drivesdk</t>
  </si>
  <si>
    <t>https://drive.google.com/open?id=1lZypJHBXby9yS_ff7ivhJVfWdfBe-I6c</t>
  </si>
  <si>
    <t>https://drive.google.com/open?id=17XAXNGGqqSIfNhAtQ3EF48a-x79D3dZk</t>
  </si>
  <si>
    <t>0120190027</t>
  </si>
  <si>
    <t>MAYANK</t>
  </si>
  <si>
    <t>SAHA</t>
  </si>
  <si>
    <t>s01mayankraj@gmail.com</t>
  </si>
  <si>
    <t>www.linkedin.com/in/mayank-raj-saha-3856b2208</t>
  </si>
  <si>
    <t>VINOD KUMAR SAHA</t>
  </si>
  <si>
    <t>NEETA DEVI</t>
  </si>
  <si>
    <t>S/O VINOD KUMAR SAHA VILLAGE-SANWARI
MATH P.O.- SANWARI BOXIJEE P.S.- JALALPUR
Sanwari SHIV TEMPLE MATH Saran - Bihar
841412</t>
  </si>
  <si>
    <t>Matlab Academy: MATLAB Fundamentals</t>
  </si>
  <si>
    <t>Matlab Academy: MATLAB Onramp
Matlab Academy: Image Processing Onramp</t>
  </si>
  <si>
    <t xml:space="preserve">Matlab Academy: Image Processing with MATLAB
ASPEN : ASPEN HYSYS ASPEN CERTIFIED USER CERTIFICATION </t>
  </si>
  <si>
    <t xml:space="preserve">A Data Entry internship at Solvelancer Org. </t>
  </si>
  <si>
    <t>Coursera Certificate Course: STATISTICAL MOLECULAR THERMODYNAMICS</t>
  </si>
  <si>
    <t>Kingfa Science and Technology India Ltd. - Polymer Compounding, PPE, Face Mask Manufacturer, Wasuli, Chakan, Pune</t>
  </si>
  <si>
    <t>To extract pectin from orange peels.</t>
  </si>
  <si>
    <t>AutoCAD, Fusion 360, ANSYS, MATLAB, ASPEN HYSYS</t>
  </si>
  <si>
    <t>Technical Quiz at Prakalp-2020
MIMAMSA-2022
National Level Technical Quiz Competition held by AISSMS COE, PUNE</t>
  </si>
  <si>
    <t>Silver Honour in International Youth Maths Challenge-2020(International)
Silver Honour in International Youth Maths Challenge-2021(International)</t>
  </si>
  <si>
    <t>Table Tennis Competition at Army Institute of Technology, Pune</t>
  </si>
  <si>
    <t>https://preskilet.com/watch?v=62a351c6a6956a00045ffdee</t>
  </si>
  <si>
    <t>https://drive.google.com/open?id=1mkN_eV2sw_H-Nu65CJDU3A_Xe0ZNQkWP</t>
  </si>
  <si>
    <t>https://drive.google.com/open?id=1G93aGhdUIyccVI72_4k4nfkIDNLxVMQJ</t>
  </si>
  <si>
    <t>https://drive.google.com/open?id=1qgNG0xsO4L8M15q0BJsyUxetnL45BJmy</t>
  </si>
  <si>
    <t>https://drive.google.com/open?id=1Qv9CTOyTudMeTgpgpdh7UpX9W5ct1mp5</t>
  </si>
  <si>
    <t>https://drive.google.com/open?id=1shu3Yh4A2xvBPc-9UmywtpwHfVggFmGK</t>
  </si>
  <si>
    <t>https://drive.google.com/open?id=1FMIZMebh-VmDmBpDeJt5jDx1oeLiH_JS</t>
  </si>
  <si>
    <t>0220200112</t>
  </si>
  <si>
    <t xml:space="preserve">NIKHIL </t>
  </si>
  <si>
    <t xml:space="preserve">SATISH </t>
  </si>
  <si>
    <t xml:space="preserve">SHINDE </t>
  </si>
  <si>
    <t>nickshinde944@gmail.com</t>
  </si>
  <si>
    <t>https://www.linkedin.com/in/nikhil-shinde-b50680241</t>
  </si>
  <si>
    <t xml:space="preserve">SUJATA </t>
  </si>
  <si>
    <t xml:space="preserve">Akluj at post yashwantnagar </t>
  </si>
  <si>
    <t>Alandi, dehu phata</t>
  </si>
  <si>
    <t>English -36 logical - 36 Quantitative - 27</t>
  </si>
  <si>
    <t>Ongoing aspen hysys</t>
  </si>
  <si>
    <t xml:space="preserve">Synthesis of sodium pramaganate from potassium </t>
  </si>
  <si>
    <t xml:space="preserve">Chemengg Research Pvt. Ltd </t>
  </si>
  <si>
    <t xml:space="preserve">BE-To design and simulation helical coil heat exchangers, diploma to vegetable oil from glycerin </t>
  </si>
  <si>
    <t xml:space="preserve">Badmintn </t>
  </si>
  <si>
    <t>https://drive.google.com/file/d/1rwhpbbnDCNw9v4hKlCb1KE0X59C0MtDl/view?usp=drivesdk</t>
  </si>
  <si>
    <t>https://drive.google.com/open?id=18niFup5Oj00tFKAUxLV7jR_YAd5xxORo</t>
  </si>
  <si>
    <t>https://drive.google.com/open?id=1TkM_IJLwGn_r-VvG5eANAXYEO507rpP5</t>
  </si>
  <si>
    <t>0220200193</t>
  </si>
  <si>
    <t>CHANDA</t>
  </si>
  <si>
    <t>BHUSHAN</t>
  </si>
  <si>
    <t>NAGDEOTE</t>
  </si>
  <si>
    <t>chandanagdeote06@gmail.com</t>
  </si>
  <si>
    <t>BHUSHAN JAGAN NAGDEOTE</t>
  </si>
  <si>
    <t>VARSHA BHUSHAN NAGDEOTE</t>
  </si>
  <si>
    <t>At post palsgaon jat ta sindewahi dist chandrapur</t>
  </si>
  <si>
    <t xml:space="preserve">PYTHON (ON GOING) </t>
  </si>
  <si>
    <t>MICROSOFT 98-381:Introduction to programming using Python</t>
  </si>
  <si>
    <t>Project : Nanotechnology for solar cell</t>
  </si>
  <si>
    <t>Project intern at fluid dimensions learning and implementing machine learning tools and techniques in chemical engineering domain</t>
  </si>
  <si>
    <t>Tofu from soy milk</t>
  </si>
  <si>
    <t>AutoCAD, ANSYS, MATLAB, Aspen hysys</t>
  </si>
  <si>
    <t>Process intern at 3A CHEMI PVT LTD NAGPUR WADI</t>
  </si>
  <si>
    <t>https://drive.google.com/drive/folders/1ovyKstr4LwuhTx6G3Oos7ckQ6V8nc5iT</t>
  </si>
  <si>
    <t>https://drive.google.com/open?id=1sCsJao3YbdVRZTJ3BuoqnbcvQByRiPlO</t>
  </si>
  <si>
    <t>https://drive.google.com/open?id=1fM_HqC3fKft7sx-m6RY7LxgjMM2uEjeZ</t>
  </si>
  <si>
    <t>https://drive.google.com/open?id=1n1lDG0OsWA666366jug7f-nVLSRAyP9F</t>
  </si>
  <si>
    <t>https://drive.google.com/open?id=1_lm2YjUfTwZG78IwNiNj9MCbgvefm_zs</t>
  </si>
  <si>
    <t>0220200158</t>
  </si>
  <si>
    <t>KUNDALIK</t>
  </si>
  <si>
    <t>akshay.chaure1113@gmail.com</t>
  </si>
  <si>
    <t>www.linkedin.com/in/akshay-chaure-b50809207</t>
  </si>
  <si>
    <t>KUNDALIK DATTATRAY CHAURE</t>
  </si>
  <si>
    <t>ALKA KUNDALIK CHAURE</t>
  </si>
  <si>
    <t>At post padegon talu- phaltan, Dist-satara</t>
  </si>
  <si>
    <t>One certificate</t>
  </si>
  <si>
    <t>Done intership in diploma</t>
  </si>
  <si>
    <t>Intership</t>
  </si>
  <si>
    <t>Manufacturing of calcium oxide from waste engg shell</t>
  </si>
  <si>
    <t xml:space="preserve">Drawing certificate </t>
  </si>
  <si>
    <t>https://drive.google.com/drive/folders/1nLMrEhTkVpe5y7Rf3G_hInNXaap5tUTz</t>
  </si>
  <si>
    <t>https://drive.google.com/open?id=1mez-bvFlSc4qSp0EA9gIo9FUY8FrruuM</t>
  </si>
  <si>
    <t>https://drive.google.com/open?id=1VxLbeYq2ZWGf0xXfbjmrqWSsDFUy-rmu</t>
  </si>
  <si>
    <t>0120190191</t>
  </si>
  <si>
    <t>VARUN</t>
  </si>
  <si>
    <t>MANAJI</t>
  </si>
  <si>
    <t>varunmanaji@gmail.com</t>
  </si>
  <si>
    <t xml:space="preserve">vvmanaji@mitaoe.ac.in </t>
  </si>
  <si>
    <t>http://www.linkedin.com/in/varun-manaji-675859241</t>
  </si>
  <si>
    <t xml:space="preserve">INDUMATI </t>
  </si>
  <si>
    <t xml:space="preserve">Padmashri Nivas Tirupati Society, Bidar Road, Udgir </t>
  </si>
  <si>
    <t xml:space="preserve">Same as above </t>
  </si>
  <si>
    <t xml:space="preserve">Fundamentals of python </t>
  </si>
  <si>
    <t xml:space="preserve">Project - Procurement of construction industry 
Internship - Physical internship </t>
  </si>
  <si>
    <t>Project - modern Application OF RCC
Consultancy - M T surwase Consultancy Udgir</t>
  </si>
  <si>
    <t xml:space="preserve">AutoCAD, Fusion 360, MATLAB, Revit ,ETABS </t>
  </si>
  <si>
    <t xml:space="preserve">Site Engineer
</t>
  </si>
  <si>
    <t xml:space="preserve">Viral Fission </t>
  </si>
  <si>
    <t>https://drive.google.com/drive/folders/1r1WX53umW8Q4wIQBtyrZXrmiqcQlMOI3?usp=sharing</t>
  </si>
  <si>
    <t>https://drive.google.com/open?id=16nziKmNLMXC0oOR98JE44q5hGv3z09P_</t>
  </si>
  <si>
    <t>https://drive.google.com/open?id=1usuXPoiXIEiMJWJj4zGEgqtA-6VqPb3H</t>
  </si>
  <si>
    <t>https://drive.google.com/open?id=1koxGbBGelZoUjGG_MDZoZNYs37JrcMLf</t>
  </si>
  <si>
    <t>https://drive.google.com/open?id=1uAl4I2cqmhUj7U2FY4QkgbF_OqU-QRNp</t>
  </si>
  <si>
    <t>0120190242</t>
  </si>
  <si>
    <t>SAMIKSHA</t>
  </si>
  <si>
    <t>GADE</t>
  </si>
  <si>
    <t>gadesamiksha0@gmail.com</t>
  </si>
  <si>
    <t>https://www.linkedin.com/in/samiksha-gade-56b748202</t>
  </si>
  <si>
    <t>RAJENDRA GADE</t>
  </si>
  <si>
    <t>ARCHANA GADE</t>
  </si>
  <si>
    <t>Balaji Nagar, Near Cotton market, Deomali Paratwada</t>
  </si>
  <si>
    <t>91%, 97%, 62%</t>
  </si>
  <si>
    <t>Revit ongoing</t>
  </si>
  <si>
    <t xml:space="preserve">Python course </t>
  </si>
  <si>
    <t>Advanced Excel - Internshala</t>
  </si>
  <si>
    <t>Project - Impacts of BIM on Construction Industry.
Internship - Creations Engineering Pvt.Ltd, Real Estate and Infrastucture Company 
Address - SR no. 18, near Aaher Garden , Walkherwadi Chinchwad , Pine 411033</t>
  </si>
  <si>
    <t>AutoCAD, MATLAB, Advanced Excel , Etabs , Revit , Open Road Designer</t>
  </si>
  <si>
    <t>Srujan Competition for AutoCAD took part for this.</t>
  </si>
  <si>
    <t>BIM detailing course</t>
  </si>
  <si>
    <t>Worked as LR of Civil Department</t>
  </si>
  <si>
    <t>https://drive.google.com/drive/folders/1SMkZNnv6kpxHVY4wy3Ri1_XKdrgzVWbk</t>
  </si>
  <si>
    <t>https://drive.google.com/open?id=1YnmIVP_2oynJmekGOi0TrI7b9Y8nItOL</t>
  </si>
  <si>
    <t>https://drive.google.com/open?id=1-ak525gRxq8nyfL8Le0VePagQ1BqYbQN</t>
  </si>
  <si>
    <t>https://drive.google.com/open?id=19cP3NhP6Egy5yijyNtiMW_LprqWINn6r</t>
  </si>
  <si>
    <t>0120190185</t>
  </si>
  <si>
    <t>DUMNE</t>
  </si>
  <si>
    <t>omkardumne123@gmail.com</t>
  </si>
  <si>
    <t>http://www.linkedin.com/in/omkar-dumne-13385a241</t>
  </si>
  <si>
    <t>RUKMEEN</t>
  </si>
  <si>
    <t>SAMBHAJI NAGAR, UDGIR</t>
  </si>
  <si>
    <t>PRAGATI APARTMENT, NEAR DEHU PHATA, ALANDI</t>
  </si>
  <si>
    <t>AutoCAD and project title soil stabilization</t>
  </si>
  <si>
    <t xml:space="preserve">- and project title design Starcture </t>
  </si>
  <si>
    <t>http://www.com</t>
  </si>
  <si>
    <t>https://drive.google.com/open?id=1J6lIMiIIneDpOpgOsBB9v-v6V1M-YaHA</t>
  </si>
  <si>
    <t>https://drive.google.com/open?id=1tzNDefyEfTfGb8A8VUXkH7TAdbGQBGuk</t>
  </si>
  <si>
    <t>https://drive.google.com/open?id=1LRWY_WN0tQwjRqCfpyWVP7r_A9E8-k0v</t>
  </si>
  <si>
    <t>0120190514</t>
  </si>
  <si>
    <t>SHAMBHURAJ</t>
  </si>
  <si>
    <t>RAMKRUSHNA</t>
  </si>
  <si>
    <t>shambhupatil8888@gmail.com</t>
  </si>
  <si>
    <t>www.linkedin.com/in/shambhuraj-patil-5b2948241</t>
  </si>
  <si>
    <t>UJJWALA</t>
  </si>
  <si>
    <t>At. Post. Wadaji, Tal-Bhadgaon, Dist-Jalgaon, 424105</t>
  </si>
  <si>
    <t>Pragati Boys Hostel, Vishweshwar Nagar, Alandi</t>
  </si>
  <si>
    <t>Ongoing Revit</t>
  </si>
  <si>
    <t>STAAD Pro Training, Internshala</t>
  </si>
  <si>
    <t>Sanghvi Premises Pvt.Ltd. Sanghvi Realty,
First Floor, Veetrag Chambers,
46, Cawasji Patel Street,
Fort, Mumbai - 400 001.
Contact No. 9773986911</t>
  </si>
  <si>
    <t>AutoCAD, Fusion 360, MATLAB, REVIT ,ETABS ,STAAD Pro</t>
  </si>
  <si>
    <t>https://drive.google.com/drive/folders/1vLt1NM1f_c-_PgFuFTENQ8qIwCpEHSBw?usp=sharing</t>
  </si>
  <si>
    <t>https://drive.google.com/open?id=1YUWzTjwoBkomioqDXOS5WGaireKsbnnY</t>
  </si>
  <si>
    <t>https://drive.google.com/open?id=1jEs8oM3MqBELQqLuXDY99oeSeoPCoVEb</t>
  </si>
  <si>
    <t>https://drive.google.com/open?id=1qqVLBS82CYSeLCZAeO-LMPojCEJ5s7kt</t>
  </si>
  <si>
    <t>0120190129</t>
  </si>
  <si>
    <t xml:space="preserve">MD AZHAR </t>
  </si>
  <si>
    <t>MD KHALED</t>
  </si>
  <si>
    <t>DONGRE</t>
  </si>
  <si>
    <t>mdazhardongre@gmail.com</t>
  </si>
  <si>
    <t>https://www.linkedin.com/in/md-azhar-dongre-786md8118</t>
  </si>
  <si>
    <t>MD KHALED DONGRE</t>
  </si>
  <si>
    <t>GULNAZ DONGRE</t>
  </si>
  <si>
    <t>FLAT NO.8, RELIABLE PRIDE, ASHOKA MARG, NASHIK - 422006</t>
  </si>
  <si>
    <t>FLAT 202, PREMSAI APARTMENT, ALANDI, PUNE -412105</t>
  </si>
  <si>
    <t>CV232L SKILL DEVELOPMENT COURSE - REVIT
CV312L DESIGN OF REINFORCED CONCRETE STRUCTURES
CV313T TRANSPORTATION ENGINEERING
CV332L OPERATION RESEARCH</t>
  </si>
  <si>
    <t>CV204L - GEOTECHNICAL ENGINEERING
CV206T MECHANICS OF SOLIDS
ME221L MATERIAL ENGINEERING
CV216L STRUCTURAL ANALYSIS</t>
  </si>
  <si>
    <t>Estimation and costing Internship</t>
  </si>
  <si>
    <t>Constrologix Pvt. Ltd</t>
  </si>
  <si>
    <t xml:space="preserve">Structural Performance of Light Gauge Steel 
Stud Wall Systems
</t>
  </si>
  <si>
    <t>https://drive.google.com/drive/folders/1O6PdlC2SI0OBUU0SJKJcSpnCLuKruE2O?usp=sharing</t>
  </si>
  <si>
    <t>https://drive.google.com/open?id=1Hlma4dWNzYN0sRb7Ad_IiSsP6go7fkse</t>
  </si>
  <si>
    <t>https://drive.google.com/open?id=1UVUxAxyGJd450yL8RkbhqM2wIfmmUI6S</t>
  </si>
  <si>
    <t>https://drive.google.com/open?id=11heTzzG5kVq1N9ENkBAS4hOZZdQR9aSl</t>
  </si>
  <si>
    <t>0220200060</t>
  </si>
  <si>
    <t>MACHCHINDRA</t>
  </si>
  <si>
    <t>yadav.pankaj4960@gmail.com</t>
  </si>
  <si>
    <t>https://www.linkedin.com/in/pankaj-yadav-2307b2241</t>
  </si>
  <si>
    <t>Vaghude Vasahat, Raje Chowk, Gadmudshingi, Tal - Karvir, Dist - Kolhapur, 416119</t>
  </si>
  <si>
    <t>Python by ATS.</t>
  </si>
  <si>
    <t>Advance Excel by Elearnmarket.</t>
  </si>
  <si>
    <t xml:space="preserve">Soil stabilization by using Natural Fiber. </t>
  </si>
  <si>
    <t>AutoCAD, ANSYS, MATLAB, E-tab, Revit, Openroad Designer.</t>
  </si>
  <si>
    <t xml:space="preserve">1.Participated in National Level Workshop On “Introduction to Finite Element Analysis using ANSYS” organized on 30th sept, 2021 in MIT.
2.Participated in “workshop on HIT office construction ERP” organized on 4th april,2022 in MIT.
3.Participated in International FDP on “Sustainable Development and practices in Geotechnical and Geo-environmental Engineering”.
</t>
  </si>
  <si>
    <t>1.Participated in “Bridge making competition at KIT Collage, Kolhapur.
2.Participated in ‘Concrete cube Making competition’ in 2022, organized by MIT WPU.</t>
  </si>
  <si>
    <t>https://drive.google.com/drive/folders/1vnY7ghYCicfi3x8C2iVZdoVO5G9JM_C-</t>
  </si>
  <si>
    <t>https://drive.google.com/open?id=1Qk1ZZglYclp_q3hXPzLclWf3cDDj8mfM</t>
  </si>
  <si>
    <t>https://drive.google.com/open?id=1F9q6VILYgHnFPz1EpWqtdJWgAqPxVrq6</t>
  </si>
  <si>
    <t>0120190116</t>
  </si>
  <si>
    <t>SUBHASHRAO</t>
  </si>
  <si>
    <t>MANDAVKAR</t>
  </si>
  <si>
    <t>onkarmandavkar2121@gmail.com</t>
  </si>
  <si>
    <t>linkedin.com/in/onkar-mandavkar-150801232</t>
  </si>
  <si>
    <t>SHAILA</t>
  </si>
  <si>
    <t>At/Post Limbgaon Tal: Nanded Dis: Nanded 431602</t>
  </si>
  <si>
    <t>B14 concept Heritage, tapkir Nagar, near Kachare Hospital, Dehu phata, Alandi (Devachi) 431602</t>
  </si>
  <si>
    <t>Advance Excel by Internshala</t>
  </si>
  <si>
    <t>Inauguration of "9th Indian Geotechnical Society - Student Chapter" 
Under the aegis of ‘Indian Geotechnical Society – Pune Chapter’ and Webinar on “Road Construction in BC Soils with Stabilization.”</t>
  </si>
  <si>
    <t>Revit-Architecture</t>
  </si>
  <si>
    <t>Advance excel Coarse</t>
  </si>
  <si>
    <t>Intern at Matoshree Associates Washim 444505, worked as Planning and supervision intern</t>
  </si>
  <si>
    <t>Intern at Creations Engineer's Pvt. Ltd. (CEPL) Walhekarwadi chinchawad pune 411033</t>
  </si>
  <si>
    <t>Optimization of Cost of Construction Project with help of Genetic algorithm</t>
  </si>
  <si>
    <t>2022 Nakashatra Kabaddi Sports Player</t>
  </si>
  <si>
    <t>https://drive.google.com/drive/folders/1XcGYpXeUX0zNFAioLTsMkbPYXY4X3kx7?usp=sharing</t>
  </si>
  <si>
    <t>https://drive.google.com/open?id=1blCBhTcQqv8DuzCZOoPqjNDv6Y7bvY_z</t>
  </si>
  <si>
    <t>https://drive.google.com/open?id=15fvHU_ub9Vk5Lzd2MQH1rCGcso5n6GJM</t>
  </si>
  <si>
    <t>https://drive.google.com/open?id=1QJhwdrF6IMPmvi7pYzU0uyUCQqGMXBRC</t>
  </si>
  <si>
    <t>https://drive.google.com/open?id=1Q8TUEg4iAVPZm1xfXr4uolalZsezivAA</t>
  </si>
  <si>
    <t>https://drive.google.com/open?id=1JscnP78vu28sY-rp_abtu3ww4NHP6ymp</t>
  </si>
  <si>
    <t>0120190272</t>
  </si>
  <si>
    <t>mayurbhagwanpawar@gmail.com</t>
  </si>
  <si>
    <t>www.linkedin.com/in/mayur-pawar-22111999mayur</t>
  </si>
  <si>
    <t>CHILHALI, SHAHUNAGAR</t>
  </si>
  <si>
    <t>620,670,380,avg=556.63</t>
  </si>
  <si>
    <t>595,690,745,avg=678.33</t>
  </si>
  <si>
    <t>Etabs</t>
  </si>
  <si>
    <t>python for beginners,git and git hub,java ,application development</t>
  </si>
  <si>
    <t>application development</t>
  </si>
  <si>
    <t>VEIH Group S agar city, Andheri, Mumbai(Front End Web Development), CARETEAM PRIVATE LIMITED (Python Developer intern) Thane</t>
  </si>
  <si>
    <t>Front end web development</t>
  </si>
  <si>
    <t>software development on cyclone predication using susceptibility index.</t>
  </si>
  <si>
    <t>Spanish, Sanskrit</t>
  </si>
  <si>
    <t>Project Presentation at AISSMS,PUNE</t>
  </si>
  <si>
    <t>https://www.loom.com/share/cae9af92cade4bfcaad1cacf13a864db</t>
  </si>
  <si>
    <t>https://drive.google.com/open?id=1j01HiY-OeGFn3BYP1fIMD9reRL71B2IW</t>
  </si>
  <si>
    <t>https://drive.google.com/open?id=1U33uxl6xglUBvogKALY5pZ-OfhFxhst6</t>
  </si>
  <si>
    <t>https://drive.google.com/open?id=12JtYSge2rYlyesYmyFZaf-Z_XTsx95qk</t>
  </si>
  <si>
    <t>https://drive.google.com/open?id=1kLx9kle2gENATBa-IGHyTPgAW4RkPmR2</t>
  </si>
  <si>
    <t>https://drive.google.com/open?id=1h-GzDz2N6hMKN8sG7g4GokZIhqIQ0a2v</t>
  </si>
  <si>
    <t>https://drive.google.com/open?id=1YYS_BAnWotyfL0E2DvuFj-xjUhmprkBi</t>
  </si>
  <si>
    <t>0120190117</t>
  </si>
  <si>
    <t>chavanprathamesh2690@gmail.com</t>
  </si>
  <si>
    <t>https://www.linkedin.com/in/prathamesh-chavan-1147b4241</t>
  </si>
  <si>
    <t>SHRAVANI</t>
  </si>
  <si>
    <t>Shantanu heights , Alandi road , Bhosari , Pune 411039.</t>
  </si>
  <si>
    <t>CV102T - Applied Mechanics
CV215L - Geospatial Engineering</t>
  </si>
  <si>
    <t>STAAD Pro</t>
  </si>
  <si>
    <t>Millennium engineers &amp; contractors Ltd.</t>
  </si>
  <si>
    <t>Optimization of cost and time in construction projects.</t>
  </si>
  <si>
    <t>AutoCAD, MATLAB, REVIT , STAAD PRO , ETABS.</t>
  </si>
  <si>
    <t>Techno charades</t>
  </si>
  <si>
    <t>Secretary of F.O.R.C.E.S ,
Member of photography club ,
Member of kabbadi team.</t>
  </si>
  <si>
    <t>https://drive.google.com/drive/folders/1RBf5KpXxlVCN3AHzS2Zrm_Rk-6ZgqfNA</t>
  </si>
  <si>
    <t>https://drive.google.com/open?id=1W90XErztGQ-MS2vZuy8tVqKQ2XucgF_Q</t>
  </si>
  <si>
    <t>https://drive.google.com/open?id=1mwWXx8C5NazNxUuo9QLai7-OjhJI116O</t>
  </si>
  <si>
    <t>https://drive.google.com/open?id=13OsmOv0_6DzxV0jymjri6unfvl9M5XZV</t>
  </si>
  <si>
    <t>0120190304</t>
  </si>
  <si>
    <t>SHIVHAR</t>
  </si>
  <si>
    <t>CHATE</t>
  </si>
  <si>
    <t>shivharchate30@gmail.com</t>
  </si>
  <si>
    <t>https://www.linkedin.com/in/shivhar-chate-74b798241</t>
  </si>
  <si>
    <t>TULAS</t>
  </si>
  <si>
    <t>AT. LADZARI, TQ. PARLI, DIST. BEED</t>
  </si>
  <si>
    <t>In Progress</t>
  </si>
  <si>
    <t>Revit ( In Progress )</t>
  </si>
  <si>
    <t>Python Certification (Coursera)</t>
  </si>
  <si>
    <t>SY Summer Internship :- Revit ( Internshala) and internship as a supervising engineer at Smart Infr- EST. 
PROJECT :- ANALYSIS OF CANTILEVER RETAINING WALLS</t>
  </si>
  <si>
    <t>Trainee Engineer at a Highway Construction ( Yash Construction Pvt. Ltd. )</t>
  </si>
  <si>
    <t>Developing A Model For Defining Susceptibility Index For Flood And Cyclone Disasters for a city</t>
  </si>
  <si>
    <t>AutoCAD, Fusion 360, MATLAB, REVIT, OPEN ROAD, ETABS, Excel</t>
  </si>
  <si>
    <t xml:space="preserve">1. Model Making Competition ( First Prize)
2. Workshop ( Art of great resume writing )
3. Participated in Regional Level Project Competition.
4. Short Course ( Learn to design your own solar home system)
 </t>
  </si>
  <si>
    <t xml:space="preserve">1. Science Exhibition ( Talukastariya)
2. Elementary Grade Drawing Examination ( State Level)
3. Gyan-Key Vichar Spardha
4. Aryabhatta National Maths Competition - 2021
5. National level quiz on awareness of research methodology
6. Majhi Vasundhara Certificate
</t>
  </si>
  <si>
    <t xml:space="preserve">1. TYPING ENGLISH AND MARATHI ( MAHARASHTRA STATE COUNCIL OF EXAMINATION, PUNE )
2. DRUG DISCOVERY ( COURSERA)
3. PYTHON ( COURSERA)
4. BIOHACKING YOUR BRAINS HEALTH ( COURSERA)
 </t>
  </si>
  <si>
    <t>1. MEMBER OF AJANVRKASH CLUB MITAOE
2. WORKING WITH NSS 
3. MEMBER OF PRAKRUTI THE LIFE CLUB</t>
  </si>
  <si>
    <t>https://drive.google.com/drive/folders/1l9-qy7GyR4R2mWQFHt1V-ospuOLQen6W</t>
  </si>
  <si>
    <t>https://drive.google.com/open?id=1VrSC177Z69k061uLjcHjsrT5Z6kYwqe8</t>
  </si>
  <si>
    <t>https://drive.google.com/open?id=1_e2GFs4JvXV51xyJmhLEGnjwQPWuj-P0</t>
  </si>
  <si>
    <t>https://drive.google.com/open?id=1JGLqupwomZCeL2NM4dHqdKNBL5u-grPq</t>
  </si>
  <si>
    <t>https://drive.google.com/open?id=15yKirTXFW6H3MUsui6L9HTgQ5nTtYjHt</t>
  </si>
  <si>
    <t>https://drive.google.com/open?id=11Hmhe5fVH-Y5ZUwGprRzuHOwcyViH5rg</t>
  </si>
  <si>
    <t>0120190496</t>
  </si>
  <si>
    <t>nikhilsonawane0712@gmail.com</t>
  </si>
  <si>
    <t>www.linkedin.com/in/nikhil-sonawane-b70286205</t>
  </si>
  <si>
    <t>PANDURANG ONKAR SONAWANE</t>
  </si>
  <si>
    <t>CHHAYA PANDURANG SONAWANE</t>
  </si>
  <si>
    <t>Thasil Quarter, Sillod,  Dist. Aurangabad</t>
  </si>
  <si>
    <t>Kale Colony ,Alandi</t>
  </si>
  <si>
    <t>CV365L-MAJOR PROJECT- IMPLEMENTATION
CV215L-GEOSPATIAL ENGINEERING</t>
  </si>
  <si>
    <t xml:space="preserve">
CV206T-MECHANICS OF SOLIDS</t>
  </si>
  <si>
    <t>Infosys:Springboard</t>
  </si>
  <si>
    <t>STAAD-PRO CERTIFICATE</t>
  </si>
  <si>
    <t xml:space="preserve">PUBLIC WORKS DEPARTMENT (PWD) </t>
  </si>
  <si>
    <t>IMPACT OF GEO-ELECTROMAGNETIC FIELD ON NATURAL MATERIALS</t>
  </si>
  <si>
    <t>Bridge making competition.</t>
  </si>
  <si>
    <t>https://drive.google.com/drive/folders/11zCWSj1Hb4YVBHImE7UgrAZXMaiNtj_q?usp=sharing</t>
  </si>
  <si>
    <t>https://drive.google.com/open?id=1halfZkrvEUf9kbjtHPqglth6YlwERGo5</t>
  </si>
  <si>
    <t>https://drive.google.com/open?id=1XjZI2U_3-J6yrool_WsKpvJWLU3Nd-yK</t>
  </si>
  <si>
    <t>https://drive.google.com/open?id=1amThlOqSKP_2tbo88MOcPPpzBVjQk_sc</t>
  </si>
  <si>
    <t>https://drive.google.com/open?id=16tR7nHW11AWxYR0Fmdo5jsz4Ff5mQyxK</t>
  </si>
  <si>
    <t>https://drive.google.com/open?id=1DyyQSZwU8oxnJORv0HhpVHxyEMOBDOW5</t>
  </si>
  <si>
    <t>0120190605</t>
  </si>
  <si>
    <t>LANDGE</t>
  </si>
  <si>
    <t>landgepratik26@gmail.com</t>
  </si>
  <si>
    <t xml:space="preserve">prlandge@mitaoe.ac.in </t>
  </si>
  <si>
    <t>https://www.linkedin.com/in/pratik-landge-8b394a241/</t>
  </si>
  <si>
    <t>RAJU PARSHURAM LANDGE</t>
  </si>
  <si>
    <t>KAVITA RAJU LANDGE</t>
  </si>
  <si>
    <t>Landge Ali, Bhosari, Pune - 411039</t>
  </si>
  <si>
    <t>IN PROCESS</t>
  </si>
  <si>
    <t>Summer Internship at Karmasankalap Infradevelopers</t>
  </si>
  <si>
    <t>Cost and Time Optimization of a Construction Project</t>
  </si>
  <si>
    <t>AutoCAD, Fusion 360, Revit, HIT Office, Adobe Photoshop, Adobe Premier Pro</t>
  </si>
  <si>
    <t>Worked as a Vice-President at F.O.R.C.E.S.(STUDENTS COMMITTE OF CIVIL DEPARTMENT)
Worked as a member of Shutterbugs Club (Photography Club, MITAOE)
Worked as a member of Under25 MITAOE</t>
  </si>
  <si>
    <t>https://drive.google.com/drive/folders/18rMV3hR8XmzWxEaTFWm9RbLWTj06AOsj?usp=sharing</t>
  </si>
  <si>
    <t>https://drive.google.com/open?id=1KfqzTsFj9HWu-NtuPXdVCRUb9snWM2KT</t>
  </si>
  <si>
    <t>https://drive.google.com/open?id=1IJzkOFuatQo9lIyATnWvjiIv_vdE5hbr</t>
  </si>
  <si>
    <t>https://drive.google.com/open?id=1JC0jMysHaIINwiNkfHsN0MB4IozSjdiN</t>
  </si>
  <si>
    <t>0120190234</t>
  </si>
  <si>
    <t>MALWADE</t>
  </si>
  <si>
    <t>vishalmalwade04@gmail.com</t>
  </si>
  <si>
    <t>Vrmalwade@mitaoe.ac.in</t>
  </si>
  <si>
    <t>www.linkedin.com/in/vishal- malwads-38595a241</t>
  </si>
  <si>
    <t>JANA</t>
  </si>
  <si>
    <t xml:space="preserve">Shahu chowk, latur. </t>
  </si>
  <si>
    <t>Project</t>
  </si>
  <si>
    <t>Solid waste management</t>
  </si>
  <si>
    <t>C/C++, C#</t>
  </si>
  <si>
    <t xml:space="preserve">AutoCAD, Staadpro, sketcup, escape/vray, Photoshop, etabs, Microsoft Office, matlab, etc. </t>
  </si>
  <si>
    <t>NONE, English</t>
  </si>
  <si>
    <t>Sujan- 2D Autocad , Revit model</t>
  </si>
  <si>
    <t>https://drive.google.com/drive/folders/1N6guknXsU0-ub7KJY1ppKeaQVDgNK5bZ</t>
  </si>
  <si>
    <t>https://drive.google.com/open?id=1-YnoOkEEJH2XLA2I0qT8XEAw_3kB8cQb</t>
  </si>
  <si>
    <t>https://drive.google.com/open?id=1eeVLH_AsmVLT5JpuIsbo--VYmZzrM0Uz</t>
  </si>
  <si>
    <t>0120190456</t>
  </si>
  <si>
    <t>goreprasad121@gmail.com</t>
  </si>
  <si>
    <t>www.p.comasad</t>
  </si>
  <si>
    <t>BALKRISHNA GORE</t>
  </si>
  <si>
    <t>SHOBHA GORE</t>
  </si>
  <si>
    <t>At post Baramgaon bk TQ &amp; Dist OSMANABAD</t>
  </si>
  <si>
    <t>NEAR MIT ALANDI</t>
  </si>
  <si>
    <t>CS101T &amp;L , EX102T</t>
  </si>
  <si>
    <t>BLOCK SHEAR FAILURE</t>
  </si>
  <si>
    <t>Nmms In 8th standard</t>
  </si>
  <si>
    <t>Graphic Dedigning At Intershala</t>
  </si>
  <si>
    <t>Chief Executive Meber In College magzine Since 2+ Year .
Also Worked As co Sectiom Head In Design Team At Sparx &amp; Mozila Cub.
Cheif Anchor In Anual College Fest 2022 &amp; school &amp; Departmental Co ordinator for Cultural Shield...</t>
  </si>
  <si>
    <t>https://drive.google.com/drive/folders/1L3qlTm2DLNwhYU6wVNDS9Tx95ZZB7ALb</t>
  </si>
  <si>
    <t>https://drive.google.com/open?id=1d3TYMskDLqs3DwI3dKlXUM5dU6vqbE8o</t>
  </si>
  <si>
    <t>https://drive.google.com/open?id=1iAcOt8dyOLN7lgdmRqNSV6q_DCaIAgFM</t>
  </si>
  <si>
    <t>https://drive.google.com/open?id=1NJ5JD5Yrm03bR3YS6OjG5wR7aV0RUOvI</t>
  </si>
  <si>
    <t>0220200010</t>
  </si>
  <si>
    <t>BHABAD</t>
  </si>
  <si>
    <t>bhabadmanish@gmail.com</t>
  </si>
  <si>
    <t>https://www.linkedin.com/in/manish-bhabad-325960241</t>
  </si>
  <si>
    <t>SURESH BABAN BHABAD</t>
  </si>
  <si>
    <t>SAVITA SURESH BHABAD</t>
  </si>
  <si>
    <t>B-3 madhav park, gosavi nagar , near mhasoba mandir, lokhande mala , jail road, nashik road</t>
  </si>
  <si>
    <t>CV306L</t>
  </si>
  <si>
    <t>Disha computers- python</t>
  </si>
  <si>
    <t>Summer internship in advanced excel</t>
  </si>
  <si>
    <t>Harsh construction pvt Ltd ,Nashik</t>
  </si>
  <si>
    <t>Beam wrapped with aramid fiber</t>
  </si>
  <si>
    <t>https://drive.google.com/drive/folders/1W3-SeWoOCf64ajymamDFBZepabb_ICCV</t>
  </si>
  <si>
    <t>https://drive.google.com/open?id=1AGfZzm4otvDgOC_jBHJi5XTFlvwjeGPd</t>
  </si>
  <si>
    <t>https://drive.google.com/open?id=1VgP-Xj3TPck_Dyo0pBhUEakTwOuJ-z-p</t>
  </si>
  <si>
    <t>0120190529</t>
  </si>
  <si>
    <t>PARMESHWAR</t>
  </si>
  <si>
    <t>BUDGE</t>
  </si>
  <si>
    <t>pranavbudge18@gmail.com</t>
  </si>
  <si>
    <t>Khadakpada,Near kokanratna hotel,Shankeshwar krupa,Anuradha building,flat no 404,Kalyan(w).</t>
  </si>
  <si>
    <t>Shankeshwar Krupa,Anuradha building,flat no 404,kalyan(w)</t>
  </si>
  <si>
    <t>Infosys Springboard Python Programming ongoing</t>
  </si>
  <si>
    <t>Intern at Sanghvi premises pvt.ltd</t>
  </si>
  <si>
    <t>Sports : Cricket And Kabbadi</t>
  </si>
  <si>
    <t>https://drive.google.com/drive/folders/1j19-Li84mHPkLFwO8Mb0GqhaoYzXPj6h?usp=sharing</t>
  </si>
  <si>
    <t>https://drive.google.com/open?id=1LmCPqqi790ji6XtUmwLaoJENbUhHMBVJ</t>
  </si>
  <si>
    <t>https://drive.google.com/open?id=1diiKlpAxnPD9NxM49FGAyWmzKkGFee6V</t>
  </si>
  <si>
    <t>0120190003</t>
  </si>
  <si>
    <t>KARANJOT</t>
  </si>
  <si>
    <t>abh88138@gmail.com</t>
  </si>
  <si>
    <t>https://www.linkedin.com/in/karanjot-singh-525681183/</t>
  </si>
  <si>
    <t>PARAMJEET SINGH</t>
  </si>
  <si>
    <t>KAWALJEET KOUR</t>
  </si>
  <si>
    <t>Singh Sabha, Camp gole gujral, Jammu City, Jammu, Jammu and Kashmir - 180002</t>
  </si>
  <si>
    <t>Certification: Programming for Everybody (Getting Started with
Python</t>
  </si>
  <si>
    <t>Full Stack Web Development Intern at Codekul Pvt. Ltd.</t>
  </si>
  <si>
    <t>Power apps and Automate Intern at Celebal Technologies</t>
  </si>
  <si>
    <t>Major Project:- Semantic Aware Video Clipper</t>
  </si>
  <si>
    <t>Python, Java, C/C++, HTML, CSS, JavaScript, TypeScript, SQl, Mongo DB</t>
  </si>
  <si>
    <t>AutoCAD, Fusion 360, CATIA, Proteus, MATLAB, Tableau, MS-POWERPOINT, MS-WORD, ADOBE ACROBAT DC</t>
  </si>
  <si>
    <t>Punjabi</t>
  </si>
  <si>
    <t>Secured 2nd Position in Programming Competition organised by MITAOE CODING CLUB (June, 2020)</t>
  </si>
  <si>
    <t>Participated and Managed Club Mela Fest for Foreign Language Club, MITAOE at Nakshatra 22</t>
  </si>
  <si>
    <t>https://preskilet.com/watch?v=62a3627da6956a00045fff98</t>
  </si>
  <si>
    <t>https://drive.google.com/open?id=1U1G7YDvmvMznvmWVnJQ9Op5NPeJ7X-3r</t>
  </si>
  <si>
    <t>https://drive.google.com/open?id=1Wz68si96VxwlYS6h1g5UXZWXiqL5C1KX</t>
  </si>
  <si>
    <t>https://drive.google.com/open?id=1VlpAyQItkWIXduOxQio8Lq1JO0Nl6qZ6</t>
  </si>
  <si>
    <t>https://drive.google.com/open?id=1_aPdJXwYr85xPNC1yZxhjuE8N65j5Uie</t>
  </si>
  <si>
    <t>0120190052</t>
  </si>
  <si>
    <t>RADHESHAYAM</t>
  </si>
  <si>
    <t>LAD</t>
  </si>
  <si>
    <t>ladsunil1411@gmail.com</t>
  </si>
  <si>
    <t>https://www.linkedin.com/in/sunil-lad-944b01229</t>
  </si>
  <si>
    <t>RADHESHAYAM LAD</t>
  </si>
  <si>
    <t>DAIVASHALA RADHESHAYAM LAD</t>
  </si>
  <si>
    <t>At:Shevta , post: Ramasgaon , Jalna</t>
  </si>
  <si>
    <t>Suryodev Niwas, near ho petrol pump kale colony alandi, Pune , Maharashtra</t>
  </si>
  <si>
    <t>NA if Awaiting</t>
  </si>
  <si>
    <t>CS341T -  Operation system, CS346L - Web Technology, CS350L - Project Design, CS357L - Advanced Java, CS360L - Major Project - Implementation</t>
  </si>
  <si>
    <t>INFOSYS SPRINGBOARD: CLOUD COMPUTING</t>
  </si>
  <si>
    <t>Exposys Data lab(full stack developer)</t>
  </si>
  <si>
    <t>SECURE FILE</t>
  </si>
  <si>
    <t>Java, C#, HTML, CSS, JavaScript</t>
  </si>
  <si>
    <t>https://drive.google.com/drive/folders/1Y37qgoZcD3zvIuT1xxPEkoTskHO0P56r</t>
  </si>
  <si>
    <t>https://drive.google.com/open?id=1s3zv-Y8GQHaZeYMq0GNxVA-g53kNY1dQ</t>
  </si>
  <si>
    <t>https://drive.google.com/open?id=1vLp5sClWpwJH-1UxNMJiQLEVgkCVRegQ</t>
  </si>
  <si>
    <t>0120190074</t>
  </si>
  <si>
    <t>omkarp572@gmail.com</t>
  </si>
  <si>
    <t>https://www.linkedin.com/in/omkar-pawar-88b2bb213</t>
  </si>
  <si>
    <t>GOVIND PAWAR</t>
  </si>
  <si>
    <t>SANGEETA PAWAR</t>
  </si>
  <si>
    <t>At Post Niwgha TQ mudkhed Dist nanded ,maharastra pin code 431806</t>
  </si>
  <si>
    <t xml:space="preserve">Dheu phata ,Alandi, pune </t>
  </si>
  <si>
    <t>AS105T-Calculas and differential equations
CH101L-science of nature 
CH101T-science of natue 
CV102T-Applied mathematics</t>
  </si>
  <si>
    <t>Oracle Cloud Infrastructure</t>
  </si>
  <si>
    <t xml:space="preserve">I have worked on a project in my SY Summer. I have developed an application named "Agrobazaar". This application was developed for farmers to sell their products without the involvement of any middle man hence reducing the cost for customers and increasing the profits for the farmers. I have developed this application using Java in Android Studio software for the front end of the application and the back end of the application was developed using PHP. </t>
  </si>
  <si>
    <t>Celebal technogies working on "data science" domain</t>
  </si>
  <si>
    <t>ta</t>
  </si>
  <si>
    <t>DESIGN AND DEVELOPMENT OF INTERVIEW CHATBOT WITH
AUTOMATIC QUESTION GENERATION AND FACE DETECTION DURING
INTERVIEW</t>
  </si>
  <si>
    <t>AutoCAD, Fusion 360, CATIA, Adobe XD, MATLAB</t>
  </si>
  <si>
    <t>Active participation in volley ball in annual fest</t>
  </si>
  <si>
    <t>https://preskilet.com/watch?v=62a36213a6956a00045fff86</t>
  </si>
  <si>
    <t>https://drive.google.com/open?id=1MrC4IAyGi6rnuqEJYO3VBcQJToJIbD7C</t>
  </si>
  <si>
    <t>https://drive.google.com/open?id=1jnzL8_v0dL2TuoC-lCF_ZLqQdxEaiI15</t>
  </si>
  <si>
    <t>https://drive.google.com/open?id=1dnzh03e2ZZFX92XnDFX1_mUlqh3QkpRb</t>
  </si>
  <si>
    <t>https://drive.google.com/open?id=154sHvVXJGURkQSMzcm-sSykOc5VQLu0R</t>
  </si>
  <si>
    <t>0120190075</t>
  </si>
  <si>
    <t>KHANDKE</t>
  </si>
  <si>
    <t>khandke.vyankatesh@gmail.com</t>
  </si>
  <si>
    <t>https://www.linkedin.com/in/vyankatesh-khandke-37b026194/</t>
  </si>
  <si>
    <t>SUNIL KHANDKE</t>
  </si>
  <si>
    <t>SMITA KHANDKE</t>
  </si>
  <si>
    <t>Flat No.12, Swanand Gruhkul, Nageshwarwadi, Aurangabad, Maharashtra-431001</t>
  </si>
  <si>
    <t>IBM PY0101EN Python Certificate</t>
  </si>
  <si>
    <t>Python Developer Intern in CodeKul</t>
  </si>
  <si>
    <t>Python Developer Intern in CodeSpeedy Technology</t>
  </si>
  <si>
    <t>Finding the safest and shortest route using AQI index as Parameter to detect Air Pollution</t>
  </si>
  <si>
    <t>1. First Year Nakashtra Drama 1st Prize
2. Special Prize in Datathon competition in 2nd Year
3. Attended Data Structure workshop by Coding Ninja</t>
  </si>
  <si>
    <t>https://preskilet.com/watch?v=62a34ca5a6956a00045ffdbf</t>
  </si>
  <si>
    <t>https://drive.google.com/open?id=1Iz052povEpGvkxPs723lMsB5AR70ezsR</t>
  </si>
  <si>
    <t>https://drive.google.com/open?id=1gFEC21cekSrznQk6hdRjEBc5qSdhE0gR</t>
  </si>
  <si>
    <t>https://drive.google.com/open?id=18l6XCOsUk8RJFUsw_8aG3sElWCZXBS0y</t>
  </si>
  <si>
    <t>https://drive.google.com/open?id=1uOcEbnbO4Snerbvfny3YcWnpX6CoRq2j</t>
  </si>
  <si>
    <t>0120190109</t>
  </si>
  <si>
    <t>VIPUL</t>
  </si>
  <si>
    <t>01vipulrpatel@gmail.com</t>
  </si>
  <si>
    <t>https://www.linkedin.com/in/vip13/</t>
  </si>
  <si>
    <t>Sushrut Nursing Home Shahada Maharashtra 425409</t>
  </si>
  <si>
    <t xml:space="preserve">401-A Dnyanyog society Alandi OPP BOI Alandi Branch . Maharashtra 412105 </t>
  </si>
  <si>
    <t>Palo Alto : Cybersecurity Foundation</t>
  </si>
  <si>
    <t>CISCO Cyber Security Certifications</t>
  </si>
  <si>
    <t xml:space="preserve">Python Developer : Backend Django / Repository Management At Root Force Marketers   </t>
  </si>
  <si>
    <t>Three Factor Authentication System</t>
  </si>
  <si>
    <t xml:space="preserve">Let's PY - Python hackathon </t>
  </si>
  <si>
    <t>https://drive.google.com/file/d/1fVVK_vgSOV1JzsRMC4T0wkV0_54EjVVP/view?usp=sharing</t>
  </si>
  <si>
    <t>https://drive.google.com/open?id=1jkTziYzHcg7m1FUE0kOLbdNkSu7K2Q9I</t>
  </si>
  <si>
    <t>https://drive.google.com/open?id=12f7kUrIZ4TEcNO1yTozFory7PTSw8HZe</t>
  </si>
  <si>
    <t>https://drive.google.com/open?id=1klOC-0iumRt322zmOTpsVPjHGTb3A1C8</t>
  </si>
  <si>
    <t>0120190118</t>
  </si>
  <si>
    <t>KESKAR</t>
  </si>
  <si>
    <t>saurabhkeskar07@gmail.com</t>
  </si>
  <si>
    <t>skkeskar@mitaoe.ac</t>
  </si>
  <si>
    <t>http://linkedin.com/in/saurabh-keskar-b98618231</t>
  </si>
  <si>
    <t>KISAN DINKAR KESKAR</t>
  </si>
  <si>
    <t>SHAKUNTALA KISAN KESKAR</t>
  </si>
  <si>
    <t>Lonand,Tal-Khandala,Dist-Satara</t>
  </si>
  <si>
    <t>Full Stack Flutter developer</t>
  </si>
  <si>
    <t>Simbha Developer - Mobile Application Development with Flutter</t>
  </si>
  <si>
    <t>Trando - Mobile Application Development with Flutter</t>
  </si>
  <si>
    <t>Dynamic Framework with Full stack development For Perfomance Assessment</t>
  </si>
  <si>
    <t>Python, C/C++, HTML, CSS, JavaScript, Dart</t>
  </si>
  <si>
    <t>React.js (JavaScript/Typescript), Android Development Using Fluttter</t>
  </si>
  <si>
    <t>1.Mobile App Development Using Flutter
2.Backend Development</t>
  </si>
  <si>
    <t>Persistent - Martians</t>
  </si>
  <si>
    <t>https://preskilet.com/watch?v=62a376eba6956a00046002d3</t>
  </si>
  <si>
    <t>https://drive.google.com/open?id=1rcZIY82wddRzcKB5C6_-UDnFqp-heUG7</t>
  </si>
  <si>
    <t>https://drive.google.com/open?id=1uFfYgibnhQwDPEZw_aDnQZFyfPcoeU1G</t>
  </si>
  <si>
    <t>https://drive.google.com/open?id=1oxm4QSaW7-NyzueUbdA9NN3woQiM5gTd</t>
  </si>
  <si>
    <t>https://drive.google.com/open?id=1VIh2l4_Rs2baBK1RNpIxycIJZbsMiuVp</t>
  </si>
  <si>
    <t>0120190128</t>
  </si>
  <si>
    <t>SHRICHAND</t>
  </si>
  <si>
    <t>BHAWANI</t>
  </si>
  <si>
    <t>sahilbhawani7@gmail.com</t>
  </si>
  <si>
    <t>www.linkedin.com/in/sahil-bhawani-5531071a1</t>
  </si>
  <si>
    <t>SHRICHAND PANJUMAL BHAWANI</t>
  </si>
  <si>
    <t>SHOBHA SHRICHAND BHAWANI</t>
  </si>
  <si>
    <t>Triveni nagar , Sindewahi , Tah. Sindewahi , Dist. Chandrapur , Maharashtra - 441222</t>
  </si>
  <si>
    <t>Goluldham Society , Alandi , Pune,Maharashtra - 412105</t>
  </si>
  <si>
    <t xml:space="preserve">ME104T - Engineering Graphics </t>
  </si>
  <si>
    <t>Oracle Certified Foundations Associate
Introduction to Cybersecurity by Palo Alto Networks
Programming using Java on Infosys Springboard
Alibaba Cloud Certification</t>
  </si>
  <si>
    <t xml:space="preserve">Microsoft Azure Fundamentals </t>
  </si>
  <si>
    <t>At the moment, I'm interning at Evidyut Private Limited Company.
As an Android App Developer and Data Analyst, I work for this company.
The company's primary focus is on converting diesel or gasoline engines to electric ones. We strive to collect data from engines or cars in order to calculate the vehicle's efficiency. The front end of the programme is successfully completed by using java, which assists in receiving car data so that users may examine vehicle analysis.</t>
  </si>
  <si>
    <t>Design And Development of Interview Chatbot with Automatic Question Generation and Face Detection during Interview</t>
  </si>
  <si>
    <t>Python, Java, C/C++, C#, HTML, CSS, JavaScript, PHP, NodeJS</t>
  </si>
  <si>
    <t>Sindhi</t>
  </si>
  <si>
    <t>Active participation in sports 
Volunteer for Nakshatra 2022</t>
  </si>
  <si>
    <t>https://preskilet.com/watch?v=62a2fa97a6956a00045ff5d2</t>
  </si>
  <si>
    <t>https://drive.google.com/open?id=1i27LIvuYKJdmcwVLPgRfxYFvI7MoIXeD</t>
  </si>
  <si>
    <t>https://drive.google.com/open?id=1JJ8G6s9HSYu3Vy62fzQRZvERda_kX1HR</t>
  </si>
  <si>
    <t>https://drive.google.com/open?id=1BvPE4C5NTO6tn72w3p4f9gzEL4lS0ljU</t>
  </si>
  <si>
    <t>https://drive.google.com/open?id=1OR-4vMn29DBw7ofhfChheJZkfqUO1yv5</t>
  </si>
  <si>
    <t>https://drive.google.com/open?id=1IsSrLTXzu2Pizh_ahr_YeF87Y0Ef3pfp</t>
  </si>
  <si>
    <t>0120190153</t>
  </si>
  <si>
    <t>BHADALE</t>
  </si>
  <si>
    <t>vaishnavibhadale10@gmail.com</t>
  </si>
  <si>
    <t>https://www.linkedin.com/in/vaishnavi-bhadale-a265ba197/</t>
  </si>
  <si>
    <t>BAJIRAO TUKARAM BHADALE</t>
  </si>
  <si>
    <t>PRATIBHA BAJIRAO BHADALE</t>
  </si>
  <si>
    <t>Kshitij destination b104,bhosari, pune -39</t>
  </si>
  <si>
    <t>Microsoft  certified Azure Fundamentals AI-900</t>
  </si>
  <si>
    <t>Python Data structure certificate
Project management certificate
Programming certificate
Matlab
Web devlopment
core java</t>
  </si>
  <si>
    <t>AWS Fundamentals</t>
  </si>
  <si>
    <t>Web development certification(1 month)</t>
  </si>
  <si>
    <t>Behtar school-Website creation and school academic ,socio -tech internship (2 months)</t>
  </si>
  <si>
    <t>Oasis infotech - webdeveloper- 1month</t>
  </si>
  <si>
    <t>React.js (JavaScript/Typescript), Angular, Laravel (PHP)</t>
  </si>
  <si>
    <t>AutoCAD, Figma, Adobe XD, MATLAB</t>
  </si>
  <si>
    <t>TEDex event 2021 as Frontend developer.</t>
  </si>
  <si>
    <t>https://preskilet.com/watch?v=62a3584aa6956a00045ffe86</t>
  </si>
  <si>
    <t>https://drive.google.com/open?id=133MdAhl0USNMdN6lUSFlYNISuxfNQMuC</t>
  </si>
  <si>
    <t>https://drive.google.com/open?id=1VEE4q03GBgw3wvf_Y_ocCZxJ3jPaDGV6</t>
  </si>
  <si>
    <t>https://drive.google.com/open?id=1w_s4IQwzyjE_i6f_SL0CuFct0BAwDrSB</t>
  </si>
  <si>
    <t>https://drive.google.com/open?id=1qelq6aScaC3ObqlELnqAoDMtHwU62n3f</t>
  </si>
  <si>
    <t>https://drive.google.com/open?id=1LuML4w6mDYzjlODqY72Gn478S7ANmMM0</t>
  </si>
  <si>
    <t>https://drive.google.com/open?id=1b-Vb-NXyCo-mJi9kN_NKjuPXRK5cUhr9</t>
  </si>
  <si>
    <t>0120190163</t>
  </si>
  <si>
    <t xml:space="preserve">ADISHWAR </t>
  </si>
  <si>
    <t>adishwarsharma10@gmail.com</t>
  </si>
  <si>
    <t>https://www.linkedin.com/in/adishwarsharma010/</t>
  </si>
  <si>
    <t>NAVEEN SHARMA</t>
  </si>
  <si>
    <t>GEETIKA SHARMA</t>
  </si>
  <si>
    <t>21 B/B 2nd Extension, Gandhi Nagar, Jammu, 180004</t>
  </si>
  <si>
    <t>1108-X Building, Tanish Orchid, Charholi Budruk, Pune, 412105</t>
  </si>
  <si>
    <t>Oracle Cloud Infrastructure Foundations: Oracle Cloud Fundamentals</t>
  </si>
  <si>
    <t>Python Certification : HackerRank</t>
  </si>
  <si>
    <t xml:space="preserve">Codekul Private Limited: Full Stack Web Development Intern </t>
  </si>
  <si>
    <t xml:space="preserve">Celebal Technologies: Data Analyst Intern </t>
  </si>
  <si>
    <t>Semantic Aware Video Clipper</t>
  </si>
  <si>
    <t>Python, Java, C/C++, HTML, CSS, JavaScript, TypeScript, SQL, MongoDB</t>
  </si>
  <si>
    <t>AutoCAD, Fusion 360, CATIA, Proteus, MATLAB, TABLEAU,MS Excel, MS Powerpoint, MS Word, MS PowerBI</t>
  </si>
  <si>
    <t>Punjabi, Dogri</t>
  </si>
  <si>
    <t xml:space="preserve">Secured 6th position in College level project showing </t>
  </si>
  <si>
    <t>https://preskilet.com/watch?v=62a36501a6956a00045fffe7</t>
  </si>
  <si>
    <t>https://drive.google.com/open?id=1LtrXJrG9Vx1ls1aTLQ_88EBVmqgPWx0y</t>
  </si>
  <si>
    <t>https://drive.google.com/open?id=1BuUbYo86pNN06pEWb0AHDcGIUL8Gf57g</t>
  </si>
  <si>
    <t>https://drive.google.com/open?id=1oUCOxf5R-F2N0rIV_Gpv3a3Ifl5yQRLH</t>
  </si>
  <si>
    <t>https://drive.google.com/open?id=1dxbjMwtvqhlwGCydUVh-gcZn2l-ZsvUS</t>
  </si>
  <si>
    <t>0120190183</t>
  </si>
  <si>
    <t>SHAMRAO</t>
  </si>
  <si>
    <t>vinayakbhosle085@gmail.com</t>
  </si>
  <si>
    <t>https://www.linkedin.com/in/vinayak-bhosle-2b32611a7/</t>
  </si>
  <si>
    <t>Mathoshri Nivas,Maganpura,Nanded,431602</t>
  </si>
  <si>
    <t>Heritage Complex,Alandi</t>
  </si>
  <si>
    <t>ME104T - Engineering Graphics
CS347L - Design And Analysis Of Algorithms</t>
  </si>
  <si>
    <t>SQL For Data Science
Programming For Everybody
Programming Essentials in C++
Programming Essentials in Python</t>
  </si>
  <si>
    <t>Programming For Everybody</t>
  </si>
  <si>
    <t>Programming Essentials in C++
Programming Essentials in Python</t>
  </si>
  <si>
    <t>Web Development-Suven Consultant and Technology Pvt. Ltd.</t>
  </si>
  <si>
    <t>Identification Of Plant Disease Using CNN</t>
  </si>
  <si>
    <t>E-Sport
 I was in the core committee and an active member of the " Team Chakravyuh ". Where we have organized an intra college E-sport event of BGMI.</t>
  </si>
  <si>
    <t>https://preskilet.com/watch?v=62a242bdfed70c00042b6972</t>
  </si>
  <si>
    <t>https://drive.google.com/open?id=1LmirdEGvX1Aav8ZGR3uCFTxTvNlmBEiW</t>
  </si>
  <si>
    <t>https://drive.google.com/open?id=1BN0Ml2lxePewX40VSnMfxkVa756AMtnM</t>
  </si>
  <si>
    <t>https://drive.google.com/open?id=1kUH_mF72pvnXexZbR0SbU_3UeQo2LNt7</t>
  </si>
  <si>
    <t>https://drive.google.com/open?id=1pDuq1DzwU2hlWviukxbC9uEElDXmGItp</t>
  </si>
  <si>
    <t>https://drive.google.com/open?id=16Hjd_TQhw3HW1f-av_3Q_9kMTOs3vuxY</t>
  </si>
  <si>
    <t>https://drive.google.com/open?id=1-n64TQh3VejppV9Ngra3tHa5XZCMP53L</t>
  </si>
  <si>
    <t>0120190243</t>
  </si>
  <si>
    <t>CHARPE</t>
  </si>
  <si>
    <t>yashrcharpe07@gmail.com</t>
  </si>
  <si>
    <t>https://www.linkedin.com/in/yash-charpe/</t>
  </si>
  <si>
    <t>RAMESHWAR SADASHIV CHARPE</t>
  </si>
  <si>
    <t>SUNITA RAMESHWAR CHARPE</t>
  </si>
  <si>
    <t>Pushpagandha Colony, Opposite to Rathi Suzuki Showroom, Kathora Road, Amravati, Maharashtra - 444604</t>
  </si>
  <si>
    <t>Padmavati Building, Behind Anand Multi-Speciality Hospital, Hindavi Colony Road 2, Dehu Phata, Alandi, Pune, Maharashtra - 444604</t>
  </si>
  <si>
    <t>Introduction to Web Development Coursera</t>
  </si>
  <si>
    <t>CodeKul Full Stack Development - Android</t>
  </si>
  <si>
    <t xml:space="preserve">BMC Software India </t>
  </si>
  <si>
    <t>Smart Application To Track &amp; Evaluate Assessments</t>
  </si>
  <si>
    <t>1) Datathon 2022 Competition
2) Coding Competition by Coding Club MITAOE
3) 30 Days of Google Cloud</t>
  </si>
  <si>
    <t>ML Training by ATS Softwares</t>
  </si>
  <si>
    <t>https://preskilet.com/watch?v=62a37038a6956a0004600168</t>
  </si>
  <si>
    <t>https://drive.google.com/open?id=1xd89JVXy5GKm8iQS6JHdmoOAbFnEolrK</t>
  </si>
  <si>
    <t>https://drive.google.com/open?id=1gcCHUvpmx_vXZkeFXhpo0uJClSqzfIBn</t>
  </si>
  <si>
    <t>https://drive.google.com/open?id=1EtDmh2pm1POu-fOhFC2_Hlr9JDMppwgp</t>
  </si>
  <si>
    <t>https://drive.google.com/open?id=1S6GlPdQle5mO9GIpOMOD8rBr0yeKRhio</t>
  </si>
  <si>
    <t>0120190283</t>
  </si>
  <si>
    <t xml:space="preserve">YADNESH </t>
  </si>
  <si>
    <t>VIDYASAGAR</t>
  </si>
  <si>
    <t>yadneshvidyasagar@gmail.com</t>
  </si>
  <si>
    <t>www.linkedin.com/in/yadnesh-vidyasagar-b3588a218</t>
  </si>
  <si>
    <t>Satara Parisar, Aurangabad</t>
  </si>
  <si>
    <t>Infosys Springboard: Python Programmer</t>
  </si>
  <si>
    <t>Microsoft AZ-900: Microsoft Azure Cloud</t>
  </si>
  <si>
    <t>In the summer of First Year I have completed Courses - Python For Everyone and Python Data Structure</t>
  </si>
  <si>
    <t>In SY for subject minor project we worked on project called FastRide in which we created a Web application for vehicle sharing.</t>
  </si>
  <si>
    <t>In TY Completed AWS cloud foundation course from AWS Academy</t>
  </si>
  <si>
    <t>Soybean Plant Leaf Disease Identification using ML</t>
  </si>
  <si>
    <t>I can understand some words from  German, Japnese and know little bit of sanskrit</t>
  </si>
  <si>
    <t>DATATHON 2022(Equilibrium 2022)</t>
  </si>
  <si>
    <t>Co-ordinator of Drama Club For "Nakshtra" 2022, 
Performed Drama And Won a Prize in 2022 and 2019 in "Nakshatra" Annual Social Gathering Of MITAOE,
 Member of MAC Club (MITAOE ART CIRCLE)</t>
  </si>
  <si>
    <t>https://drive.google.com/file/d/1P1KF6cWeKxknWO20LMhHHmZTd0UrHltQ/view?usp=sharing</t>
  </si>
  <si>
    <t>https://drive.google.com/open?id=1hn0hKACbGmdbh0IJDTo7rovJyvK3wbp0</t>
  </si>
  <si>
    <t>https://drive.google.com/open?id=1uRgSwSW3FHh5eP6B4aUclo7P9bce7rOj</t>
  </si>
  <si>
    <t>https://drive.google.com/open?id=17xFYfyTMN92CBXr-6nZYQO0nUpdM1dVW</t>
  </si>
  <si>
    <t>https://drive.google.com/open?id=1j-KR9AZZhXEDMCrTZ_cDtfWfPm5YdZDI</t>
  </si>
  <si>
    <t>https://drive.google.com/open?id=1oOOgq3sxKIGFWBX_7_XPbMv8OJxriHTN</t>
  </si>
  <si>
    <t>0120190374</t>
  </si>
  <si>
    <t>GAVKHARE</t>
  </si>
  <si>
    <t>tgavkhare80@gmail.com</t>
  </si>
  <si>
    <t>https://www.linkedin.com/in/tushar-gavkhare-243ab5203</t>
  </si>
  <si>
    <t>PUNDLIK D GAVKHARE</t>
  </si>
  <si>
    <t>RANJANA P GAVKHARE</t>
  </si>
  <si>
    <t>Plt 5/81, road no. 2, Raje Raghujj Nagar, behind Charde clinic, Nagpur - 440024, Maharashtra, India</t>
  </si>
  <si>
    <t>Full Stack Development Trainee at Autonise</t>
  </si>
  <si>
    <t>Software Developer at Fyndhere Services Pvt Ltd.</t>
  </si>
  <si>
    <t>1. ML/NLP Engineer at Team Collab 
2. Software Developer at Usmart AI  
3. Data analyst at Anakin</t>
  </si>
  <si>
    <t>Ecommerce website for Fyndhere.</t>
  </si>
  <si>
    <t xml:space="preserve">Automatic text Recognition </t>
  </si>
  <si>
    <t xml:space="preserve">Python, Java, C/C++, C#, HTML, CSS, JavaScript, PHP, TypeScript, Kotlin, Xml, </t>
  </si>
  <si>
    <t>Android Development (Java/Kotlin), React.js (JavaScript/Typescript), Angular, Django (Python), Flask (Python), Ionic</t>
  </si>
  <si>
    <t>AutoCAD, Fusion 360, CATIA, Figma, Adobe XD, Proteus, MATLAB, Vscode, Blender, GCP, AWS, Heroku, Colab, Jupyter, Android Studio</t>
  </si>
  <si>
    <t>1. Smart India Hackathon
2. Datathon
3. CodeBytes</t>
  </si>
  <si>
    <t>Zensar ESD Training, Autonise Training</t>
  </si>
  <si>
    <t>Smart India Hackathon</t>
  </si>
  <si>
    <t>https://preskilet.com/watch?v=629dcea04866700004412986</t>
  </si>
  <si>
    <t>https://drive.google.com/open?id=1hKFvyxfIcsBoPD8TQ6zOKDmTU-jx_BnO</t>
  </si>
  <si>
    <t>https://drive.google.com/open?id=10whI8cYExcwq67gignH4rylBOkr8N2tu</t>
  </si>
  <si>
    <t>https://drive.google.com/open?id=1VlHY7GU-XO3lkc6dmQglS1kS1GDc9Ti2</t>
  </si>
  <si>
    <t>https://drive.google.com/open?id=1MD8l7XffkAPp7Il1N9roiFfn2qa513CX</t>
  </si>
  <si>
    <t>https://drive.google.com/open?id=1g3_Vjd2lyK6XL_4on-msSKAJ_9o19wX2</t>
  </si>
  <si>
    <t>https://drive.google.com/open?id=19ewsg9v1-oy5Djl_bzCDXqlSCH0XmQlb</t>
  </si>
  <si>
    <t>0120190409</t>
  </si>
  <si>
    <t xml:space="preserve">RITIKET </t>
  </si>
  <si>
    <t>DUKARE</t>
  </si>
  <si>
    <t>ritiket.duakre29@gmail.com</t>
  </si>
  <si>
    <t>https://www.linkedin.com/in/ritiket-dukare-669239230</t>
  </si>
  <si>
    <t>HARIDAS DUKARE</t>
  </si>
  <si>
    <t>MANJUSHA DUKARE</t>
  </si>
  <si>
    <t xml:space="preserve">Vivekanand Nagar, Wagaon Ward, Chandrapur -MH (442401) </t>
  </si>
  <si>
    <t>AWS Practitioner</t>
  </si>
  <si>
    <t>IOT based health monitoring and alert system.</t>
  </si>
  <si>
    <t>MITAOE_Aalekh Art club member</t>
  </si>
  <si>
    <t>https://preskilet.com/watch?v=62a3778ca6956a00046002fc</t>
  </si>
  <si>
    <t>https://drive.google.com/open?id=1BZhGjGGleUxNJot2BxlrnHrvbgf0nlhi</t>
  </si>
  <si>
    <t>https://drive.google.com/open?id=1Od6fiQA8axxcEWsQRiyjxLZeGCDiS-Ng</t>
  </si>
  <si>
    <t>https://drive.google.com/open?id=10E29lIWgPzQPExo292u1j-ZMi6HShiAs</t>
  </si>
  <si>
    <t>https://drive.google.com/open?id=17qISm4ATMvWEw24jTOXjSvCauWeMlT-V</t>
  </si>
  <si>
    <t>https://drive.google.com/open?id=1tEqPZhVbQlcya_LsHm4jKSOrrVaG1Jg9</t>
  </si>
  <si>
    <t>0120190418</t>
  </si>
  <si>
    <t>KAPIL</t>
  </si>
  <si>
    <t>kapilvkhairkar102@gmail.com</t>
  </si>
  <si>
    <t>www.linkedin.com/in/kapilkhairkar</t>
  </si>
  <si>
    <t>VILAS SOPANRAO KHAIRKAR</t>
  </si>
  <si>
    <t>PRATIBHA VILAS KHAIRKAR</t>
  </si>
  <si>
    <t xml:space="preserve">Falt no. 202 SparshVilla 3 , KhapriNaka,Near nagpur airport,Wardha road ,Nagpur,Maharashtra 440005 </t>
  </si>
  <si>
    <t>House No. 2698 Kale colony, near kale petrol pump , dehu phata ,alandi ,pune , Maharashtra 412105</t>
  </si>
  <si>
    <t>PALO ALTO NETWORKS Cybersecurity foundation</t>
  </si>
  <si>
    <t>Internship on IOT by enovate skill(NITTTR CHANDIGARH START-UP)</t>
  </si>
  <si>
    <t>Internship on Scientific computing with python</t>
  </si>
  <si>
    <t xml:space="preserve">Internship on IT security by Basket Hunt </t>
  </si>
  <si>
    <t>Secured Frameworks for pocket smart cards</t>
  </si>
  <si>
    <t>French, NONE</t>
  </si>
  <si>
    <t xml:space="preserve">1. Participated in Aero design challenge 2021 
2. Participated in Robotics workshop
3. Participation in national level datathon 2022 </t>
  </si>
  <si>
    <t>1. Internship at Pantech solution as a data analyst intern
2. Internship at Skill India Internship as a aI/ml intern 
3. Trainning at codered from EC-council for the course of Ethical Hacking Essential
4. Training at codered from EC-council for the course of Digital forensics Essential(In progress)
5. Training at learn and build for Cyber security and ethical hacking(In progress)</t>
  </si>
  <si>
    <t>1.Participated in sport event during nakshatra</t>
  </si>
  <si>
    <t>https://drive.google.com/drive/folders/1MiRE8uHdpJ57i9WSW0UQFqpydJccUuy0?usp=sharing</t>
  </si>
  <si>
    <t>https://drive.google.com/open?id=1-QXnQCKMjfm_h2gZwRMgS5i4xaTVbAb3</t>
  </si>
  <si>
    <t>https://drive.google.com/open?id=17L7-gIJfdw_-nheavT2ehMWUMyfmFnEK</t>
  </si>
  <si>
    <t>https://drive.google.com/open?id=1rRAxFIPoewERl3-_4MkeqkAR6H-1bxtl</t>
  </si>
  <si>
    <t>https://drive.google.com/open?id=1v5jDHfz3gGdmusqV8BVpKtauP3qR1kcp</t>
  </si>
  <si>
    <t>https://drive.google.com/open?id=1rFxnMFa_4kVTDMQBxxjcv1r6qxHH_ZF8</t>
  </si>
  <si>
    <t>https://drive.google.com/open?id=1ZyXNHZ0qDVTlxZODLkFB-29CZwnaqxEf</t>
  </si>
  <si>
    <t>0120190484</t>
  </si>
  <si>
    <t xml:space="preserve">PRATHAM </t>
  </si>
  <si>
    <t xml:space="preserve">BHARDWAJ </t>
  </si>
  <si>
    <t>prathambhardwaj38@gmail.com</t>
  </si>
  <si>
    <t>https://www.linkedin.com/in/pratham-bhardwaj-78766018a</t>
  </si>
  <si>
    <t xml:space="preserve">SHAILESH TIWARI </t>
  </si>
  <si>
    <t>RAJKUMARI</t>
  </si>
  <si>
    <t>House 8D/7, road 8D, rajeev nagar, Patna, 800024</t>
  </si>
  <si>
    <t>Flat 601 building B2, phase 1, shama estate, Charholi phata, Alandi , pune , 412105</t>
  </si>
  <si>
    <t>Quantum frond end developer at Qftics</t>
  </si>
  <si>
    <t xml:space="preserve">Quantum circuit simulator </t>
  </si>
  <si>
    <t>https://preskilet.com/watch?v=62a384f0a6956a00046005c0</t>
  </si>
  <si>
    <t>https://drive.google.com/open?id=1dcr5JHm63yLhG7C7tmv6Bh00i3jCb7Lh</t>
  </si>
  <si>
    <t>https://drive.google.com/open?id=1L8FBMn4zzfboEbVFRP-aaeZtuII0k3kf</t>
  </si>
  <si>
    <t>0120190510</t>
  </si>
  <si>
    <t>PRATAPSINH</t>
  </si>
  <si>
    <t>KHUNE</t>
  </si>
  <si>
    <t>npkhune@gmail.com</t>
  </si>
  <si>
    <t>https://www.linkedin.com/in/nikhil-khune-269951241</t>
  </si>
  <si>
    <t>AT POST BHATAMBARE,413401 TAL-BARSHI,DIST-SOLAPUR</t>
  </si>
  <si>
    <t>OPPOSITE TO HP PETROL PUMP KALE COLONY,ALANDI</t>
  </si>
  <si>
    <t>Not done</t>
  </si>
  <si>
    <t xml:space="preserve">Cybersecuity </t>
  </si>
  <si>
    <t xml:space="preserve">Delloite Consultancy </t>
  </si>
  <si>
    <t>Identity and Access Management</t>
  </si>
  <si>
    <t>Plant leaf disease detection system using image processing</t>
  </si>
  <si>
    <t>Fusion 360, Adobe XD, MATLAB</t>
  </si>
  <si>
    <t>https://drive.google.com/drive/folders/1fLZCZnls0GK1Fie8CT6LAjVu4EL5Zg7b?usp=sharing</t>
  </si>
  <si>
    <t>https://drive.google.com/open?id=1PoqY_eohWgVnKnOuj9MMIn5ZnrTUEKYL</t>
  </si>
  <si>
    <t>https://drive.google.com/open?id=1kVhamZ6prniIA-H8ZEfe7E8QWTKFCRN8</t>
  </si>
  <si>
    <t>0120190533</t>
  </si>
  <si>
    <t>PRADHAN</t>
  </si>
  <si>
    <t>rahulkpradhan2002@gmail.com</t>
  </si>
  <si>
    <t>rkpradhan@mitaoe.a.cin</t>
  </si>
  <si>
    <t>MANOJ KUMAR PRADHAN</t>
  </si>
  <si>
    <t>MITARANI PRADHAN</t>
  </si>
  <si>
    <t>flat no-305,raga atlas,aurangabad</t>
  </si>
  <si>
    <t>dbms practical</t>
  </si>
  <si>
    <t>matlab</t>
  </si>
  <si>
    <t>minor project-bus magagement system</t>
  </si>
  <si>
    <t>codomotive</t>
  </si>
  <si>
    <t>image steganography -major project</t>
  </si>
  <si>
    <t>Laravel (PHP)</t>
  </si>
  <si>
    <t>NONE, little bit oriya</t>
  </si>
  <si>
    <t>carrom,cricket</t>
  </si>
  <si>
    <t>https://drive.google.com/drive/folders/1xEfOBLuJY4VZ8nOU23ipee8Id1dj3Y-7</t>
  </si>
  <si>
    <t>https://drive.google.com/open?id=1FV-l4nH8GpbrhfI8yGcCxcmu7Ye_Dv9G</t>
  </si>
  <si>
    <t>https://drive.google.com/open?id=1MnLVaTxM40SNzVTHtL0_myS-j140wpHs</t>
  </si>
  <si>
    <t>0120190543</t>
  </si>
  <si>
    <t>ppvkale@gmail.com</t>
  </si>
  <si>
    <t>https://www.linkedin.com/in/pratik-kale135/</t>
  </si>
  <si>
    <t>In front of Awari Hospital, Home no 1166, Markal Road, Alandi Devachi, Pin- 412105</t>
  </si>
  <si>
    <t>AS105T - CALCULUS AND DIFFERENTIAL EQUATIONS
AS106T- ENGINEERING PHYSICS
EX102T-ELECTRICAL AND ELECTRONICS ENGINEERING
ME104T - ENGINEERING GRAPHICS</t>
  </si>
  <si>
    <t>Graphic Designer and Social Media in a startup named WEINVEN8</t>
  </si>
  <si>
    <t>Front End Web Developer at MITAOE</t>
  </si>
  <si>
    <t>Front End Web Developer U-SMART.Ai</t>
  </si>
  <si>
    <t>Smart traffic system using AI</t>
  </si>
  <si>
    <t xml:space="preserve">Google Developers Student Club - Campus Lead
SIH Participant
</t>
  </si>
  <si>
    <t>Winner of Photography Competition at MITCON</t>
  </si>
  <si>
    <t>TEDxMITAOE - Core Team Member
Shutterbug Photography Club - Activity Head</t>
  </si>
  <si>
    <t>https://preskilet.com/watch?v=62a38e8ca6956a000460082b</t>
  </si>
  <si>
    <t>https://drive.google.com/open?id=163kVsPwIyFqreQ_V8qV-HVBvFM2HCTL8</t>
  </si>
  <si>
    <t>https://drive.google.com/open?id=1DJyR1DeP005zfSJsNLlhX-OP-hiMbDaR</t>
  </si>
  <si>
    <t>0120190560</t>
  </si>
  <si>
    <t>KALJE</t>
  </si>
  <si>
    <t>tejaskalje96@gmail.com</t>
  </si>
  <si>
    <t>https://www.linkedin.com/in/tejas-kalje-884795241/</t>
  </si>
  <si>
    <t>Near Bhairavnath temple, Kaljewadi, charholi (b.k) , pune-412105</t>
  </si>
  <si>
    <t>AS105T- Calculus And Differential Equations</t>
  </si>
  <si>
    <t>AWS Fundamentals: Going Cloud-Native
Programming for Everybody (Getting Started with Python)
freeCodeCamp: Responsive Web Design</t>
  </si>
  <si>
    <t>freeCodeCamp: Responsive Web Design</t>
  </si>
  <si>
    <t>UInSports.Inc</t>
  </si>
  <si>
    <t>UInSpors.Inc</t>
  </si>
  <si>
    <t>Web Application For developing global sports ecosystem</t>
  </si>
  <si>
    <t>Management and coordination of Project Expo 2022 
Comittee Member of CSI (Computer Society of India)</t>
  </si>
  <si>
    <t>https://drive.google.com/drive/folders/1rC81pp-eFMXaJCKySFA2ObhZp6ES7avR?usp=sharing</t>
  </si>
  <si>
    <t>https://drive.google.com/open?id=1HNyutNTEeUZXztfjHaRkUPzLTr3oQT3P</t>
  </si>
  <si>
    <t>https://drive.google.com/open?id=1uSwVQyZx60oY5sCPq5u54VijXMBnsrRa</t>
  </si>
  <si>
    <t>https://drive.google.com/open?id=1rQp9ZmsV2eDiVQ_OoGYuwfqyUV2eQMP2</t>
  </si>
  <si>
    <t>0120190585</t>
  </si>
  <si>
    <t xml:space="preserve">MAYURESH </t>
  </si>
  <si>
    <t>kumarmayuresh906@gmail.com</t>
  </si>
  <si>
    <t>MITHILESH KUMAR SINGH</t>
  </si>
  <si>
    <t>BABY KUMARI</t>
  </si>
  <si>
    <t>HIG , 3/16, BHOOTNATH, PATNA 26</t>
  </si>
  <si>
    <t>HIG , 3/15, BHOOTNATH, PATNA 26</t>
  </si>
  <si>
    <t>alo AltoCybersecurity Foundation-MIT Academy of Engineering</t>
  </si>
  <si>
    <t>CodeKul, Online Examination System</t>
  </si>
  <si>
    <t>Kailsumi infotech</t>
  </si>
  <si>
    <t>Violence Detection through surveillance videos using artificial intelligence</t>
  </si>
  <si>
    <t>https://drive.google.com/file/d/16sDc459W9uJRpwaAqwWEkhM910Xy6y7Z/view?usp=drivesdk</t>
  </si>
  <si>
    <t>https://drive.google.com/open?id=1TqfLhBQeqbCFw3A8lEfmu3BAkSR0h9IE</t>
  </si>
  <si>
    <t>https://drive.google.com/open?id=1NNuiXfwQM-VpeT2HrBaGVZ38zFZoPdvN</t>
  </si>
  <si>
    <t>https://drive.google.com/open?id=1EJblnOGIy0NgR88O1FZlPOb4mK1CrpzL</t>
  </si>
  <si>
    <t>https://drive.google.com/open?id=1xRJTIQyUnOi36bE3cMsW8EQV8k38uWBp</t>
  </si>
  <si>
    <t>https://drive.google.com/open?id=1EIbxPu4UoOJHlQC3FKEZ2x9LuAcX6hrE</t>
  </si>
  <si>
    <t>https://drive.google.com/open?id=1-6zOKW9EcflfcqZjf4gvEmt39NzvU9nz</t>
  </si>
  <si>
    <t>0120190587</t>
  </si>
  <si>
    <t>DADASAHEB</t>
  </si>
  <si>
    <t>GIRHE</t>
  </si>
  <si>
    <t>niranjangirheindia@gmail.com</t>
  </si>
  <si>
    <t>https://www.linkedin.com/in/niranjan-girhe/</t>
  </si>
  <si>
    <t>H-8 Kirtinagar, 
Wadgaon Bk, 
Pune 411041</t>
  </si>
  <si>
    <t>Game development development internship at Salvation Games, RC aircraft development Training and Internship at MIT Aero club</t>
  </si>
  <si>
    <t>Open elective allocation system (Web Portal) development internship at MIT Academy of Engineering</t>
  </si>
  <si>
    <t>Research Internship at Ontario Tech University, Canada (Mitacs Globalink Intern)</t>
  </si>
  <si>
    <t>Smart Traffic System to optimize the city traffic with the help of AI</t>
  </si>
  <si>
    <t>Android Development (Java/Kotlin), Unity - C#</t>
  </si>
  <si>
    <t>AutoCAD, Fusion 360, Adobe XD, MATLAB, Unity, Blender</t>
  </si>
  <si>
    <t>1st rank in the HackerRank python challenge. Published a research paper in a Springer publication and presented it at the ICCDN-2021 conference. Secured a top 10 rank in codechef pair programming.</t>
  </si>
  <si>
    <t>Selected for the Mitacs Globalink research program and secured an internship in Canada.</t>
  </si>
  <si>
    <t>Participated in Art fair art competition in Aalekh club MITAOE</t>
  </si>
  <si>
    <t>https://drive.google.com/drive/folders/1IJ2Ql3cUNEBduhY9DZsWZzn4j_rkHTEj?usp=sharing</t>
  </si>
  <si>
    <t>https://drive.google.com/open?id=11Xo4s2VyWLiV4F46yUI-cHNRzmQDP7wY</t>
  </si>
  <si>
    <t>https://drive.google.com/open?id=1P6gyoNlk5CkajHFDvHIn4ucx3dB0Qc4R</t>
  </si>
  <si>
    <t>https://drive.google.com/open?id=1SmQRQYZ1lNgQ4EPHqHMIoTnVAlEspTaS</t>
  </si>
  <si>
    <t>https://drive.google.com/open?id=1ooUN61b_tM8eCRuDRBWjIXz9JAW0HbSf</t>
  </si>
  <si>
    <t>https://drive.google.com/open?id=1Y2xFZS5RKBkWdF55Dx9c6_lJgKe-tjJE</t>
  </si>
  <si>
    <t>https://drive.google.com/open?id=1ayPwG4TZl37LwH6ltHjkCZMFIHSVj3Ft</t>
  </si>
  <si>
    <t>0120190591</t>
  </si>
  <si>
    <t xml:space="preserve">DEVIDAS </t>
  </si>
  <si>
    <t xml:space="preserve">HATWAR </t>
  </si>
  <si>
    <t>pranavhatwar21@gmail.com</t>
  </si>
  <si>
    <t>https://www.linkedin.com/in/pranav-hatwar-437039215</t>
  </si>
  <si>
    <t xml:space="preserve">GANGA </t>
  </si>
  <si>
    <t>At - Parsodi, Jawahar Nagar Road, Petrol pump, District- Bhandara, pincode-441906.</t>
  </si>
  <si>
    <t xml:space="preserve">Microsoft fundamental-900: Microsoft Azure Fundamental </t>
  </si>
  <si>
    <t>Zensar Training 
AWS foundation: Cloud Practitioner</t>
  </si>
  <si>
    <t xml:space="preserve">Coursera Course </t>
  </si>
  <si>
    <t>Coursera Course "Google IT Support"</t>
  </si>
  <si>
    <t xml:space="preserve">VIEH Group Private limited </t>
  </si>
  <si>
    <t>" IOT Base Smart Health monitoring System "</t>
  </si>
  <si>
    <t>Java, C/C++, C#, HTML, CSS, JavaScript, PHP</t>
  </si>
  <si>
    <t xml:space="preserve">Zensar </t>
  </si>
  <si>
    <t>https://preskilet.com/watch?v=6287a14cf7627b000497217d</t>
  </si>
  <si>
    <t>https://drive.google.com/open?id=1mXlF0MD4JOMSb8hCrv8Gs6U-aI7nhhyC</t>
  </si>
  <si>
    <t>https://drive.google.com/open?id=1GdLMYsAAqdtffnwuQPrElck2ZZ0H-jHd</t>
  </si>
  <si>
    <t>0120190609</t>
  </si>
  <si>
    <t>gaikwadshreya02@gmail.com</t>
  </si>
  <si>
    <t>Skgaikwad@mitaoe.ac.in</t>
  </si>
  <si>
    <t>https://www.linkedin.com/in/shreya-gaikwad-aai14</t>
  </si>
  <si>
    <t>KAILAS GAIKWAD</t>
  </si>
  <si>
    <t>MANJUSHA GAIKWAD</t>
  </si>
  <si>
    <t xml:space="preserve">Flat no 104, Navdeviya homes, Mahadev Nagar,  Wadgaon Sheri, Pune. </t>
  </si>
  <si>
    <t>Microsoft AI-900: Microsoft Azure A</t>
  </si>
  <si>
    <t xml:space="preserve">Microsoft AZ-900: Microsoft Azure Fundamentals </t>
  </si>
  <si>
    <t>Microsoft DP-900: Microsoft Data science</t>
  </si>
  <si>
    <t xml:space="preserve">Training on online platform. </t>
  </si>
  <si>
    <t xml:space="preserve">Cyber Security training in industry. </t>
  </si>
  <si>
    <t xml:space="preserve">RPA development and project on AI/ML in industry </t>
  </si>
  <si>
    <t xml:space="preserve">Smart Irrigation System </t>
  </si>
  <si>
    <t xml:space="preserve">Zensar training as a technical certification </t>
  </si>
  <si>
    <t xml:space="preserve">Technical certification by Zensar technologies. </t>
  </si>
  <si>
    <t>https://drive.google.com/drive/folders/1FaaVeKws0VK4skXsbwleIIOkpZawXhoY</t>
  </si>
  <si>
    <t>https://drive.google.com/open?id=1evO7sz656VbKEY1Fm48ZAt20g2Mphe0U</t>
  </si>
  <si>
    <t>https://drive.google.com/open?id=1b3nTjJf6OR6vBB2exTWCHDq_T4Qu1rsl</t>
  </si>
  <si>
    <t>https://drive.google.com/open?id=1-qeCMignZLz3Ua3NXTm9edMsD9yaRqwe</t>
  </si>
  <si>
    <t>https://drive.google.com/open?id=1inHMco2ghCaZdmvLt_PrPBPOU_aLlSsO</t>
  </si>
  <si>
    <t>012019104</t>
  </si>
  <si>
    <t xml:space="preserve">SUSHANT </t>
  </si>
  <si>
    <t>SHRAVAN</t>
  </si>
  <si>
    <t>sushantgawde24@gmail.com</t>
  </si>
  <si>
    <t xml:space="preserve">sushantgawade@mitaoe.ac.in </t>
  </si>
  <si>
    <t>https://www.linkedin.com/in/sushant-gawde-2a0b0120a</t>
  </si>
  <si>
    <t xml:space="preserve">SHRAVAN </t>
  </si>
  <si>
    <t>shriram nagar, at post ta. Kurkhedha dist gadchiroli state Maharashtra india 441209</t>
  </si>
  <si>
    <t>CS231L, CS347T, CS342T, CS361T</t>
  </si>
  <si>
    <t xml:space="preserve">I have Python corsera certificate </t>
  </si>
  <si>
    <t xml:space="preserve">Iot </t>
  </si>
  <si>
    <t>MITAOE</t>
  </si>
  <si>
    <t>CRM (customer relationships management)</t>
  </si>
  <si>
    <t>AutoCAD, Fusion 360, SolidWorks, CATIA, Adobe XD, Proteus, MATLAB</t>
  </si>
  <si>
    <t>Website development and design</t>
  </si>
  <si>
    <t>https://drive.google.com/open?id=11ghiwRVFXsRt8jRQeePTHB-J9MnoMukS</t>
  </si>
  <si>
    <t>https://drive.google.com/open?id=1CR5fkLzCf8seIXvglY0p3_FWlVYrhTTf</t>
  </si>
  <si>
    <t>0220200054</t>
  </si>
  <si>
    <t>jagtapsakshi5@gmail.com</t>
  </si>
  <si>
    <t>www.linkedin.com/in/sakshi-jagtap-549084212</t>
  </si>
  <si>
    <t>PH-01.Monika CHS, Plot no-45, Sector-16, Koparkhairne, Navi Mumbai - 400709</t>
  </si>
  <si>
    <t>Amazon AWS Cloud foundations</t>
  </si>
  <si>
    <t>Cybersecurity foundation ( Palo Alto Network )</t>
  </si>
  <si>
    <t>Glenmark Pharmaceuticals</t>
  </si>
  <si>
    <t>Messenger with personality recognition</t>
  </si>
  <si>
    <t>Full stack web development intersnhip program (By Edureka) (Ongoing)</t>
  </si>
  <si>
    <t>https://preskilet.com/watch?v=62a39651a6956a000460097c</t>
  </si>
  <si>
    <t>https://drive.google.com/open?id=1f3wlgdxUEyIo2HSfe6EjbkhUEYMpYybo</t>
  </si>
  <si>
    <t>https://drive.google.com/open?id=1LLSSJ7FCCOo3FKtTigZThzkfMEpAMVvs</t>
  </si>
  <si>
    <t>https://drive.google.com/open?id=1ErYTeVQqtIQXw1V1TZLdFVtNWxz-v_kr</t>
  </si>
  <si>
    <t>https://drive.google.com/open?id=1kRVwZT-etXxUuJDbwHgw6pGAYPdd16eb</t>
  </si>
  <si>
    <t>https://drive.google.com/open?id=1M9mD_ovQaGXZwwQHMULYOLMCpmiXboCy</t>
  </si>
  <si>
    <t>0220200163</t>
  </si>
  <si>
    <t>HAKEPATIL</t>
  </si>
  <si>
    <t>hakepatiltanuja14@gmail.com</t>
  </si>
  <si>
    <t>https://www.linkedin.com/in/tanuja-hakepatil-125ba321a</t>
  </si>
  <si>
    <t xml:space="preserve">DILIP </t>
  </si>
  <si>
    <t>Alandi,Pune</t>
  </si>
  <si>
    <t>Sham nagar, Latur.</t>
  </si>
  <si>
    <t>I have completed one certification course in web development on internshala platform.</t>
  </si>
  <si>
    <t>I have done my internship in web development on internshala platform.and it is very helpful for me.and I got certificate .</t>
  </si>
  <si>
    <t>Now i m doing internship in meerusoft private limited company.in web development.and they assign a cake ordering project.in which we need to perform that project according to company requirements.</t>
  </si>
  <si>
    <t>Our final project is a smart parking system using IOT.it is a iot based hardware and software model.we have developed it successfully.in which we have used sensors and rasberry pi for improving project efficiency.</t>
  </si>
  <si>
    <t>https://preskilet.com/watch?v=62a379f5a6956a0004600382</t>
  </si>
  <si>
    <t>https://drive.google.com/open?id=1OqmIW-iW0elBUYPBLJXWwlyJU890MSjL</t>
  </si>
  <si>
    <t>https://drive.google.com/open?id=1yu0TqB4uwvat_nBttKbmGSBB9mXbfO1k</t>
  </si>
  <si>
    <t>https://drive.google.com/open?id=1sEM95x0ps-3G-3-dGwk7eVZ0FFfZva26</t>
  </si>
  <si>
    <t>https://drive.google.com/open?id=1CncC81kE0ilgUgWz7emmsk_wl_U4_nu2</t>
  </si>
  <si>
    <t>0120190057</t>
  </si>
  <si>
    <t>HULE</t>
  </si>
  <si>
    <t>prasadhule21@gmail.com</t>
  </si>
  <si>
    <t xml:space="preserve">Pkhule@mitaoe.ac.in </t>
  </si>
  <si>
    <t>KISHOR BALIRAM HULE</t>
  </si>
  <si>
    <t>SADHANA KISHOR HULR</t>
  </si>
  <si>
    <t>RAJASYOG SOC, F-12,INDRAYANI NAGAR BHOSARI PUNE-411026</t>
  </si>
  <si>
    <t>HP202L- Professional Communication</t>
  </si>
  <si>
    <t>AutoCAD, Fusion 360, SolidWorks, Adobe XD, Proteus, MATLAB</t>
  </si>
  <si>
    <t xml:space="preserve">ROBOTICS CLUB,
ROBOCON 2022,
DATATHON
</t>
  </si>
  <si>
    <t>WINNER:-SEARCH N DESTROY (Technical competition)(COEP MINDSPARK)</t>
  </si>
  <si>
    <t>https://drive.google.com/drive/folders/1UUpqgcTpfcNjMtMzwHt2t9ihAb5jzZF0?usp=sharing</t>
  </si>
  <si>
    <t>https://drive.google.com/open?id=175hqPR8Rj_1KxdzAEMtvGLe5lf1YjAQB</t>
  </si>
  <si>
    <t>https://drive.google.com/open?id=1lrjj6JYmEvXk3qNc1WdqpB_BCYmUcPLP</t>
  </si>
  <si>
    <t>https://drive.google.com/open?id=139DFrayximYGZCu43ZgqSzXu9SfR9ex7</t>
  </si>
  <si>
    <t>https://drive.google.com/open?id=1Ficc-K_GOp3FlrLnccXC8ODny4lnJVV8</t>
  </si>
  <si>
    <t>0120190617</t>
  </si>
  <si>
    <t>pankajchaudhari8421@gmail.com</t>
  </si>
  <si>
    <t>https://www.linkedin.com/in/pankaj-chaudhari-2144631ab</t>
  </si>
  <si>
    <t>KAILAS CHAUDHARI</t>
  </si>
  <si>
    <t>JAYSHREE CHAUDHARI</t>
  </si>
  <si>
    <t>C-104, Sanvi Heights, Ambethan road, Chakan, Pune-410501</t>
  </si>
  <si>
    <t xml:space="preserve">Microsoft AZ-900: Microsoft Azure </t>
  </si>
  <si>
    <t>Microsoft Virtual Internship</t>
  </si>
  <si>
    <t>Data Science Intern, The Sparks Foundation</t>
  </si>
  <si>
    <t>Software developer Intern, Graps Next Social Pvt. Ltd</t>
  </si>
  <si>
    <t>AI based smart proctoring system</t>
  </si>
  <si>
    <t>Mysql</t>
  </si>
  <si>
    <t>Member of Coding club MITAOE,
Organised cutural fest,
Was elected as class representaive</t>
  </si>
  <si>
    <t>Rajya Puraskar in Scouting</t>
  </si>
  <si>
    <t>Organised cultural fests in college</t>
  </si>
  <si>
    <t>https://preskilet.com/watch?v=629767855545ea0004a9264d</t>
  </si>
  <si>
    <t>https://drive.google.com/open?id=15vPCDGur0V5p9_IIclIDjUTckqGjFZ2S</t>
  </si>
  <si>
    <t>https://drive.google.com/open?id=1qk3HnTZlfOxVgM6LkNHekNycfn4xDYSd</t>
  </si>
  <si>
    <t>https://drive.google.com/open?id=16iBH6L1zNk4OlyZ_PZop29r9--vDDDcX</t>
  </si>
  <si>
    <t>https://drive.google.com/open?id=1uO6kQ7ojD6kurKMfKk6nMgZTJFvHInFW</t>
  </si>
  <si>
    <t>https://drive.google.com/open?id=1gViVvph2LQ2IOUzr-dzy3WaMqHgZKNOO</t>
  </si>
  <si>
    <t>https://drive.google.com/open?id=1XX5rTNYkk-8Lt9OjNDPWiNMSmMzk8tDf</t>
  </si>
  <si>
    <t>0120190512</t>
  </si>
  <si>
    <t>ANUJA</t>
  </si>
  <si>
    <t>TRILOK</t>
  </si>
  <si>
    <t>anujabarge28@gmail.com</t>
  </si>
  <si>
    <t>TRILOK VILAS BARGE</t>
  </si>
  <si>
    <t>ARCHANA TRILOK BARGE</t>
  </si>
  <si>
    <t>A/P Chinchner vandan tal dist, satara</t>
  </si>
  <si>
    <t>Vodafone idea foundation: Artificial Intelligence and Machine Learning</t>
  </si>
  <si>
    <t>Palo Alto : Networking</t>
  </si>
  <si>
    <t xml:space="preserve">Did Two Weeks Internship on Internet of Robotics Things from 20th October 2020 to 29 October 2020 organized by EdGate Technologies Pvt Ltd 
Bangalore under Texas Instruments India University Program. </t>
  </si>
  <si>
    <t>Robust estimation of SOC for vehicular application</t>
  </si>
  <si>
    <t xml:space="preserve">Datathon
</t>
  </si>
  <si>
    <t>lila poonawala foundation</t>
  </si>
  <si>
    <t>python programming</t>
  </si>
  <si>
    <t xml:space="preserve">chess </t>
  </si>
  <si>
    <t>https://preskilet.com/watch?v=6297a47b5545ea0004a929d7</t>
  </si>
  <si>
    <t>https://drive.google.com/open?id=11p9lggtIkoxLj3HzdYoX6vu5cO2EUE5m</t>
  </si>
  <si>
    <t>https://drive.google.com/open?id=1rvSkdELDO7ENkeWAtAtnVd-yp4O5wMSH</t>
  </si>
  <si>
    <t>https://drive.google.com/open?id=1h-pspxmfJhStYJrF0I5Y49epDS_Qq1XX</t>
  </si>
  <si>
    <t>https://drive.google.com/open?id=1dJPxJC0tt-7VB4psERTp7LlMA2vFls4n</t>
  </si>
  <si>
    <t>https://drive.google.com/open?id=1SlEMGtZn7iRK5H85hPlTAJQEsAkCZM1a</t>
  </si>
  <si>
    <t>0120190578</t>
  </si>
  <si>
    <t xml:space="preserve">SHIVYA </t>
  </si>
  <si>
    <t>SHRIVASTAVA</t>
  </si>
  <si>
    <t>shivyashrivastava578@gmail.com</t>
  </si>
  <si>
    <t>SANJEEV SHRIVASTAVA</t>
  </si>
  <si>
    <t>SANGEETA SHRIVASTAVA</t>
  </si>
  <si>
    <t>Behind Mission High School C.V. Raman Ward Seoni Madhya Pradesh</t>
  </si>
  <si>
    <t>PVTG Group School Near High Court Colony Rampur Chappar Jabalpur Madhya Pradesh</t>
  </si>
  <si>
    <t>Internshala Android Development Course</t>
  </si>
  <si>
    <t>Zensar ESD (Employability Skill development program)</t>
  </si>
  <si>
    <t xml:space="preserve">Web development internship at PrimaThink Technologies Private Limited </t>
  </si>
  <si>
    <t xml:space="preserve">Using HTML, CSS, JavaScript, Django for website development and Rasa technology for Chatbot, and Machine learning for Recommendation system in application of Event Management for building a Event Management Platform </t>
  </si>
  <si>
    <t>1. Techfest 2020(Boeing IIT Aeromodelling Competition)
2. Datathon 2022(National Level event equilibrium 2022)
3. Zensar ESD(Employability Skill Development course)</t>
  </si>
  <si>
    <t>Zensar ESD(Employability Skill Development course)</t>
  </si>
  <si>
    <t xml:space="preserve">1. Techfest 2020(Boeing IIT Aeromodelling Competition)
2. Student volunteer eXEMPLAR 2021 National level technical event </t>
  </si>
  <si>
    <t>https://preskilet.com/watch?v=6297c5005545ea0004a92ae9</t>
  </si>
  <si>
    <t>https://drive.google.com/open?id=1lkXHTNB6kD-9hkEhW7-XGcYHwfDLkwyF</t>
  </si>
  <si>
    <t>https://drive.google.com/open?id=1MOJ2MlpsiLABv73sWAdlcgvcQok9ro4A</t>
  </si>
  <si>
    <t>https://drive.google.com/open?id=1BkHdJUS7I5By5_2ITeUpkZrFeQknQFvh</t>
  </si>
  <si>
    <t>0120190239</t>
  </si>
  <si>
    <t>FARTADE</t>
  </si>
  <si>
    <t>fartadek@gmail.com</t>
  </si>
  <si>
    <t>ksfartde@mitaoe.ac.in</t>
  </si>
  <si>
    <t>SURESH KASHINATH FARTADE</t>
  </si>
  <si>
    <t>VIJAYA SURESH FARTADE</t>
  </si>
  <si>
    <t>At post sade, tal karmala, dist solapur, 413251</t>
  </si>
  <si>
    <t>alandi, tal khed, dist pune, 412105</t>
  </si>
  <si>
    <t>Oracle: Oracle Cloud Infrastructure Foundations 2021</t>
  </si>
  <si>
    <t>1. FLUTTER APP DEVELOPMENT:  UDEMY.
2. NEURAL NETWORKS AND DEEP LEARNING:  DEEPLEARNING.AI
3. MATHEMATICS FOR MACHINE LEARNING :  IMPERIAL COLLEGE LONDON.
4. MACHINE LEARNING : STANFORD ONLINE.
5. Introduction to Machine Learning in Production: DeepLearning.AI
6. PYTHON DATA STRUCTURES: UNIVERSITY OF MICHIGAN</t>
  </si>
  <si>
    <t>1. Getting Started with AWS Machine Learning: Amazon web services 
2. Introduction to TensorFlow for Artificial Intelligence, Machine Learning, and Deep Learning: DeepLearning.AI</t>
  </si>
  <si>
    <t>PYTHON DATA STRUCTURES: UNIVERSITY OF MICHIGAN</t>
  </si>
  <si>
    <t xml:space="preserve">Designing and piloting of Unmanned aerial vehicle </t>
  </si>
  <si>
    <t xml:space="preserve">ybifoundation, computer science students internship in machine learning </t>
  </si>
  <si>
    <t>precise pesticide spraying drone</t>
  </si>
  <si>
    <t xml:space="preserve">Android Development (Java/Kotlin), Robot Framework, drone design </t>
  </si>
  <si>
    <t xml:space="preserve">participated for Aerothon2022 </t>
  </si>
  <si>
    <t>https://drive.google.com/file/d/1x8Xg11OKIjORJnYivOEQ7RqtxhyUXFqM/view?usp=sharing</t>
  </si>
  <si>
    <t>https://drive.google.com/open?id=1ePl9VbFQcRIeBDgMXHH-3JV3_frGo52T</t>
  </si>
  <si>
    <t>https://drive.google.com/open?id=1wib9-WOxhvBgR71rAmySIDyQ0SxFcwDI</t>
  </si>
  <si>
    <t>https://drive.google.com/open?id=1jb8I-jMiADlFQlH3yF0M2n-3kCRTXwuy</t>
  </si>
  <si>
    <t>https://drive.google.com/open?id=1cz_AEGruECPO8By5Kla5OfD4XJzbgXKu</t>
  </si>
  <si>
    <t>https://drive.google.com/open?id=1mgK_EToCKkVBVw_RlS3U257CC3Aspmde</t>
  </si>
  <si>
    <t>https://drive.google.com/open?id=1UrF6YgF8d1SwL169fOynsddiF4CH2KLN</t>
  </si>
  <si>
    <t>0120190139</t>
  </si>
  <si>
    <t>KADOO</t>
  </si>
  <si>
    <t>abhijeetkadoo866@gmail.com</t>
  </si>
  <si>
    <t>www.linkedin.com/in/abhijeet-kadoo-8099861a6</t>
  </si>
  <si>
    <t>RAJENDRA KESHAORAO KADOO</t>
  </si>
  <si>
    <t>LAXMI RAJENDRA KADOO</t>
  </si>
  <si>
    <t>PLOT NO.98, MAHAKALI NAGAR NO. 3, AMAR NAGAR ROAD, MANEWADA, NAGPUR-440034</t>
  </si>
  <si>
    <t>95.3 PERCENTILE</t>
  </si>
  <si>
    <t>85.5 PERCENTILE</t>
  </si>
  <si>
    <t>Microsoft Certified: Azure Fundamentals.</t>
  </si>
  <si>
    <t>Maven Silicon VLSI SoC Design using Verilog HDL
Machine learning using Python Programming - Udemy
Python and Django Frameworks - Udemy
Learning Java - Linkedin Learning
The Fundamentals of Digital Marketing - Google Digital Garage
Introduction to Cybersecurity - Cisco networking academy</t>
  </si>
  <si>
    <t>Artificial Intelligence and Machine Learning - VOIS (Vodafone Idea Foundation)</t>
  </si>
  <si>
    <t>TOUCHLESS HANDWASH TIMER USING ARDUINO
Details: Regular hand washing and use of sanitizer is the only way to remove the corona viruses from our hand. The health expert recommends the 20 seconds hand wash. It is not possible to check the clock while washing the hand. The common stopwatch or timer is not suitable here. So here we built a custom touchless 20 second timer. So we can wash our hands properly for 20 seconds. We can easily take this situation and turn it into a lesson to stay safer from germs. This simple project can help keep us safe from the scary virus and bacteria all around us.</t>
  </si>
  <si>
    <t>Internship done: Whatsapp Community Manager Intern at Go Alpha (Goalpha Kids Private Limited) from 15th December 2021 to 15th February 2022
Internship Ongoing: Machine learning - YBI Foundation
Project: Smart Trolley 
To develop a Smart Trolley which will help to reduce the huge rush at billing counter which is time consuming and results in long queues and to avoid the manually operation by introducing remote operated feature which helps old people to drive it efficiently.</t>
  </si>
  <si>
    <t>Smart Trolley</t>
  </si>
  <si>
    <t>Android Development (Java/Kotlin), Django (Python), Robot Framework</t>
  </si>
  <si>
    <t>AutoCAD, Fusion 360, CATIA, Proteus, MATLAB, Arduino, Cisco Packet Tracer, Keil uVision4, Intellij IDEA, Netbeans IDE</t>
  </si>
  <si>
    <t>Rajarshi Chhatrapati Shahu Maharaj Shikshan Shulkh Shishyavrutti Yojna(EBC)</t>
  </si>
  <si>
    <t>Member of MAC (MITAOE ART CIRCLE)
FY Nakshatra Drama 1st Prize
TY Nakshatra Drama 1st prize
Certificate of ART FAIR theme based Art Competition, organised by AALEKH(Art Elated Club), of MITAOE</t>
  </si>
  <si>
    <t>https://drive.google.com/drive/folders/1qVaviuFLfHh8NtLM-JKJQ1QXQe6Xx1ok?usp=sharing</t>
  </si>
  <si>
    <t>https://drive.google.com/open?id=1LyHkVKPjWeAyIHzp41WICm71WG0h_8ma</t>
  </si>
  <si>
    <t>https://drive.google.com/open?id=1rRZLR_wLbxiQPvhPXQZ7REipT0Q_TyzA</t>
  </si>
  <si>
    <t>https://drive.google.com/open?id=1OmrnNZ0Nn0y-b2c65W4rEdiw2XSHeIfO</t>
  </si>
  <si>
    <t>https://drive.google.com/open?id=1qawChhbTka-7vrgVzWdkvo6CrodEUZrg</t>
  </si>
  <si>
    <t>https://drive.google.com/open?id=1F50LQxLOSJaFNtCsweqf-aApWT9pI5v1</t>
  </si>
  <si>
    <t>https://drive.google.com/open?id=1GogQSA0p_eon15MVZe2aXAiovzx1_JVt</t>
  </si>
  <si>
    <t>0120190604</t>
  </si>
  <si>
    <t>MADHURENDRA</t>
  </si>
  <si>
    <t>madhu7808330003@gmail.com</t>
  </si>
  <si>
    <t>https://www.linkedin.com/in/madhurendra-kumar-8a5930208</t>
  </si>
  <si>
    <t>SONELAL SINGH</t>
  </si>
  <si>
    <t>LALITA DEVI</t>
  </si>
  <si>
    <t>Sitamarhi, bihar</t>
  </si>
  <si>
    <t>Pune, Maharashtra</t>
  </si>
  <si>
    <t xml:space="preserve">Palo Alto Networks Cybersecurity Academy </t>
  </si>
  <si>
    <t xml:space="preserve">video steganography </t>
  </si>
  <si>
    <t>https://drive.google.com/drive/folders/1I5EwhMumWmdzNjlduYc5KDBtiOPMqjKr?usp=sharing</t>
  </si>
  <si>
    <t>https://drive.google.com/open?id=1e45yvo57Ts3tGk1Ph6Xc15Cf-JAq0uR1</t>
  </si>
  <si>
    <t>https://drive.google.com/open?id=1uKK2FWutRKrnNB83PIJ8ZMame_phw7vW</t>
  </si>
  <si>
    <t>https://drive.google.com/open?id=1D4kEs2hUYOhURuOaHFLnqVJYOlSLufkO</t>
  </si>
  <si>
    <t>https://drive.google.com/open?id=1_jdDhmZN1_VE9ITZAG7oFhM1w2eqvHOZ</t>
  </si>
  <si>
    <t>0120190297</t>
  </si>
  <si>
    <t>GOKUL</t>
  </si>
  <si>
    <t>PARASHARAM</t>
  </si>
  <si>
    <t>CHANDERE</t>
  </si>
  <si>
    <t>gokulpchandere1999@gmail.com</t>
  </si>
  <si>
    <t>https://www.linkedin.com/in/gokul-chandere-42177720b</t>
  </si>
  <si>
    <t>ANUSAYA</t>
  </si>
  <si>
    <t>At Post Sultanpur Tq. Lonar Dis. Buldhana Maharashtra 443302</t>
  </si>
  <si>
    <t>Sant Dnyaneshwar Boys Hostel Vishrantwadi Pune</t>
  </si>
  <si>
    <t>Avg. ELQ 413/900</t>
  </si>
  <si>
    <t>Avg. ELQ 662/900</t>
  </si>
  <si>
    <t>1) AS1O5T CALCULUS AND DIFFERENTIAL EQUATIONS
2) CV102T APPLIED MECHANICS</t>
  </si>
  <si>
    <t xml:space="preserve">1) AWS Academy Cloud Foundations(AWS)
Getting Started with AWS Services 
2) Fundamentals for
 Beginners(SkillUP)
3) Python Programing Mastery(Udemy)
4) Python for Machine Learning (great learning)
</t>
  </si>
  <si>
    <t>Network Security Fundamentals(Palo Alto)</t>
  </si>
  <si>
    <t>Looking for internship</t>
  </si>
  <si>
    <t>VISION GUIDED
ROBOTICS SYSTEM FOR SORTING 
DEFECTIVE PRODUCTS FROM CONVEYOR 
BELT (VGR)</t>
  </si>
  <si>
    <t>Gujrati</t>
  </si>
  <si>
    <t>JOSH SCHOLARSHIP PROGRAM - MAY 2022 (Ethnus)</t>
  </si>
  <si>
    <t>https://drive.google.com/file/d/1KQKIZKGPPpYoALXbRCDMyB4_y61dxbWU/view?usp=drivesdk</t>
  </si>
  <si>
    <t>https://drive.google.com/open?id=10ahlwODGEIGDVAr61I305YKJdH8_3gsE</t>
  </si>
  <si>
    <t>https://drive.google.com/open?id=1tsE9daim2ibVbLjJimtQ_2Zs1tf-Ufji</t>
  </si>
  <si>
    <t>https://drive.google.com/open?id=1-0jmB_SZfKb4feaB1lxM_0yyadbYSK6R</t>
  </si>
  <si>
    <t>https://drive.google.com/open?id=19nlEGS0tm7UsUpeaNgMn_EQZz5NdUx58</t>
  </si>
  <si>
    <t>https://drive.google.com/open?id=19h9ds0w3Hm7zT_MOZYSkYyaiUtYrvCTr</t>
  </si>
  <si>
    <t>0120190137</t>
  </si>
  <si>
    <t>ABHAS</t>
  </si>
  <si>
    <t>JAYANT</t>
  </si>
  <si>
    <t>MODAK</t>
  </si>
  <si>
    <t>abhasmodak1500@gmail.com</t>
  </si>
  <si>
    <t xml:space="preserve">ajmodak@mitaoe.ac.in </t>
  </si>
  <si>
    <t>https://www.linkedin.com/in/abhas-modak-5a63a0220/</t>
  </si>
  <si>
    <t>JAYANT MODAK</t>
  </si>
  <si>
    <t>SHOBHA MODAK</t>
  </si>
  <si>
    <t xml:space="preserve">Parvati nagar ,near mohan kirana store ,nagpur </t>
  </si>
  <si>
    <t xml:space="preserve">Tapkir nagar near Hari om sweets ,dehu phata ,pune </t>
  </si>
  <si>
    <t>palo alto</t>
  </si>
  <si>
    <t>Fingerprint vechile starter project</t>
  </si>
  <si>
    <t>C/C++, HTML, CSS, JavaScript, PHP</t>
  </si>
  <si>
    <t>https://drive.google.com/file/d/1phtuxVntAuP7y4xeYEmkhS0TIKTrbVfN/view?usp=drivesdk</t>
  </si>
  <si>
    <t>https://drive.google.com/open?id=1UfHCdOF0Q_-ADoNTRMrLRLewRXoqXJhw</t>
  </si>
  <si>
    <t>https://drive.google.com/open?id=1274Tnj15ZPZvuhKZ6qY1h4G2ABxQKlOG</t>
  </si>
  <si>
    <t>0120190426</t>
  </si>
  <si>
    <t>DEVSHATWAR</t>
  </si>
  <si>
    <t>vaibhavdevshatwar382@gmail.com</t>
  </si>
  <si>
    <t>https://www.linkedin.com/in/vaibhav-devshatwar-a182a5219</t>
  </si>
  <si>
    <t>Chounda Nager,kalegaon road Ahmedpur Dis:-Latur</t>
  </si>
  <si>
    <t>Near MIT Academy of Engineering</t>
  </si>
  <si>
    <t>Above 89%</t>
  </si>
  <si>
    <t>Above 85%</t>
  </si>
  <si>
    <t>+1</t>
  </si>
  <si>
    <t>Orical certification
Cisco
- Introduction to Packet Tracer
Microsoft Azure 
- Azure Fundamentals 
Oracle 
- Oracle Cloud Infrastructure Foundation
Palo Alto
- Cybersecurity Foundation
- Introduction to Cybersecurity</t>
  </si>
  <si>
    <t>Springbord certification of Infosys</t>
  </si>
  <si>
    <t>Chocolate vanding Machine by usking RFID tags.</t>
  </si>
  <si>
    <t>Internship At DRDO kochi in ML domain</t>
  </si>
  <si>
    <t>Chocolate vanding Machine</t>
  </si>
  <si>
    <t>Application of robotics using IOT</t>
  </si>
  <si>
    <t>AutoCAD, SolidWorks, Proteus, MATLAB</t>
  </si>
  <si>
    <t xml:space="preserve">• Member of Creativity Team in TEDxMITAOE
• Part of AjjanVriksh Family in COVID-19.
• Data Sturctures workshop by Coding ninjas </t>
  </si>
  <si>
    <t>Member of Developer Student Club (DSC) 
at MITAOE.
 Learning Ethical Hacking.
 Member of Robin Hood Army (RHA)
 Social Work - Member of Puneploggers.
 Being a part of Pune Ploggers</t>
  </si>
  <si>
    <t>https://drive.google.com/drive/folders/1BmW0pXXUps7zFE0TEC506gBSdjeNqOgg</t>
  </si>
  <si>
    <t>https://drive.google.com/open?id=1jNWc8KJK_7XHfkKcvGCHqXS9JCvJ2rGU</t>
  </si>
  <si>
    <t>https://drive.google.com/open?id=1fS3mrCo1e2riXI9F8IaQJieZR4oSzlGb</t>
  </si>
  <si>
    <t>https://drive.google.com/open?id=1nN6mL4hVOBTQD8Eis9X59kQ6_YA59IdJ</t>
  </si>
  <si>
    <t>https://drive.google.com/open?id=1pKuNE8wY47ymqnbor3FL5rdMwALmX5vm</t>
  </si>
  <si>
    <t>0120190221</t>
  </si>
  <si>
    <t>MUKHEDKAR</t>
  </si>
  <si>
    <t>mukhedkarvedant@gmail.com</t>
  </si>
  <si>
    <t>https://www.linkedin.com/in/vedant-mukhedkar-4864881b0/</t>
  </si>
  <si>
    <t>Ram galli Mukhed, Nanded Maharashtra</t>
  </si>
  <si>
    <t>Raj Corner, Nanded Maharashtra</t>
  </si>
  <si>
    <t xml:space="preserve">YBI Foundation </t>
  </si>
  <si>
    <t>Implementation of IPFS based platform for storing and validation of documents using Blockchain</t>
  </si>
  <si>
    <t>Among top teams 6 in Datathon'22 competition.</t>
  </si>
  <si>
    <t>https://preskilet.com/watch?v=62a23a4bfed70c00042b6922</t>
  </si>
  <si>
    <t>https://drive.google.com/open?id=15jEbTvkLOyp-Usjzu_PdoUg7tu_4O15x</t>
  </si>
  <si>
    <t>https://drive.google.com/open?id=1V5bgncuicB1rtD7clSbyLHfuWGPFfGxi</t>
  </si>
  <si>
    <t>https://drive.google.com/open?id=1XOpYiIj0LY8KBLTeH71_QO8fwOmNhcak</t>
  </si>
  <si>
    <t>https://drive.google.com/open?id=1YxND-4ihSwkYGjTUyNK4a7tpUE5wS9As</t>
  </si>
  <si>
    <t>0120190125</t>
  </si>
  <si>
    <t>INGOLE</t>
  </si>
  <si>
    <t>https://www.linkedin.com/in/vivek-ingole-155757241/</t>
  </si>
  <si>
    <t>AT POST MENDHALI TA.NANDURA DIS.BULDHANA</t>
  </si>
  <si>
    <t>ALANDI PUNE</t>
  </si>
  <si>
    <t>ORACLE CERTIFIED FOUNDATIONS ASSOCIATE</t>
  </si>
  <si>
    <t xml:space="preserve">PYTHON FOR EVERYBODY </t>
  </si>
  <si>
    <t>MASTERING C++ PROGRAMMING UDEMY</t>
  </si>
  <si>
    <t>TY SUMMER INTERNSHIP ONGOING
PROJECT NAME: CONTROLLING AND DESIGNING OF MULTIPLE ROBOTIC MANIPULATOR USING SINGLE CONTROL UNIT</t>
  </si>
  <si>
    <t>PROJECT NAME: CONTROLLING AND DESIGNING OF MULTIPLE ROBOTIC MANIPULATOR USING SINGLE CONTROL UNIT</t>
  </si>
  <si>
    <t>PUBLIC SPEAKING
SPORTS(CRICKET,KABBADI,KHO-KHO)
COMMUNICATION</t>
  </si>
  <si>
    <t>ACHIEVED CERTIFICATE AT UNIVERSITY LEVEL IN CRICKET SPORTS</t>
  </si>
  <si>
    <t>INDIAN ARMY</t>
  </si>
  <si>
    <t>YOGA,SPORTS</t>
  </si>
  <si>
    <t>https://drive.google.com/drive/folders/1WHiNtPsBj2YZZbl6oJubrvr343SYQ_px?usp=sharing</t>
  </si>
  <si>
    <t>https://drive.google.com/open?id=1hE4V9Gofabok_IDMAFmdqOojScCtRx3_</t>
  </si>
  <si>
    <t>https://drive.google.com/open?id=1aHEtLzXvCJqq6Jzri7H0XoDxnWxT-9P0</t>
  </si>
  <si>
    <t>https://drive.google.com/open?id=1XvVHezvVVV6QqAN7HLz9_idwWoLsvolZ</t>
  </si>
  <si>
    <t>0120190275</t>
  </si>
  <si>
    <t>RUDRAKSH</t>
  </si>
  <si>
    <t>aniketrudraksh2002@gmail.com</t>
  </si>
  <si>
    <t>https://www.linkedin.com/in/aniket-rudraksh-727848241</t>
  </si>
  <si>
    <t>ANIL RUDRAKSH</t>
  </si>
  <si>
    <t>BHARATI ANIL RUDRAKSH</t>
  </si>
  <si>
    <t xml:space="preserve">271,Gangapuri wai </t>
  </si>
  <si>
    <t>Tapkir Nagar, Anandi, Pune</t>
  </si>
  <si>
    <t>CS361T - Project Management
ET341L - Control System
ET341T - Control System
ET342L - Digital Signal Processing
ET342T - Digital Signal Processing
ET343L - Embedded Systems Design
ET343T - Embedded Systems Design
ET344L - Skill Development Course OOP Java
ET350L - Project Design
IT351T - Cryptography and System 
                Security</t>
  </si>
  <si>
    <t xml:space="preserve">SPPU Pune District Zonal and Inter Zonal Sports Committee (3rd prize) </t>
  </si>
  <si>
    <t xml:space="preserve">Government of India Post-Matric </t>
  </si>
  <si>
    <t>https://drive.google.com/drive/folders/0B0tYo1ciSSFEfkJiejFKaUVGeWt3MjFabnZXTVdtNDNsTnBLQTJmcDdUS0wxa2xycGFaQ1E?resourcekey=0-BxYQPH6qN8VNWTVYPVjBSg</t>
  </si>
  <si>
    <t>https://drive.google.com/open?id=15YJ594O0k2qFwk6a0FiuyUGlOvUih8zB</t>
  </si>
  <si>
    <t>https://drive.google.com/open?id=1RAFeRdB210dlkv8hcMgSpekmtXnpzS8R</t>
  </si>
  <si>
    <t>0120190335</t>
  </si>
  <si>
    <t>KHANDAIT</t>
  </si>
  <si>
    <t>khandaittejas@gmail.com</t>
  </si>
  <si>
    <t>https://www.linkedin.com/in/tejas-khandait-733456241</t>
  </si>
  <si>
    <t>ANIL KHANDAIT</t>
  </si>
  <si>
    <t>SHARDA KHANDAIT</t>
  </si>
  <si>
    <t>At+post Sangadi Tal- Sakoli Dist- Bhandara</t>
  </si>
  <si>
    <t>Infosys Springboard :Python</t>
  </si>
  <si>
    <t>Intership in Critical AI company</t>
  </si>
  <si>
    <t>Smart Menu ordering system</t>
  </si>
  <si>
    <t>https://preskilet.com/takhandait@mitaoe.ac.in</t>
  </si>
  <si>
    <t>https://drive.google.com/open?id=14BsYDEaF1Bf7uyIQ447nYTM7D5m3eWF7</t>
  </si>
  <si>
    <t>https://drive.google.com/open?id=1bxxG5Rvj-uL9vlmgzoOXxVfSlWgnbi1y</t>
  </si>
  <si>
    <t>0120190300</t>
  </si>
  <si>
    <t>GIRDHARI</t>
  </si>
  <si>
    <t>PARDHI</t>
  </si>
  <si>
    <t>sushantgpardhi@gmail.com</t>
  </si>
  <si>
    <t>https://www.linkedin.com/in/sushant-pardhi-91a8771b9</t>
  </si>
  <si>
    <t>GIRDHARI PARDHI</t>
  </si>
  <si>
    <t>VEENA PARDHI</t>
  </si>
  <si>
    <t>Behind Chamat Super Bazar, T. B. Toli, Gondia, Maharashtra - 441614</t>
  </si>
  <si>
    <t>Web Development Bootcamp
Matlab Onramp
Python Data Structures</t>
  </si>
  <si>
    <t>Data structures and Alogorithms</t>
  </si>
  <si>
    <t>Line following robot</t>
  </si>
  <si>
    <t>Violence Detection Using ML</t>
  </si>
  <si>
    <t>Fusion 360, Proteus, MATLAB, Blender</t>
  </si>
  <si>
    <t>Datathon
Design Thinking, Critical Thinking and Innovation Thinking</t>
  </si>
  <si>
    <t>https://preskilet.com/watch?v=62a304e8a6956a00045ff6be</t>
  </si>
  <si>
    <t>https://drive.google.com/open?id=1YnkI1dB1iZxsCa_zkbgOLVEQg0aBi-bI</t>
  </si>
  <si>
    <t>https://drive.google.com/open?id=1wMIJJDwZ4zJNwwmhD9UchcRwbMjHSFjG</t>
  </si>
  <si>
    <t>https://drive.google.com/open?id=1l77N6W0nn9u95iocOfpZWlGPgebtFQjQ</t>
  </si>
  <si>
    <t>0120190569</t>
  </si>
  <si>
    <t>AHIRRAO</t>
  </si>
  <si>
    <t>kaustubhahirrao1@gmail.com</t>
  </si>
  <si>
    <t>https://www.linkedin.com/in/kaustubh-ahirrao-6b9848241</t>
  </si>
  <si>
    <t>YAMINI</t>
  </si>
  <si>
    <t>Chincwad pune</t>
  </si>
  <si>
    <t>ET343T EMBEDED SYSTEM DESIGN
ET342T DIGITAL SIGNAL PROCESSING
ET341T CONTROL SYSTEM
ET352T IOT ARCHITECTURE AN SENSOR
CS361T PROJECT MANAGEMENT</t>
  </si>
  <si>
    <t xml:space="preserve"> Result not declared</t>
  </si>
  <si>
    <t>Microsoft</t>
  </si>
  <si>
    <t xml:space="preserve">YBI PUBLICATION </t>
  </si>
  <si>
    <t xml:space="preserve">Coursera course </t>
  </si>
  <si>
    <t>YBI SUMMER INTERNSHIP PROGRAM</t>
  </si>
  <si>
    <t>AR NAVIGATION</t>
  </si>
  <si>
    <t>B tech</t>
  </si>
  <si>
    <t>https://youtu.be/NFsxUWz3O1U</t>
  </si>
  <si>
    <t>https://drive.google.com/open?id=1I6l3EXiv9ISvN-4BVp23W7frULhmmQuT</t>
  </si>
  <si>
    <t>https://drive.google.com/open?id=1cmgkQQvNm6ztrjFEsSqTXy8wwXxhrpTv</t>
  </si>
  <si>
    <t>0120190268</t>
  </si>
  <si>
    <t>PRAFULLA</t>
  </si>
  <si>
    <t>dpallavi2503@gmail.com</t>
  </si>
  <si>
    <t>https://www.linkedin.com/in/pallavi-mit/</t>
  </si>
  <si>
    <t>Plot no. 42,43,  Pendsenagar, ITI Road, Shahupuri, Satara. 415002</t>
  </si>
  <si>
    <t>Flat B-302, Dnyanyog Apartment, opposite bank of india, alandi, 412105</t>
  </si>
  <si>
    <t>Zensar Training : Zensar Technologies</t>
  </si>
  <si>
    <t>AWS Machine Learning : Coursera
Python Data Structures : University of Michigan
Python : University of Michigan
Electronics and PCB Design : Udemy</t>
  </si>
  <si>
    <t>Automation Internship : MIT Academy of Engineering</t>
  </si>
  <si>
    <t>Internship : Precise Controls</t>
  </si>
  <si>
    <t>Real-time Object Tracking System</t>
  </si>
  <si>
    <t>https://preskilet.com/watch?v=62a3584ba6956a00045ffe87</t>
  </si>
  <si>
    <t>https://drive.google.com/open?id=13Qm9ksDUcf2IJPNA45OuoLMIPOh_TJzf</t>
  </si>
  <si>
    <t>https://drive.google.com/open?id=1c_HNPVnXrYzTA02jyqpOskO-8HyRxgV3</t>
  </si>
  <si>
    <t>https://drive.google.com/open?id=1vROqicl9b07GGVkcD3BVqgIwTmaEs50f</t>
  </si>
  <si>
    <t>https://drive.google.com/open?id=1O1xXWhoctnKBrzgj2QUsROJ8WwbolX00</t>
  </si>
  <si>
    <t>0120190269</t>
  </si>
  <si>
    <t>MANASI</t>
  </si>
  <si>
    <t>manasipd222@gmail.com</t>
  </si>
  <si>
    <t xml:space="preserve">mpdeshpande@mitaoe.ac.in </t>
  </si>
  <si>
    <t>https://www.linkedin.com/in/manasi-mit/</t>
  </si>
  <si>
    <t>Plot no. 42,43 Pendsenagar, ITI Road, Shahupuri, Satara. 415002</t>
  </si>
  <si>
    <t>Flat B-302, Dnyanyog Apartment, opposite bank of India, Alandi, 412105</t>
  </si>
  <si>
    <t>Zensar Training: Zensar Technologies</t>
  </si>
  <si>
    <t>AWS Machine learning: Coursera
Python data structures: University of Michigan
Python: University of Michigan
Electronics and PCB design: Udemy</t>
  </si>
  <si>
    <t>Complete python pro-bootcamp: Udemy</t>
  </si>
  <si>
    <t>Automation Internship: MIT Academy of Engineering</t>
  </si>
  <si>
    <t>Internship: Precise Controls</t>
  </si>
  <si>
    <t>Real-time Object tracking system</t>
  </si>
  <si>
    <t xml:space="preserve">https://preskilet.com/watch?v=62a35d09a6956a00045fff05  </t>
  </si>
  <si>
    <t>https://drive.google.com/open?id=1nKNj_0fJf_DAVVi6s-h7MVChO3dI6Khg</t>
  </si>
  <si>
    <t>https://drive.google.com/open?id=1ayKuk46czLZRnfbq1ko7atnC6TWjT9Ya</t>
  </si>
  <si>
    <t>https://drive.google.com/open?id=173mZ4G9kVt5xDYEU1hRvdFVI3jbQ12Pv</t>
  </si>
  <si>
    <t>https://drive.google.com/open?id=1tvN55SpM9cbFy94O4YsQgWVAuXXqjdyW</t>
  </si>
  <si>
    <t>0120190327</t>
  </si>
  <si>
    <t>ABHAY</t>
  </si>
  <si>
    <t>GONDANE</t>
  </si>
  <si>
    <t>abhaygondane28@gmail.com</t>
  </si>
  <si>
    <t>https://www.linkedin.com/mwlite/in/abhay-gondane-85079a241</t>
  </si>
  <si>
    <t>Pushpa vihar, Sai nagar, Amravati</t>
  </si>
  <si>
    <t>AMT Skill Enhancement Institute Internship in Automation</t>
  </si>
  <si>
    <t>Footstep Power Generation Project</t>
  </si>
  <si>
    <t>https://drive.google.com/file/d/1r0lfMUCpolCE9Z97sdxtKyypdQSL4TFE/view?usp=sharing</t>
  </si>
  <si>
    <t>https://drive.google.com/open?id=1dyfoyiBuVyKxjKVVJWor7V52FJTtMfLl</t>
  </si>
  <si>
    <t>https://drive.google.com/open?id=1cYoyB0-eLxL3owD6J4IJIKzIWQEzKKdV</t>
  </si>
  <si>
    <t>https://drive.google.com/open?id=1x7ir361aBIGjKdPPv1uE3Hk96-fzVUNb</t>
  </si>
  <si>
    <t>0120190282</t>
  </si>
  <si>
    <t xml:space="preserve">TEJAS </t>
  </si>
  <si>
    <t>SHAR</t>
  </si>
  <si>
    <t>tsshar0201@gmail.com</t>
  </si>
  <si>
    <t>www.linkedin.com/in/tejadshar0201</t>
  </si>
  <si>
    <t>SUBHASH SHAR</t>
  </si>
  <si>
    <t>INDIRA SHAR</t>
  </si>
  <si>
    <t>84, ADHYAPAK NAGAR, MANEWADA RING ROAD, NAGPUR - 440034</t>
  </si>
  <si>
    <t>BAVLE BOYS HOSTEL, DEHU PHATA, ALANDI - 412105</t>
  </si>
  <si>
    <t>Azure + GitHub Cloud, MATLAB master class 2020(Pantech solution), Matlab Onramp</t>
  </si>
  <si>
    <t>Content Writer Internship at stunning Industries (2 Months)
Here I had to write engaging content for social media and website for companies two platform namely Krishigati and Twittjobs. 
Here I get an learning and experience about customer thinking and behavior on social media platform and how to manage them.
Campus Ambassador at E-cell IIT Bombay(6 Months)
Here I hade to create awareness of entrepreneurship and E-cell IIT Bombay in the college campus and personal network. We had to engage students in various activities and events organized by E-cell IIT Bombay 
Business Development and Sales Associate internship at startup 'Metvy - a cohort based experience learning platform'. (2 Months)
Here I had to make customer engagement through cold calls and Emails. I had to explain details about the product to customer and help startup to increase sales.</t>
  </si>
  <si>
    <t>YourBusinessMaker.com - An e-commerce platform</t>
  </si>
  <si>
    <t>IIT Bombay E-summit 2022, Virtual Stock Market competition, NEC E-summit 2021</t>
  </si>
  <si>
    <t>Volunteer at Rastriya Swayamsevak Sangh, organized E-summit 2022 MITAOE</t>
  </si>
  <si>
    <t>https://drive.google.com/drive/folders/13FuSGt0iJsHJGX9Q-tbxVSU06UegGH8q?usp=sharing</t>
  </si>
  <si>
    <t>https://drive.google.com/open?id=1zduUo-sbwBT3pQom9vA6VozY9PdKyYrn</t>
  </si>
  <si>
    <t>https://drive.google.com/open?id=1yHNRqdUxEaebKNUyFZyJ4sqmSGyLQMtA</t>
  </si>
  <si>
    <t>https://drive.google.com/open?id=1GmZVdFuJGJH9gejwh1zXKwC9JuhitL9I</t>
  </si>
  <si>
    <t>https://drive.google.com/open?id=1KEkFfLH4mxiTX3out14d-pGYT2BoCb2c</t>
  </si>
  <si>
    <t>https://drive.google.com/open?id=1pMORZtPbGV_ZD7PzmrREGjDuBihew563</t>
  </si>
  <si>
    <t>https://drive.google.com/open?id=18gUCF6ZCYsoKnQ4z5vyYiAsBK6FroCzz</t>
  </si>
  <si>
    <t>0120190581</t>
  </si>
  <si>
    <t>JAGDISH</t>
  </si>
  <si>
    <t>BHUTADA</t>
  </si>
  <si>
    <t>sahilbhutada28@gmail.com</t>
  </si>
  <si>
    <t>https://www.linkedin.com/in/sahil-bhutada/</t>
  </si>
  <si>
    <t xml:space="preserve">SARIKA </t>
  </si>
  <si>
    <t>Maharashtra colony plot no 301 sector 1 indrayaninagar Bhosari Pune 39</t>
  </si>
  <si>
    <t>57.66 || 53.7</t>
  </si>
  <si>
    <t>AS105T applied maths 
AS106T engineering physics 
EX102T ELECTRICAL AND ELECTRONICS ENGINEERING</t>
  </si>
  <si>
    <t xml:space="preserve">foundation associate oracle cloud infrastructure </t>
  </si>
  <si>
    <t xml:space="preserve">python programming add on course : MITAOE 
foundations data , data everywhere : google
 </t>
  </si>
  <si>
    <t xml:space="preserve"> intern at Nanekar Enterprises  </t>
  </si>
  <si>
    <t xml:space="preserve">tudent Partner
StartUp201
June 2021 - July 2021 
Responsible for Marketing activities from performing Competetive Analysis to Linkdin Marketing
Web Developer 
Sociowave Media 
October  2021 - December 2021 
Web Development Intern. Designed and Developed websites for the company a digital marketing company. 
</t>
  </si>
  <si>
    <t>on going internship at force motors 
ty - project -Facial Recognition attendance system</t>
  </si>
  <si>
    <t xml:space="preserve"> participated rural hackthon'22  
participated in E-summit'22
</t>
  </si>
  <si>
    <t>lead social media team tedxmitaoe (2 yrs)</t>
  </si>
  <si>
    <t>https://drive.google.com/drive/folders/1JgLXnoFJm28JHpNElSDfyXbYi09Ez2Ix?usp=sharing</t>
  </si>
  <si>
    <t>https://drive.google.com/open?id=1nujj3MXTVauzohMVHeO5wgtomS4kbyCe</t>
  </si>
  <si>
    <t>https://drive.google.com/open?id=1M00gTbbjAAaW6lfCK9FAaeKp-hr3L0vX</t>
  </si>
  <si>
    <t>https://drive.google.com/open?id=1gyjTljID_uV8ZqnLhmBCtl08IutZLHK5</t>
  </si>
  <si>
    <t>https://drive.google.com/open?id=1qM8juvr8oqjFYk7zvDchOANF6Pz_wbOZ</t>
  </si>
  <si>
    <t>https://drive.google.com/open?id=1vAN1FUT2cJhuxx_2zJJEhz_dIXbGWa--</t>
  </si>
  <si>
    <t>https://drive.google.com/open?id=1DvJrne-W10hFNPaC_SEs6gsvi9bt3OGQ</t>
  </si>
  <si>
    <t>0120190106</t>
  </si>
  <si>
    <t>MAGAN</t>
  </si>
  <si>
    <t>tusharmpatil21@gmail.com</t>
  </si>
  <si>
    <t>www.linkedin.com/in/tushar-patil-738307173</t>
  </si>
  <si>
    <t>MAGAN UTTAM PATIL</t>
  </si>
  <si>
    <t>REKHA MAGAN PATIL</t>
  </si>
  <si>
    <t>Shivshakti colony khotenagar Jalgaon Maharashtra 425001</t>
  </si>
  <si>
    <t>Chinchwad Pune</t>
  </si>
  <si>
    <t>Palo Alto : Cybersecurity Virtual Internship</t>
  </si>
  <si>
    <t>Participated in 45th JNNSMEE for children 2017-18 organized by KVS
Mumbai Region</t>
  </si>
  <si>
    <t>https://drive.google.com/drive/folders/1bJ1EKAu9O0AA2dNqTLXKDzSrcGJa_qLB?usp=sharing</t>
  </si>
  <si>
    <t>https://drive.google.com/open?id=1pqLl5Jv1WWt0I5Pnj_oeOEjywzKMZPC8</t>
  </si>
  <si>
    <t>https://drive.google.com/open?id=1tA-MHT7inXY-h7l_2FxNIYLwzFhrj7UD</t>
  </si>
  <si>
    <t>https://drive.google.com/open?id=1ravKAZ_OCIjWUH9gqr00F0wozf1C_ueC</t>
  </si>
  <si>
    <t>0120190215</t>
  </si>
  <si>
    <t>DARWHEKAR</t>
  </si>
  <si>
    <t>kshitijdarwhekar@gmail.com</t>
  </si>
  <si>
    <t xml:space="preserve">https://www.linkedin.com/in/kshitij-darwhekar-b15a33191/ </t>
  </si>
  <si>
    <t>17, Om colony, near sonal colony, shegaon-rahatgaon road, Amravati</t>
  </si>
  <si>
    <t>809, C/O Santosh More, Punyavastu by triaa housing society, chowisawadi, alandi road, Alandi</t>
  </si>
  <si>
    <t>English : 75 percentile ( 545) Logical Ability : 99 percentile (640)  Quantative ability : 62 perentile (530)</t>
  </si>
  <si>
    <t>English : 88 Percentile (600)   Logical Ability : 96 percentile (600)  Quantative Ability : 90 percentile (645)</t>
  </si>
  <si>
    <t xml:space="preserve">"AS105T - Calculus and Differential Equations", "CS101T - Logic Development C", "AS107L - Statistic and Integral Calculus".
</t>
  </si>
  <si>
    <t xml:space="preserve">"Palo Alto Cybersecurity foundation" </t>
  </si>
  <si>
    <t>SY Project : " Stair Climbing Robot"</t>
  </si>
  <si>
    <t>Registered for YBI Foundation Internship Program, TY Project : "Traffic Managment System using Computer vision"</t>
  </si>
  <si>
    <t xml:space="preserve">Traffic Management system using Computer Vision
</t>
  </si>
  <si>
    <t>1. Won 1st prize in technical workshop  "The art in the age of Machine Intelligence and Data Science: Practitioner's Approach" organized by Srujan Club
2. Taken part in Codechef's Codebyte coding round (online)</t>
  </si>
  <si>
    <t xml:space="preserve">https://preskilet.com/watch?v=62a3752ca6956a000460028c </t>
  </si>
  <si>
    <t>https://drive.google.com/open?id=1TCd_cpyJ4VJC0nIR99CSe_C73dfhiFDT</t>
  </si>
  <si>
    <t>https://drive.google.com/open?id=1Fbmn7_XwD7Z9KSgWClCIe7IZPeYiKhXD</t>
  </si>
  <si>
    <t>https://drive.google.com/open?id=1zixx1Lx-Lk05-HuFG16PFCETeQzdjxDn</t>
  </si>
  <si>
    <t>https://drive.google.com/open?id=1Da6Qq2I9HYOTZ_tPV6QEQNsdUBFsmOuO</t>
  </si>
  <si>
    <t>https://drive.google.com/open?id=1R2G6TX8IPALl7ffxXIG40LIhEn8r-bOV</t>
  </si>
  <si>
    <t>0120190451</t>
  </si>
  <si>
    <t>0120190329</t>
  </si>
  <si>
    <t>DAMBHARE</t>
  </si>
  <si>
    <t>tushardambhare81@gmail.com</t>
  </si>
  <si>
    <t>https://www.linkedin.com/in/tushar2502/</t>
  </si>
  <si>
    <t>RAJU DAMBHARE</t>
  </si>
  <si>
    <t>ANITA DAMBHARE</t>
  </si>
  <si>
    <t>Ram Nagar , Qtr.no - 106 , near Ram Mandir, Ghugus ,Dist - chandrapur pin code - 442505</t>
  </si>
  <si>
    <t>Hindavi colony, Behind Anand multispeciality hospital, Alandi (D) , Pune - 412105</t>
  </si>
  <si>
    <t xml:space="preserve">THE SPARK FOUNDATION (One Month internship in Data science) </t>
  </si>
  <si>
    <t>Zensar Pvt Ltd - Got good hands-on training in SQL,PL-SQL, Java, Adv Java and Python.</t>
  </si>
  <si>
    <t>Brain Tumor detection and Classification webapp Using Convolutional Neural Network and flask framework</t>
  </si>
  <si>
    <t>Participated in Datathon Organized by MITAOE</t>
  </si>
  <si>
    <t>YBI foundation for Data Science.</t>
  </si>
  <si>
    <t>https://preskilet.com/watch?v=62a32b0aa6956a00045ffaa6</t>
  </si>
  <si>
    <t>https://drive.google.com/open?id=1a3PY1qo-zMLypbWb-mrHYNrfOH05N9gp</t>
  </si>
  <si>
    <t>https://drive.google.com/open?id=1SGqqc9biqqxEXxDl6rWRrkfBCTO_EnOP</t>
  </si>
  <si>
    <t>https://drive.google.com/open?id=1ZQC3XJ9SsHmFoFDayjWCHTy34P1BJLYT</t>
  </si>
  <si>
    <t>https://drive.google.com/open?id=1HMowwHz2AFe0YKLj49hpJ6gK8E4vJ8Di</t>
  </si>
  <si>
    <t>https://drive.google.com/open?id=1dN79IYSvCbOUO0FrQa6qrRktvresgxx8</t>
  </si>
  <si>
    <t>0120190184</t>
  </si>
  <si>
    <t>AURADE</t>
  </si>
  <si>
    <t>nileshaurade84@gmail.com</t>
  </si>
  <si>
    <t>https://www.linkedin.com/in/nilesh-aurade-08b610226</t>
  </si>
  <si>
    <t>SAHEBRAO AURADE</t>
  </si>
  <si>
    <t>RAJESHREE AURADE</t>
  </si>
  <si>
    <t>Dr. Ambedkar Society,Nedeban Road, Udgir Dust. Latur 413547</t>
  </si>
  <si>
    <t>Palo Alto- Networking Security</t>
  </si>
  <si>
    <t>Palo Alto- Networking security</t>
  </si>
  <si>
    <t>Palo Alto- Networking security 
Certificate not received.</t>
  </si>
  <si>
    <t>Bhaktivedanta Institute - Social media Marketing Head.</t>
  </si>
  <si>
    <t>Sedemac Mechatronics private limited.</t>
  </si>
  <si>
    <t>Contiguous Disease Control System</t>
  </si>
  <si>
    <t>Participatted in Intercollegiate Project competition organised by Institute of Electronic and Telecommunications Engineer Pune
Completed.
Completed C Language Course designed by Naresh It institute Hyderabad.</t>
  </si>
  <si>
    <t>NMMS Scholarship Aviled by Maharashtra Government.</t>
  </si>
  <si>
    <t>Participated in Kho-kho at college level competation.</t>
  </si>
  <si>
    <t>https://drive.google.com/drive/folders/1rF847q3R0hxssTx24fbGi1J1OMDDEnbL</t>
  </si>
  <si>
    <t>https://drive.google.com/open?id=1PAsg5L308KgPgeXFsmA58hhjLYXmV6Ia</t>
  </si>
  <si>
    <t>https://drive.google.com/open?id=1J5-xJEeB-yNj-OUqvlWqZiZe0PK_ikBH</t>
  </si>
  <si>
    <t>https://drive.google.com/open?id=1x_335KhsJpzP-dJ2O7QnK4kBMjjWiDuF</t>
  </si>
  <si>
    <t>0120190526</t>
  </si>
  <si>
    <t>ABROL</t>
  </si>
  <si>
    <t>sejalabrol27@gmail.com</t>
  </si>
  <si>
    <t>https://www.linkedin.com/in/sejal-abrol-787516212</t>
  </si>
  <si>
    <t>RAKESH ABROL</t>
  </si>
  <si>
    <t>SONIA ABROL</t>
  </si>
  <si>
    <t xml:space="preserve">H.No.205, Krishna Nagar canal road, jammu, 180001 </t>
  </si>
  <si>
    <t>Fundamentals of Networking : Palo Alto</t>
  </si>
  <si>
    <t>AWS Machine Learning: Coursera</t>
  </si>
  <si>
    <t>Project : Water monitoring and control system</t>
  </si>
  <si>
    <t>In the process of finding</t>
  </si>
  <si>
    <t>AR based Mobile Application to navigate through campus</t>
  </si>
  <si>
    <t>https://preskilet.com/watch?v=62a37d72a6956a0004600451</t>
  </si>
  <si>
    <t>https://drive.google.com/open?id=1NOcJZlTBRGKI4rYFiXvKPkgIT7vFAGzC</t>
  </si>
  <si>
    <t>https://drive.google.com/open?id=1tRykl4esGfmJwS7ScWpAY6I2WMWldFja</t>
  </si>
  <si>
    <t>https://drive.google.com/open?id=1QcLVSuGSVnefIaNGwqv9tSTAorqCNVMp</t>
  </si>
  <si>
    <t>0120190588</t>
  </si>
  <si>
    <t>BHUJANG</t>
  </si>
  <si>
    <t>panushkapawar92@gmail.com</t>
  </si>
  <si>
    <t>www.linkedin.com/in/anushka-pawar-595858241</t>
  </si>
  <si>
    <t>BHUANG</t>
  </si>
  <si>
    <t>VISHAL NAGAR , LATUR, MAHARASHTRA.</t>
  </si>
  <si>
    <t>MAULI GIRLS HOSTEL, TAPKIR NAGAR, ALANDI, PUNE, MAHARASHTRA.</t>
  </si>
  <si>
    <t>CV102T- APPLIED MATHEMATICS , CH101T- SCIENCE OF NATURE .</t>
  </si>
  <si>
    <t xml:space="preserve">Microsoft AI-900: Microsoft Azure AI  </t>
  </si>
  <si>
    <t>MATLAB ONRAMP</t>
  </si>
  <si>
    <t xml:space="preserve">Infosys: Python for programmers </t>
  </si>
  <si>
    <t>Not yet</t>
  </si>
  <si>
    <t>Stress detection using EEG signal</t>
  </si>
  <si>
    <t xml:space="preserve">Python for everybody , Python data structure , content marketing basics, Introduction to digital marketing , Getting started with AWS machine learning.   </t>
  </si>
  <si>
    <t>Robin Hood Army.</t>
  </si>
  <si>
    <t>https://drive.google.com/file/d/1zMhZkRNBaru06UIK_VSxL3X7SQvRwahf/view?usp=drivesdk</t>
  </si>
  <si>
    <t>https://drive.google.com/open?id=1NoiYjYLmZSLFud1aZ0YQC7RVuGvQ2cpF</t>
  </si>
  <si>
    <t>https://drive.google.com/open?id=12cY2Ct6Er_eQ8HfxIL8IvFCrDZDCN0bV</t>
  </si>
  <si>
    <t>0120190611</t>
  </si>
  <si>
    <t>THARUNYHA</t>
  </si>
  <si>
    <t>SENTHILKUMAR</t>
  </si>
  <si>
    <t>thana22012001@gmail.com</t>
  </si>
  <si>
    <t>https://www.linkedin.com/in/tharunyha-senthilkumar-63047521b</t>
  </si>
  <si>
    <t>SENTHIL KUMAR</t>
  </si>
  <si>
    <t>ABIRAMI</t>
  </si>
  <si>
    <t>Anagha C-06, visthara residential enclave, Vilangudi, Madurai, Tamilnadu-625402</t>
  </si>
  <si>
    <t>Flat number:205, indu heights, magazine chowk, dighi, Pune, Maharashtra-411015</t>
  </si>
  <si>
    <t>MATLAB: Machine learning with MATLAB</t>
  </si>
  <si>
    <t>MATLAB: data processing and visualisation</t>
  </si>
  <si>
    <t>Looking</t>
  </si>
  <si>
    <t>Forest fire detection using remote sensing and deep learning</t>
  </si>
  <si>
    <t xml:space="preserve">TensorFlow, keras,node.js , and scikit-learn </t>
  </si>
  <si>
    <t>AutoCAD, Fusion 360, Proteus, MATLAB, Jupyter</t>
  </si>
  <si>
    <t>Tamil</t>
  </si>
  <si>
    <t>1) Impetus and Concepts'22 ( ML domain project)
2) Datathon
3) Prakalp</t>
  </si>
  <si>
    <t>https://drive.google.com/file/d/1_qILz7HESW_dkVkdWVspXkEImsj6vXtg/view?usp=drivesdk</t>
  </si>
  <si>
    <t>https://drive.google.com/open?id=1XIuNq-rXYqTKOsiLjPc32ngjUs2DQ-JX</t>
  </si>
  <si>
    <t>https://drive.google.com/open?id=1m7B4RHbYhayqS7eZsQZhSF03Cwqp-vjx</t>
  </si>
  <si>
    <t>https://drive.google.com/open?id=18R9hC_hqKKqXy0AHGAdCDzfCoZf_ADDO</t>
  </si>
  <si>
    <t>https://drive.google.com/open?id=1zA3jiKlqTt5r_zZV8ukyK47GxwVrXuxl</t>
  </si>
  <si>
    <t>https://drive.google.com/open?id=1YgpqnTlpnkcs5hsPES2jmT-ipOB6ITuG</t>
  </si>
  <si>
    <t>https://drive.google.com/open?id=18DrFOwm8vtlRPKn5cJBZwiLPeGlq0Ter</t>
  </si>
  <si>
    <t>0220200153</t>
  </si>
  <si>
    <t>TATYA</t>
  </si>
  <si>
    <t>urmilachavan1264@gmail.com</t>
  </si>
  <si>
    <t>AT. BHOYARE, TAL- MOHOL, DIST- SOLAPUR</t>
  </si>
  <si>
    <t>Alandi, pune</t>
  </si>
  <si>
    <t>Smart shopping trolly</t>
  </si>
  <si>
    <t>Smart shopping trolly, smart road safety on mountain roads</t>
  </si>
  <si>
    <t>Robot Framework, NONE</t>
  </si>
  <si>
    <t xml:space="preserve">Paper presentation, quiz, </t>
  </si>
  <si>
    <t>1st prize in quiz</t>
  </si>
  <si>
    <t>Yes, Rajarshi chatrpati shau maharaj scholarship</t>
  </si>
  <si>
    <t>https://drive.com</t>
  </si>
  <si>
    <t>https://drive.google.com/open?id=1sYrllkf3J2uH8ovHk_LXJuNQgQle4Es8</t>
  </si>
  <si>
    <t>https://drive.google.com/open?id=1LdOHIj3CaeNE8PAiz_GONF8VxeoifaHq</t>
  </si>
  <si>
    <t>0120190279</t>
  </si>
  <si>
    <t xml:space="preserve">SHRADDHA </t>
  </si>
  <si>
    <t>shindeshraddha271001@gmail.com</t>
  </si>
  <si>
    <t>https://www.linkedin.com/in/shraddha-shinde-592794214</t>
  </si>
  <si>
    <t>SUNIL NARAYAN SHINDE</t>
  </si>
  <si>
    <t>SNEHAL SUNIL SHINDE</t>
  </si>
  <si>
    <t>I-4 Sahil Garden Paranjape Scheme Kaviltali Chiplun</t>
  </si>
  <si>
    <t>Microsoft - Azure Data Fundamentals</t>
  </si>
  <si>
    <t>Bolt Marketing</t>
  </si>
  <si>
    <t>Muskuraahat Foundation</t>
  </si>
  <si>
    <t>Mystical Group technoplast</t>
  </si>
  <si>
    <t>Contagious Disease Control System [AI ML BASED]</t>
  </si>
  <si>
    <t>https://drive.google.com/drive/folders/1isewKcjtKma95brK5MNPQ8VGyHu96gXe?usp=sharing</t>
  </si>
  <si>
    <t>https://drive.google.com/open?id=1HB_sbIQm6zQaYE69c7EERmAFSZnnyq05</t>
  </si>
  <si>
    <t>https://drive.google.com/open?id=1ktrZjfRzIpQL44E60L0cHVp-LFEs3Rdm</t>
  </si>
  <si>
    <t>https://drive.google.com/open?id=1tUNSY4LttG07G5E87CbiIYKl-KchXDSn</t>
  </si>
  <si>
    <t>https://drive.google.com/open?id=1Md7WhhMsyFiK5lCEE8fDiIELozz0lP0z</t>
  </si>
  <si>
    <t>https://drive.google.com/open?id=1rNrxL2U-z-Fu9V1Eq14C3KSCXidkDGlb</t>
  </si>
  <si>
    <t>0120190593</t>
  </si>
  <si>
    <t>shrikand2908@gmail.com</t>
  </si>
  <si>
    <t xml:space="preserve">deshmukhss@mitaoe.ac.in </t>
  </si>
  <si>
    <t>https://www.linkedin.com/in/shrikant-deshmukh-4834ba22b</t>
  </si>
  <si>
    <t>1-11-136 sapatgiri Bajaj nagar near Hanuman temple</t>
  </si>
  <si>
    <t>VLSI DESIGN: MAVEN SILICON</t>
  </si>
  <si>
    <t>Python programming: Infosys spring board</t>
  </si>
  <si>
    <t>Embedded</t>
  </si>
  <si>
    <t>Face Mask Detection using Machine learning algorithm(Open Cv)</t>
  </si>
  <si>
    <t>Nakshtra Drama competition winner, Participant in Sports</t>
  </si>
  <si>
    <t>https://drive.google.com/file/d/1zBisUNQTTi4ZWuX7NYTwEiLyfjbLFqlZ/view?usp=sharing</t>
  </si>
  <si>
    <t>https://drive.google.com/open?id=1vcl3KVUn3lJRke0A0W6rgNSjIoQ1EOJG</t>
  </si>
  <si>
    <t>https://drive.google.com/open?id=163tp_24PTryT-nG41hILImh-aocn0Nju</t>
  </si>
  <si>
    <t>0120190035</t>
  </si>
  <si>
    <t>CHETAN</t>
  </si>
  <si>
    <t>BALRAJE</t>
  </si>
  <si>
    <t>chetanbalraje880@gmail.com</t>
  </si>
  <si>
    <t>Csbalraje@mitaoe.ac.in</t>
  </si>
  <si>
    <t>https://www.linkedin.com/in/chetan-balraje-30a84b241</t>
  </si>
  <si>
    <t xml:space="preserve">AT POST CHAMORSHI DIST GADCHIROLI 
BESIDE SBI BANK </t>
  </si>
  <si>
    <t xml:space="preserve">B-23 Concept Heritage, Near Mit arts and commerce college, Dehu phata,Alandi </t>
  </si>
  <si>
    <t>Dg</t>
  </si>
  <si>
    <t>xfg</t>
  </si>
  <si>
    <t xml:space="preserve">PCS THEORY PRACTICAL </t>
  </si>
  <si>
    <t xml:space="preserve">DSP PRACTICAL
ESD PRACTICAL 
</t>
  </si>
  <si>
    <t>Xx</t>
  </si>
  <si>
    <t>Searching</t>
  </si>
  <si>
    <t>Cc</t>
  </si>
  <si>
    <t>Ss</t>
  </si>
  <si>
    <t xml:space="preserve">District level Science exhibition Winner 
Taluka level science Exhibition winner </t>
  </si>
  <si>
    <t xml:space="preserve">College Cricket Team Captain </t>
  </si>
  <si>
    <t>https://drive.google.com/file/d/1vIzKNN5Zu_fn45ddlVwxHEJ_HdBXTaQZ/view?usp=drivesdk</t>
  </si>
  <si>
    <t>https://drive.google.com/open?id=1kYmwhyY7i5BqH18zHFeUAWMn3IimNcFs</t>
  </si>
  <si>
    <t>https://drive.google.com/open?id=1b1XvziSEkj6tP-4FnM67vzwHIv8KV5ur</t>
  </si>
  <si>
    <t>0120190443</t>
  </si>
  <si>
    <t xml:space="preserve">KISHOR </t>
  </si>
  <si>
    <t>ARADWAD</t>
  </si>
  <si>
    <t>aniketaradwad@gmail.com</t>
  </si>
  <si>
    <t>https://www.linkedin.com/in/aniket-aradwad-b8b220232</t>
  </si>
  <si>
    <t>PRATIBHA</t>
  </si>
  <si>
    <t>Thodga Road, Ahmedpur.</t>
  </si>
  <si>
    <t>Dehu phata, Alandi.</t>
  </si>
  <si>
    <t>ET222L
ET226L
ET343T</t>
  </si>
  <si>
    <t>AS204L
ET221L
HP202L</t>
  </si>
  <si>
    <t>Microsoft Azure Fundamentals.</t>
  </si>
  <si>
    <t>AICTE Virtual Internship Program- Robotics.</t>
  </si>
  <si>
    <t>Automation Company, Logicon Technosolutions.</t>
  </si>
  <si>
    <t>Industrial Automation.</t>
  </si>
  <si>
    <t>Automation in Waste Segregation.</t>
  </si>
  <si>
    <t>AutoCAD, Fusion 360, CATIA, Proteus, MATLAB, Cisco Packet Tracer, CCW.</t>
  </si>
  <si>
    <t>Paid training for CAT.</t>
  </si>
  <si>
    <t>Athletes- Running.</t>
  </si>
  <si>
    <t>https://preskilet.com/watch?v=62a381dfa6956a0004600521</t>
  </si>
  <si>
    <t>https://drive.google.com/open?id=1wrPx8oZkcH0WJrz2VrffK6Bg6sAQ8Sfw</t>
  </si>
  <si>
    <t>https://drive.google.com/open?id=1wslgzvwp63yuRcEOhW3gtnuoCr2z4Wo9</t>
  </si>
  <si>
    <t>https://drive.google.com/open?id=1NOdNk1EaGNzTPXGWicrhlFVuil-xOta3</t>
  </si>
  <si>
    <t>0120190422</t>
  </si>
  <si>
    <t>BAGUL</t>
  </si>
  <si>
    <t>yashbagul002@gmail.com</t>
  </si>
  <si>
    <t>www.linkedin.com/in/yash-bagul</t>
  </si>
  <si>
    <t>440, ganapati Ali, wai</t>
  </si>
  <si>
    <t>Palo Alto
Maven silicon</t>
  </si>
  <si>
    <t>Python programming</t>
  </si>
  <si>
    <t>Design &amp; Development of Sellable Automatic Dispenser: Sanitizer, Water and Liquid</t>
  </si>
  <si>
    <t>YBI FOUNDATION
Perfect electronics training internship</t>
  </si>
  <si>
    <t>Detection of artificially ripened bananas</t>
  </si>
  <si>
    <t>https://drive.google.com/drive/folders/1zmfKbnKHBCzuXVptHBUteJ4M-_02czlK</t>
  </si>
  <si>
    <t>https://drive.google.com/open?id=1yqc_mc6c5u-KOHmL9nPmIwMstWHUk0O5</t>
  </si>
  <si>
    <t>https://drive.google.com/open?id=1QohcS7_av92LxMjk7gub_E-sc82h0bXm</t>
  </si>
  <si>
    <t>https://drive.google.com/open?id=1JZVp3JZb_Edy_7Tl6MIj3tjDFXrWSqpD</t>
  </si>
  <si>
    <t>https://drive.google.com/open?id=1aec7SKXyFnWjtcFAdQxx8kiER7ZuBJpG</t>
  </si>
  <si>
    <t>https://drive.google.com/open?id=1OV8wNgDZJL5pYFEJmrKixYsPDqQeVYL7</t>
  </si>
  <si>
    <t>https://drive.google.com/open?id=1UzoObrjiUGw3s5imv6iAfgtLyuz1PFEw</t>
  </si>
  <si>
    <t>0120190436</t>
  </si>
  <si>
    <t>HATTE</t>
  </si>
  <si>
    <t>hattesantosh1999@gmail.com</t>
  </si>
  <si>
    <t>http://www.linkedin.com/in/santosh-hatte-678848241</t>
  </si>
  <si>
    <t>PARVATIBAI</t>
  </si>
  <si>
    <t>At.post Shelgaon Tq.Degloor Dist.Nanded</t>
  </si>
  <si>
    <t>palo alto And Cybersecurity</t>
  </si>
  <si>
    <t>Introduction to Electronics</t>
  </si>
  <si>
    <t>Detection of Fruit</t>
  </si>
  <si>
    <t>https://drive.google.com/file/d/1-KT9BhxAzr8YXMqKSlxOUNn482yeLx3A/view?usp=drivesdk</t>
  </si>
  <si>
    <t>https://drive.google.com/open?id=1tsnGoXIZ1OqSApa8VQFiEC_XaI2ajjdH</t>
  </si>
  <si>
    <t>https://drive.google.com/open?id=1RoPpVTCWzwdShlCZxhmpJUvE0jzJlASK</t>
  </si>
  <si>
    <t>0120190458</t>
  </si>
  <si>
    <t>NETAKE</t>
  </si>
  <si>
    <t>adityanetake77@gmail.com</t>
  </si>
  <si>
    <t>https://www.linkedin.com/in/aditya-netake-22b041241</t>
  </si>
  <si>
    <t>SANJAY NETAKE</t>
  </si>
  <si>
    <t>DIPMALA NETAKE</t>
  </si>
  <si>
    <t>Takalsing, Ashti, Dist. Beed</t>
  </si>
  <si>
    <t>Indrayani Hills, Alandi, Dist. Pune</t>
  </si>
  <si>
    <t>HP203L,ET341T</t>
  </si>
  <si>
    <t>ET224L</t>
  </si>
  <si>
    <t>Coursera- Introduction to Electronics</t>
  </si>
  <si>
    <t>YBI Foundation-Computer Science</t>
  </si>
  <si>
    <t>Regenerative System for Mountain E-Bicycle</t>
  </si>
  <si>
    <t>Sports(Carrom)</t>
  </si>
  <si>
    <t>https://preskilet.com/watch?v=62a392c3a6956a0004600910</t>
  </si>
  <si>
    <t>https://drive.google.com/open?id=1pST6g12vzjrP_c8HqH3aRpnKKralmRF7</t>
  </si>
  <si>
    <t>https://drive.google.com/open?id=1V7PA-QqWz2VpupRd4Ze3AertyBKAO1iv</t>
  </si>
  <si>
    <t>https://drive.google.com/open?id=1aQ3AdNt6ok5whr4r7Y3Fn8mFioPXqm4y</t>
  </si>
  <si>
    <t>https://drive.google.com/open?id=1-Z9DZRRy5oVFlxAZHon49KFWaroEey_J</t>
  </si>
  <si>
    <t>https://drive.google.com/open?id=1NLp6vK9ywZZFb1aQlLkkcbZGoP9buykb</t>
  </si>
  <si>
    <t>0120190032</t>
  </si>
  <si>
    <t>HRUSHIKESH</t>
  </si>
  <si>
    <t>CHAPKE</t>
  </si>
  <si>
    <t>hrushikeshchapke@gmail.com</t>
  </si>
  <si>
    <t>www.linkedin.com/in/hrc-7a32311a4</t>
  </si>
  <si>
    <t>RAMAKANT CHAPKE</t>
  </si>
  <si>
    <t>SUNANDA CHAPKE</t>
  </si>
  <si>
    <t>C-309 Janarajani 5A, Nanded City, Pune</t>
  </si>
  <si>
    <t>Acme Software
Online E-Book library and reader 
Custom CMS web platform using AWS services</t>
  </si>
  <si>
    <t>BMC Software
Plug-and-play Chatbot using AWS services</t>
  </si>
  <si>
    <t xml:space="preserve">Cancer Nodules detection in Lung CT Scan images </t>
  </si>
  <si>
    <t>Python, Java, C/C++, HTML, CSS, JavaScript, Rust, PHP, Bash, Assembly</t>
  </si>
  <si>
    <t>React.js (JavaScript/Typescript), Laravel (PHP), Spring &amp; Hibernate (Java), Django (Python), Flask (Python), Robot Framework</t>
  </si>
  <si>
    <t>ECELL ESUMMIT WEB DEVELOPER
HITCHHACKERS CLUB LEAD AND FOUNDER
CODEBYTES PAIR PROGRAMMING - 1ST RUNNER UP (SECOND PRIZE)</t>
  </si>
  <si>
    <t>Internships, freelance development</t>
  </si>
  <si>
    <t>https://preskilet.com/watch?v=62a38dbba6956a00046007f0</t>
  </si>
  <si>
    <t>https://drive.google.com/open?id=1bNhHMpKy5VgHwuWbNCWn0SwOjaqKhuVR</t>
  </si>
  <si>
    <t>https://drive.google.com/open?id=1EGhx711Xe8tTE9yVoQ1Mr9oxsxIA4dyB</t>
  </si>
  <si>
    <t>https://drive.google.com/open?id=1S3x6zJPxHPPxfv67eywJTIXMIWyOo9ni</t>
  </si>
  <si>
    <t>https://drive.google.com/open?id=1FMj04fQ_L0GWXABgJdB8GiwOpkNDrMcD</t>
  </si>
  <si>
    <t>https://drive.google.com/open?id=1qWJu5Vl3PCPii1a3ncf1vTjECm5qogxM</t>
  </si>
  <si>
    <t>0120190164</t>
  </si>
  <si>
    <t>KESHAV</t>
  </si>
  <si>
    <t>DUBEY</t>
  </si>
  <si>
    <t>keshavdubey54@gmail.com</t>
  </si>
  <si>
    <t>https://www.linkedin.com/in/keshav-dubey-b38933213/</t>
  </si>
  <si>
    <t>ATTAL DUBEY</t>
  </si>
  <si>
    <t>RENU DUBEY</t>
  </si>
  <si>
    <t>H-NO-314,COLONEL COLONY,TALAB TILLO, BOHRI, JAMMU</t>
  </si>
  <si>
    <t xml:space="preserve">CERTIFICATE-&gt;HACKERRANK JAVA </t>
  </si>
  <si>
    <t>Python, Java, C/C++, HTML, CSS, JavaScript, TypeScript, SQL,MONDODB</t>
  </si>
  <si>
    <t>AutoCAD, Fusion 360, CATIA, Proteus, MATLAB, TABLEAU,MSEXCEL,MSPOWERPOINT,MSWORD,ADOBE ACROBAT</t>
  </si>
  <si>
    <t xml:space="preserve">Secured 4th position in College level project showing  </t>
  </si>
  <si>
    <t>https://preskilet.com/watch?v=62a2e56fa6956a00045ff40c</t>
  </si>
  <si>
    <t>https://drive.google.com/open?id=1WF_rsqB790m6HksLSKIumsuUwGe41Hha</t>
  </si>
  <si>
    <t>https://drive.google.com/open?id=1xOAY4D5UmpYKDLx9t4BfaQroh_dsD8YX</t>
  </si>
  <si>
    <t>https://drive.google.com/open?id=1hopkcsjbrscPwCT6xGuixfaW8LIOKMUn</t>
  </si>
  <si>
    <t>https://drive.google.com/open?id=1vhanyHuWaSw6mzAXR9ls0XHIOOO5vbhA</t>
  </si>
  <si>
    <t>0120190277</t>
  </si>
  <si>
    <t>PRAKTAN</t>
  </si>
  <si>
    <t>KHATAVKAR</t>
  </si>
  <si>
    <t>praktan.khatavkar@gmail.com</t>
  </si>
  <si>
    <t>https://www.linkedin.com/in/praktan-khatavkar-27492222b/</t>
  </si>
  <si>
    <t>REVANSIDDHA</t>
  </si>
  <si>
    <t>SADHANA</t>
  </si>
  <si>
    <t xml:space="preserve">B-188-A, Yashoda Orthopedic Hospital, Near Urdu High School, Mathewada, Sawantwadi - 416510 </t>
  </si>
  <si>
    <t>Microsoft AI-900, Microsoft Azure AI</t>
  </si>
  <si>
    <t xml:space="preserve">Persistent System </t>
  </si>
  <si>
    <t>Tags Automation and Menu Analytics</t>
  </si>
  <si>
    <t>Cricket and Table Tennis Tournaments</t>
  </si>
  <si>
    <t>https://drive.google.com/file/d/1FE0Z5d7rDShtNZrD36YYTyiqNy7NEVRR/view?usp=sharing</t>
  </si>
  <si>
    <t>https://drive.google.com/open?id=1cB8oYpkpGLje3VEkTVizUv14801OEqY1</t>
  </si>
  <si>
    <t>https://drive.google.com/open?id=1SGuO_wa1e4fnisUcA4xXY7F1CZ50NNIc</t>
  </si>
  <si>
    <t>0120190391</t>
  </si>
  <si>
    <t>BABAJI</t>
  </si>
  <si>
    <t>abhishekbabajim@gmail.com</t>
  </si>
  <si>
    <t>https://www.linkedin.com/in/abhishekmore-/</t>
  </si>
  <si>
    <t>PUSHAPA</t>
  </si>
  <si>
    <t>C10, Hareshwar Apartment, Anandnagar, Rajgurunagar, Tal. Khed, Dist. Pune</t>
  </si>
  <si>
    <t>IITD-AIA FSM: Fundamentals of Smart Manufacturing
Coursera: Python for Everybody Specialization
NIELIT: Course on Computer Concepts</t>
  </si>
  <si>
    <t>Coursera: Python for Everybody Specialization
Learned about Data Structure, Web-development, Database</t>
  </si>
  <si>
    <t>IITD-AIA FSM: Machine Learning Intern
- Developed Digital Twin of Smart Lathe Machine in Matlab
- Quick What-If Analysis
- Raw Vibration Prediction using Regression ML algorithm
- Improved overall performance of lathe machine
- Reduced the cost of maintenance</t>
  </si>
  <si>
    <t>Fampay: Backend Developer</t>
  </si>
  <si>
    <t>Blockchain Based Certificates &amp; Badges Issuing Platform</t>
  </si>
  <si>
    <t>Python, Java, C/C++, HTML, CSS, JavaScript, Go lang, Solidity</t>
  </si>
  <si>
    <t>Spring &amp; Hibernate (Java), Django (Python), ExpressJS, PassportJS, GRPC, DRF, Fiber</t>
  </si>
  <si>
    <t>MATLAB, Adobe Photoshop, Tableau, Libre Office</t>
  </si>
  <si>
    <t>Microsoft Azure Developer League Hackathon (Runner Up)
AWS Digital Innovation Hackathon (Top 5)
IBM Reimagine Future Hackathon (Top 11)
Speaker at AISSMS IOIT, Pune (Topic- Introduction to Open Source)
Web-developer at TEDxMITAOE</t>
  </si>
  <si>
    <t>Microsoft Azure Developer League Hackathon (Runner Up)</t>
  </si>
  <si>
    <t>Inter-departmental Yoga Competetion (Winner)</t>
  </si>
  <si>
    <t>https://preskilet.com/watch?v=628dbc6f1fa2760004ae76b1</t>
  </si>
  <si>
    <t>https://drive.google.com/open?id=1bdKuerba_pDKPjPHub__NxruA-PZbAoF</t>
  </si>
  <si>
    <t>https://drive.google.com/open?id=13UIoffTrKxvX67PHkquSzHX6h-Vy9cqk</t>
  </si>
  <si>
    <t>https://drive.google.com/open?id=1O9BQ5HsTQgbu4FRu7Id5P1irBWBfy1vy</t>
  </si>
  <si>
    <t>https://drive.google.com/open?id=1wsCp-DTGNuz9MhQr05PNsXRReIB3NYvr</t>
  </si>
  <si>
    <t>0120190518</t>
  </si>
  <si>
    <t>SHIVATEJA</t>
  </si>
  <si>
    <t>CHALVADHI</t>
  </si>
  <si>
    <t>shivatejachalvadhi@gmail.com</t>
  </si>
  <si>
    <t>https://www.linkedin.com/in/shivateja-chalvadhi-3746b4240</t>
  </si>
  <si>
    <t>Akon city, yashwant nagar, talegaon dabhade.</t>
  </si>
  <si>
    <t>aashman pride, dehuroad.</t>
  </si>
  <si>
    <t>AS105T - CALCULUS AND DIFFERENTIAL EQUATIONS
AS106T - ENGINEERING PHYSICS
CS101T - LOGIC DEVELOPMENT -C PROGRAMMING
EX102T - ELECTRICAL AND ELECTRONICAL ENGINEERING
ME104L - ENGINEERING GRAPHICS
ME104T - ENGINEERING GRAPHICS</t>
  </si>
  <si>
    <t xml:space="preserve">cybersecurity foundation </t>
  </si>
  <si>
    <t>Python for everybody from coursera</t>
  </si>
  <si>
    <t xml:space="preserve">web applications and technologies from coursera </t>
  </si>
  <si>
    <t xml:space="preserve">Blockchain encryption using biometric authentication </t>
  </si>
  <si>
    <t>https://preskilet.com/watch?v=62a388e6a6956a000460069c</t>
  </si>
  <si>
    <t>https://drive.google.com/open?id=1Ny0fRBoOSwDLDG00JyCGNEMDuN2JzoMq</t>
  </si>
  <si>
    <t>https://drive.google.com/open?id=1Myd-FgOdNmSOIjPqoWCC-6eMKm4Qa6ar</t>
  </si>
  <si>
    <t>0120190532</t>
  </si>
  <si>
    <t>CHINMAYI</t>
  </si>
  <si>
    <t>ALSHETTY</t>
  </si>
  <si>
    <t>chinmayishetty1058@gmail.com</t>
  </si>
  <si>
    <t xml:space="preserve">csalshetty@mitaoe.ac.in </t>
  </si>
  <si>
    <t>https://www.linkedin.com/in/chinmayi-alshetty-07aa371ab/</t>
  </si>
  <si>
    <t>Bhadrawati Residency, Flat No-18, Bandawane nagar, Kamathwade Cidco Nashik 422008</t>
  </si>
  <si>
    <t>Zensar Training Program And Certification
Microsoft Azure Fundamentals
AWS Cloud Practitioner</t>
  </si>
  <si>
    <t>Codekul Pvt Ltd; Team Leader of Web Developement team , Reactjs Front-End Developer</t>
  </si>
  <si>
    <t>Celebal Technologies,Cloud Infrastructre , UINSports Sponsorship Project</t>
  </si>
  <si>
    <t>UINsports  Sponsorship Project</t>
  </si>
  <si>
    <t>React.js (JavaScript/Typescript), Spring &amp; Hibernate (Java), Flask (Python)</t>
  </si>
  <si>
    <t>Smart India Hackathon ,Selected from college
Datathon By College GirlScript
Equilibrium By Mozilla Club</t>
  </si>
  <si>
    <t>Zensar Training Program</t>
  </si>
  <si>
    <t xml:space="preserve">Informal Anchoring in Nakshatra 2021
COEP Zest Chess Competition Team Player from our college
Many Chess Intercollegiate Tournaments
  </t>
  </si>
  <si>
    <t>https://preskilet.com/watch?v=62a384cea6956a00046005be</t>
  </si>
  <si>
    <t>https://drive.google.com/open?id=1l2GjVZXibiqqW3UOOXxfiAtrpDbT-E_x</t>
  </si>
  <si>
    <t>https://drive.google.com/open?id=1jJac7lq_DuQeEcAU0qyMmErNhOXt4xjL</t>
  </si>
  <si>
    <t>https://drive.google.com/open?id=1AhCwhjULIjxzyvAt7L9k8E-JSZHC9odR</t>
  </si>
  <si>
    <t>https://drive.google.com/open?id=1rZFoZ4BOZPpuacRAJLO1NKWRC7CCQR7S</t>
  </si>
  <si>
    <t>0120190551</t>
  </si>
  <si>
    <t>pratikghadge001@gmail.com</t>
  </si>
  <si>
    <t xml:space="preserve">pgghadge@mitaoe.ac.in </t>
  </si>
  <si>
    <t>https://www.linkedin.com/in/pratik-ghadge-87783b231</t>
  </si>
  <si>
    <t xml:space="preserve">GOVIND GHADGE </t>
  </si>
  <si>
    <t xml:space="preserve">REKHA GHADGE </t>
  </si>
  <si>
    <t>Mitra Nagar,Latur 413152</t>
  </si>
  <si>
    <t>CS341T - OPERATING SYSTEM
CS342T - THEORY OF COMPUTATION
CS343L - COMPUTER NETWORKS
CS346L - SKILL DEVELOPMENT COURSE - WEB TECHNOLOGY
CS351T - DESCRIPTIVE ANALYTICS
CS361T - PROJECT MANAGEMENT
CS351L - DESCRIPTIVE ANALYTICS
CS350L - PROJECT DESIGN</t>
  </si>
  <si>
    <t>Palo Alto:Cyber Security</t>
  </si>
  <si>
    <t>Exposy Data Lab (Summer Intership)</t>
  </si>
  <si>
    <t>MOVIE RECOMMENDATION SYSTEM</t>
  </si>
  <si>
    <t>Python, C/C++, HTML, CSS, JavaScript, PHP, MYSQL</t>
  </si>
  <si>
    <t>https://drive.google.com/drive/folders/1Rr3Lodv8nBMSF--JZPVjp5pTEsQDKM7-?usp=sharing</t>
  </si>
  <si>
    <t>https://drive.google.com/open?id=12n61hQGpjlGtgPD-dL2UXmz5kNv_U4yz</t>
  </si>
  <si>
    <t>https://drive.google.com/open?id=1my0Ow_UGR9yoQke4LmCFZ777Loms5F4K</t>
  </si>
  <si>
    <t>https://drive.google.com/open?id=16cLA7IB3fdR-mBDO72aXV7JFa5nCdPIc</t>
  </si>
  <si>
    <t>https://drive.google.com/open?id=1wHBIRwt3uUT5g7vrVTIAy9ZHxMz9dBeS</t>
  </si>
  <si>
    <t>0120190614</t>
  </si>
  <si>
    <t>DENGRE</t>
  </si>
  <si>
    <t>dyash317@gmail.com</t>
  </si>
  <si>
    <t>www.linkedin.com/in/yash-dengre-ba4587222</t>
  </si>
  <si>
    <t>PURUSHOTTAM DAS DENGRE</t>
  </si>
  <si>
    <t>KALPANA DENGRE</t>
  </si>
  <si>
    <t>67 B Pricanco Colony, Indore (M.P.)</t>
  </si>
  <si>
    <t>Teacher at World Youth Council : Worked as a change leader for the program "Teach from Home (Covid-19 Edition)" and took ground actions to bring change. During the tenure, I taught 1 student online for 15 sessions.</t>
  </si>
  <si>
    <t>Full Stack Web Development with React Specialization on Coursera : This specialization had three different certification courses that included Bootstrap for responsive web designs, NodeJS, ExpressJS and MongoDB for backend and database as well as React for front end development.</t>
  </si>
  <si>
    <t>Web Development Intern at Baskethunt Pvt. Ltd. : Will be acting as a full stack web developer intern at Baskethunt for 2 months.</t>
  </si>
  <si>
    <t>Digital Gram Sahaayak - A portal for villagers to get information on government schemes</t>
  </si>
  <si>
    <t>Bootstrap, ExpressJS, MVC</t>
  </si>
  <si>
    <t>MATLAB, Proto.io</t>
  </si>
  <si>
    <t>Secured 1st position in the category of Second Year at “Script IT” held on October 31st, 2020 by GirlScript MITAOE Pune
Successfully accomplished Google Code Jam qualifying round
Participated in Smart India Hackathon</t>
  </si>
  <si>
    <t>Positioned in top 2 percentile in Embark Skills Assessment Test (ESAT)</t>
  </si>
  <si>
    <t>Creative Writing
Content Writing
Sketching
Chat Based Tutor at Course Hero</t>
  </si>
  <si>
    <t>https://preskilet.com/watch?v=62a38a39a6956a00046006e2</t>
  </si>
  <si>
    <t>https://drive.google.com/open?id=1LMG5F6y5EQJheY8BEX8fY5RiGRvKPpEg</t>
  </si>
  <si>
    <t>https://drive.google.com/open?id=1dhcBmTUz8sSOVx2UEoC8lAExoPqWwK28</t>
  </si>
  <si>
    <t>https://drive.google.com/open?id=1JR7W1yDP1ydY1Ea6hIQdiqIlhM4CSiQS</t>
  </si>
  <si>
    <t>https://drive.google.com/open?id=1dUZEyqc2NRKaD5jGPGfa2pxe1ytY2uyY</t>
  </si>
  <si>
    <t>https://drive.google.com/open?id=1m828phqITjhxm2yzPm19z6O98hJb6lJF</t>
  </si>
  <si>
    <t>https://drive.google.com/open?id=1oP1NwRtRBigmtwaRdRwhogcbJxMN7IT0</t>
  </si>
  <si>
    <t>0120190634</t>
  </si>
  <si>
    <t>AMAN</t>
  </si>
  <si>
    <t>amanak7232@gmail.com</t>
  </si>
  <si>
    <t>https://www.linkedin.com/in/aman-kumar-b54771212/</t>
  </si>
  <si>
    <t>ANIL KUMAR</t>
  </si>
  <si>
    <t>REETA SINHA</t>
  </si>
  <si>
    <t>Lakhibaagh ,gaya -bihar</t>
  </si>
  <si>
    <t>Alandi,pune-maharashtra</t>
  </si>
  <si>
    <t>Engineering graphics in fy and logical c programming in c</t>
  </si>
  <si>
    <t>oracle cloud infrastructure</t>
  </si>
  <si>
    <t>Python, data structure courses</t>
  </si>
  <si>
    <t>Codekul,web development intern</t>
  </si>
  <si>
    <t>Ongoing celebal technology intern</t>
  </si>
  <si>
    <t>Automatic query generation</t>
  </si>
  <si>
    <t>https://preskilet.com/anilkumar@mitaoe.ac.in</t>
  </si>
  <si>
    <t>https://drive.google.com/open?id=1FM8rU488xww17zrqgHsr9bMht_VH9jWn</t>
  </si>
  <si>
    <t>https://drive.google.com/open?id=1pNPJlI_DNoRii3fxDz1SXMKBzMGN4iJ4</t>
  </si>
  <si>
    <t>https://drive.google.com/open?id=1ClWQ4QFhYIWxj4WtmcbNR3Ziqw_0korz</t>
  </si>
  <si>
    <t>SURENDRA</t>
  </si>
  <si>
    <t>MALASANE</t>
  </si>
  <si>
    <t>pranavmalasane@gmail.com</t>
  </si>
  <si>
    <t>https://www.linkedin.com/in/pranav-malasane-4a811523b</t>
  </si>
  <si>
    <t>At po. Kapustalni, TQ Anjangaon Surji, Dist Amravati,Maharashtra, India</t>
  </si>
  <si>
    <t>Concept heritage, near Kachare hospital, Dehu Aalandi road, Alandi</t>
  </si>
  <si>
    <t>Infosys springboard :Python</t>
  </si>
  <si>
    <t xml:space="preserve">Iot base Irritation controlling and monitoring system </t>
  </si>
  <si>
    <t>Jadhav Gears</t>
  </si>
  <si>
    <t xml:space="preserve">Design and Analysis of Electric Motor Casing </t>
  </si>
  <si>
    <t>Member of team Niyudrath Racing, Autosport club of our Colege</t>
  </si>
  <si>
    <t xml:space="preserve">1.First Price at Government College of Engineering Amravati in project compitation.
</t>
  </si>
  <si>
    <t>1. KHO KHO</t>
  </si>
  <si>
    <t xml:space="preserve">https://drive.google.com/file/d/1lRKZxgx79Y9qz0E4MNCHx2ebR4bogERb/view?usp=sharing  </t>
  </si>
  <si>
    <t>https://drive.google.com/open?id=1dJa6F-nv-DdN98W--UmcCteGiWPMqV_9</t>
  </si>
  <si>
    <t>https://drive.google.com/open?id=11eUYX2hj30TwZiQbBLT82io3FRRkCWss</t>
  </si>
  <si>
    <t>0120190135</t>
  </si>
  <si>
    <t>MAHADEV</t>
  </si>
  <si>
    <t>MUNGSE</t>
  </si>
  <si>
    <t>mungse.rushi@gmail.com</t>
  </si>
  <si>
    <t>https://www.linkedin.com/in/rushikesh-mungse/</t>
  </si>
  <si>
    <t>Turk-Pimpri, Tal - Barshi, Dist - Solapur</t>
  </si>
  <si>
    <t>React JS-Complete Guide for Frontend Web Development (04/2021 - 07/2021)</t>
  </si>
  <si>
    <t xml:space="preserve">Python Programmer </t>
  </si>
  <si>
    <t>International Youth Math Challenge</t>
  </si>
  <si>
    <t>PROJECTS
Online Pizza Delivery (08/2021 – 12/2021)
 • https://github.com/rushi-mungse/realtime-pizza-app.git
 • This is the web application of online pizza delivery with
     tracking functionality. In that web app I worked on JavaScript
     and node.js for implementing an UI and Backend server.
 • In this web app I implement custom API using express.js and
    for database I used MongoDB.
 • For compiling modern JavaScript and triggering a CSS
    preprocessor I used Laravel Mix tool.
 • In that web app I used Tailwind CSS framework for designing
    a web.
INTERNSHIP
Software Developer Intern 
• https://github.com/rushi-mungse/vkonex-task-backend.git
• https://github.com/rushi-mungse/vkonex-task-frontend.git
• In this intern I worked on React JS and Node JS.
• I wrote 500 lines of code for Senwell Solution IT Company.
• I fixed same bugs in https://senwellsys.com this website.</t>
  </si>
  <si>
    <t>INTERNSHIP
Web Development Intern 
 1.Working on Node JS and Firebase projects.
PROJECTS
NPM Package (08/2021 – 09/2021)
• https://github.com/rushi-mungse/colorify-console-logs.git
• https://www.npmjs.com/package/colorify-consoles-log
• In this mini project I worked on typescript and
   node.js for making a NPM (node package module).
• It is used in big project using above link address.
Crome Extensions</t>
  </si>
  <si>
    <t>MeetHouse (09/2021 – 4/2022)
• https://github.com/rushi-mungse/MeetHouse-Frontend.git
• https://github.com/rushi-mungse/MeetHouse-backend.git
• This is the voice chat web application using webRTC API.
• In this application we create own Room for voice chat on any
   topic. In this web app Room are Open, Private and Public
   type.
• In that web app I worked on React JS for Frontend and Node
  JS for Backend.
• For State Management I worked on Redux JS.
• For database I used MongoDB and for OTP services I used
   Twilio communication API.</t>
  </si>
  <si>
    <t>C/C++, HTML, CSS, JavaScript, PHP, TypeScript, Node, Express, MongoDB, Firebase, TaliwindCss</t>
  </si>
  <si>
    <t>React.js (JavaScript/Typescript), Laravel (PHP), Vue.js, Next.js</t>
  </si>
  <si>
    <t>1.Public Speaking
2.Communication
3.Leadership</t>
  </si>
  <si>
    <t>Public Speaking</t>
  </si>
  <si>
    <t>Reading Books</t>
  </si>
  <si>
    <t>https://drive.google.com/drive/folders/1K8IE5S5yOpksy8AztC5C2wH58appgj92?usp=sharing</t>
  </si>
  <si>
    <t>https://drive.google.com/open?id=1pdzGABwzrbYoJUkwN-CvdKdtLZ85meJM</t>
  </si>
  <si>
    <t>https://drive.google.com/open?id=1src8GAuAxgHRiPfOUbh77vQiKvZHC3eL</t>
  </si>
  <si>
    <t>https://drive.google.com/open?id=1tdHm236PE1CkgGggHj2S6VtnbXy0U0qY</t>
  </si>
  <si>
    <t>0120190274</t>
  </si>
  <si>
    <t>LUV</t>
  </si>
  <si>
    <t>luv.25112000@gmail.com</t>
  </si>
  <si>
    <t>https://www.linkedin.com/in/luv-sharma-6576b6241</t>
  </si>
  <si>
    <t>PRAMOD KUMAR SHARMA</t>
  </si>
  <si>
    <t>VANDANA SHARMA</t>
  </si>
  <si>
    <t>H/O Pramod Vandana Sharma, Kasturba nagar , Line 1 , Guna -473001 (M.P)</t>
  </si>
  <si>
    <t>Python programming certification</t>
  </si>
  <si>
    <t>Worked as an intern for A2 Grade Construction firm
- learned inventory management
- learned labour and staff management
- learned accounts handling process and to maintain optimum balance</t>
  </si>
  <si>
    <t xml:space="preserve">Working as an intern for COUNCIL OF ROYAL ROOTS
- Content developer and social media marketing </t>
  </si>
  <si>
    <t>Design and Analysis of Paddock Stand</t>
  </si>
  <si>
    <t>AutoCAD, Fusion 360, CATIA, ANSYS, MATLAB, Chief architect</t>
  </si>
  <si>
    <t>A.)  AIR- 46, NATIONAL CREATIVITY APTITUDE TEST (NCAT-2020)
B.)  SAE-BAJA 2021- FINISHED AIR-2 BRAKES DEPARTMENT
C.)  INTER-SCHOOL DEBATE COMPETITION- WINNER(REPRESENTING MECHANICAL DEPARTMENT)</t>
  </si>
  <si>
    <t xml:space="preserve">FREE TRAINING
M/S BHAGWAT PRASAD CONSTRUCTIONS
TRAINING PERIOD- 1+ MONTH
</t>
  </si>
  <si>
    <t>https://drive.google.com/file/d/1aQTGcI8daIstzJ5_ucE3Pz3YRtKblPS8/view?usp=sharing</t>
  </si>
  <si>
    <t>https://drive.google.com/open?id=1Cpd8rbsk6Bpw3MUKJ89FJ2-L50peIrP8</t>
  </si>
  <si>
    <t>https://drive.google.com/open?id=1ffvdCBWJNvME_BfC5GaCspaIVcuMV4wF</t>
  </si>
  <si>
    <t>https://drive.google.com/open?id=1ENyZkNc7ylB8MVtK0TRKIfDDq9SeBBmL</t>
  </si>
  <si>
    <t>https://drive.google.com/open?id=1jz3LOf-xLfX4aZ6AtVORfRShlIXFQBr6</t>
  </si>
  <si>
    <t>0220200167</t>
  </si>
  <si>
    <t>SUDNYAN</t>
  </si>
  <si>
    <t xml:space="preserve">DHULAPPA </t>
  </si>
  <si>
    <t xml:space="preserve">WALE </t>
  </si>
  <si>
    <t>sudnyanwale1@gmail.com</t>
  </si>
  <si>
    <t>https://www.linkedin.com/in/sudnyan-wale-16b029241</t>
  </si>
  <si>
    <t xml:space="preserve">MAHADEVI </t>
  </si>
  <si>
    <t>At post kanegaon TQ lohara Dist Dharashiv</t>
  </si>
  <si>
    <t xml:space="preserve">Alandi near MIT academy of engineering </t>
  </si>
  <si>
    <t>"python certification "</t>
  </si>
  <si>
    <t>"autocad certification"</t>
  </si>
  <si>
    <t xml:space="preserve">Python certification off-line </t>
  </si>
  <si>
    <t xml:space="preserve">" C language certification" due to some problem regarding timing of clg and clss  I have dropped it but I can do it in holidays it means now </t>
  </si>
  <si>
    <t xml:space="preserve">Acme tool- drill robot with automation </t>
  </si>
  <si>
    <t>Pipe feeding mechanism.</t>
  </si>
  <si>
    <t>Python, C/C++, TypeScript</t>
  </si>
  <si>
    <t xml:space="preserve">AutoCAD, Fusion 360, SolidWorks, CATIA, ANSYS, MATLAB, Comsole </t>
  </si>
  <si>
    <t xml:space="preserve">Sanskrit, Kannada </t>
  </si>
  <si>
    <t>I have participated in drama in diploma and I got prize also. Then I have participated in chess and get prize there also .</t>
  </si>
  <si>
    <t>I have completed training of 6 week in Vikasratna Vilasrao Deshmukh Manjara Shetkari Sahakari Sakhar Karkhana Ltd .</t>
  </si>
  <si>
    <t xml:space="preserve">I have participated in cultural activities in diploma that is in drama with my frnds and got prize also there.Then I have participated in chess also </t>
  </si>
  <si>
    <t>https://drive.google.com/file/d/1GMG4afzYxteZmVQb3S2sNgdyb35S5kLc/view?usp=drivesdk</t>
  </si>
  <si>
    <t>https://drive.google.com/open?id=1BJp0rnW_07OHWlqxbZA9-gQvqIq9egka</t>
  </si>
  <si>
    <t>https://drive.google.com/open?id=1-yhBXGXgxeCixB6D4WV5Wlm2RHjnUuz6</t>
  </si>
  <si>
    <t>https://drive.google.com/open?id=1cjcqZwl5sAAxCPUCchtVtFeVsiDzo_zW</t>
  </si>
  <si>
    <t>https://drive.google.com/open?id=1VpOnT3Evmo6BT9vtWnKFmSTXYJIZxGF2</t>
  </si>
  <si>
    <t>0120190313</t>
  </si>
  <si>
    <t>MEGHARAJ</t>
  </si>
  <si>
    <t>JAWALE</t>
  </si>
  <si>
    <t>megharajjawale@gmail.com</t>
  </si>
  <si>
    <t>https://www.linkedin.com/in/megahraj-jawale-a4a25a213/</t>
  </si>
  <si>
    <t xml:space="preserve">SHRIKANT </t>
  </si>
  <si>
    <t>AT-Khamkarwadi POST-Terkheda DIST-Osmanabad</t>
  </si>
  <si>
    <t>Dehu Phata, Alandi</t>
  </si>
  <si>
    <t>66 percentile</t>
  </si>
  <si>
    <t xml:space="preserve">              Turbomachines
            </t>
  </si>
  <si>
    <t xml:space="preserve">CV102T Applied Mechanics
HP202LProfessional Communication
ME222 Engineering Informatics
ME234L Machines and Mechanics
ME234T Machines and Mechanism
              Turbomachines
              Machine design
              Skill developement course
             </t>
  </si>
  <si>
    <t>Interfacing of PIC microcontrollers by Anand Techno Creation,Sangali</t>
  </si>
  <si>
    <t>Internship on Autodesk Fusion 360</t>
  </si>
  <si>
    <t>Internship on Autodesk Fusion360</t>
  </si>
  <si>
    <t xml:space="preserve"> Vertical farming 
 1. In this project we have designed a Hydroponic type of vertical farming structure which is effectively used with very low water resources
2.	In this structure we have designed a fish tank also where can do a fishery which depends upon the waste generated in farming</t>
  </si>
  <si>
    <t>AUTOMATIC WASTE SEGREGATOR
   1.We are working on this project to segregate three type of waste  :Wet,Dry,Magnetic
2.In this project we using conveyor belt system ,electromagnet, blower to differentiate the waste</t>
  </si>
  <si>
    <t xml:space="preserve">AUTOMATIC WASTE SEGREGATOR
</t>
  </si>
  <si>
    <t xml:space="preserve">  https://drive.google.com/drive/folders/19M5l_1GIl4opxsAvy39K9VOEiDGkXviF?usp=sharing</t>
  </si>
  <si>
    <t>https://drive.google.com/open?id=1meBZUgxAwQt62HYe52K1xqxKQm3iPNOh</t>
  </si>
  <si>
    <t>https://drive.google.com/open?id=1qdrT1qpYcHkCnKpyYP5iKmb41XzMP_xV</t>
  </si>
  <si>
    <t>https://drive.google.com/open?id=19LoUEb67xQRzqfb3Q2OFeQnZ69xL5uD_</t>
  </si>
  <si>
    <t>0120190547</t>
  </si>
  <si>
    <t>PRAKHAR</t>
  </si>
  <si>
    <t>prakharadarsh39@gmail.com</t>
  </si>
  <si>
    <t xml:space="preserve">padarsh@mitaoe.ac.in </t>
  </si>
  <si>
    <t>https://in.linkedin.com/</t>
  </si>
  <si>
    <t>BIJAY KUMAR</t>
  </si>
  <si>
    <t>House no.198, Near science college, Patna, Bihar-800006</t>
  </si>
  <si>
    <t>Company Name : Probion Tech Pvt. Ltd.
In this internship, I am being interned as a person who will be working in a structural steel detailing. I will also provide fabrication shop drawings and erection drawings for field use. in addition to this, i will be studying and performing the analysis of architectural and structural drawings and also detailing of simple members followed by communication with seniors for solving the queries.</t>
  </si>
  <si>
    <t>Design aspects of vertical farming structures using IOT</t>
  </si>
  <si>
    <t xml:space="preserve">SAE AERO CHALLENGE </t>
  </si>
  <si>
    <t>https://drive.google.com/file/d/1GFDYXG7kxg7uqSko3SgGHr7LsJONTyuk/view?usp=sharing</t>
  </si>
  <si>
    <t>https://drive.google.com/open?id=1HHWhgd0Gszl72RWEJH2EliYWP_EZWTXS</t>
  </si>
  <si>
    <t>https://drive.google.com/open?id=1P3cI70NNZtKStgWRy1YEx8yiwTslPBJ7</t>
  </si>
  <si>
    <t>https://drive.google.com/open?id=1c5fs6nwH3mNMff2CprQafNWpad_oOy18</t>
  </si>
  <si>
    <t>https://drive.google.com/open?id=1TYmBZOmndSoIru8vesK4RehWqrxRGZzj</t>
  </si>
  <si>
    <t>0120190468</t>
  </si>
  <si>
    <t>CHAITANY</t>
  </si>
  <si>
    <t>chaitany31001@gmail.com</t>
  </si>
  <si>
    <t xml:space="preserve">ckdumbre@mitaoe.ac.in </t>
  </si>
  <si>
    <t>https://www.linkedin.com/in/chaitany-dumbre-a03771228</t>
  </si>
  <si>
    <t>KIRAN BHIVAJI DUMBRE</t>
  </si>
  <si>
    <t>ARUNA KIRAN DUMBRE</t>
  </si>
  <si>
    <t xml:space="preserve">At post-otur, tal-junner, dist-Pune, Pin-412409 </t>
  </si>
  <si>
    <t>At post-otur,tal-junner,dist-Pune ,Pin-412409</t>
  </si>
  <si>
    <t>Not given in sy</t>
  </si>
  <si>
    <t>HP203L - LIBERAL LEARNING</t>
  </si>
  <si>
    <t>AWS Certified cloud practitioner.</t>
  </si>
  <si>
    <t>Infosys spring board java essentials</t>
  </si>
  <si>
    <t xml:space="preserve">Aws solution architect </t>
  </si>
  <si>
    <t xml:space="preserve">
Internship:Auto Cad, AUTODESK Design Academy
Project: Rain water harvesting</t>
  </si>
  <si>
    <t>Internship:Machine learning foundation ,University of Washington
Project: IOT based student attendance system</t>
  </si>
  <si>
    <t>Internship:Cognizant ,Digital Nurture Program Domain: AWS
Project: ROM analysis in ansys</t>
  </si>
  <si>
    <t>Rom analysis in the ansys</t>
  </si>
  <si>
    <t>A' grade in the Íntermediate drawing exam</t>
  </si>
  <si>
    <t>AWS Certified cloud practitioner</t>
  </si>
  <si>
    <t>https://drive.google.com/drive/folders/1-KZMi-Rs6pxgovHADxLeM4lCPlsMugA0?usp=sharing</t>
  </si>
  <si>
    <t>https://drive.google.com/open?id=1joXQRv505EowSZfIFtb9OnFOX3Y7EA-3</t>
  </si>
  <si>
    <t>https://drive.google.com/open?id=1dVoy1XyC3GRRJUuCHMRPuF7HzFM8V7_7</t>
  </si>
  <si>
    <t>https://drive.google.com/open?id=1L687aOu28tp4XOV6cnWvDFsk0jgLhqcJ</t>
  </si>
  <si>
    <t>https://drive.google.com/open?id=1bMvRa4kWSVS-KxoD8on__Kwv-SHPV3Y5</t>
  </si>
  <si>
    <t>0220200131</t>
  </si>
  <si>
    <t>SHELKE</t>
  </si>
  <si>
    <t>sumedhshelke048@gmail.com</t>
  </si>
  <si>
    <t xml:space="preserve">sumedh.shelke@mitaoe.ac.in </t>
  </si>
  <si>
    <t>www.linkedin.com/in/sumedh-shelke-672864241</t>
  </si>
  <si>
    <t>MAHAMAYA</t>
  </si>
  <si>
    <t xml:space="preserve">AT Rajnagar pawdewadi naka Nanded </t>
  </si>
  <si>
    <t xml:space="preserve">Alandi pune </t>
  </si>
  <si>
    <t xml:space="preserve">Water cleaning mechanism </t>
  </si>
  <si>
    <t>Eji learning solar project</t>
  </si>
  <si>
    <t xml:space="preserve">Wind lens technology for charging the electric vehicles </t>
  </si>
  <si>
    <t xml:space="preserve">AutoCAD, Fusion 360, CATIA, ANSYS, Camsol </t>
  </si>
  <si>
    <t>https://drive.google.com/drive/folders/1Ce4vkIXwMdujrCpf1p8O7W9nNTZaYDmG</t>
  </si>
  <si>
    <t>https://drive.google.com/open?id=1VtgZ15ZAa_BdmJGGcKaz42xQ_JPu151l</t>
  </si>
  <si>
    <t>https://drive.google.com/open?id=1P5A8ErMzB0iozmxoAeA2j9ypcW-UIjn1</t>
  </si>
  <si>
    <t>https://drive.google.com/open?id=1fzxyU0HdEWV-X2x6h8ad0a87x2jP1fe2</t>
  </si>
  <si>
    <t>https://drive.google.com/open?id=1rOlgoUHfEL1NxbHRPrHVfhjy8XY1BAOH</t>
  </si>
  <si>
    <t>https://drive.google.com/open?id=10lufERBTNl7EL34w8rx5D4xb-7aFFDQ-</t>
  </si>
  <si>
    <t>https://drive.google.com/open?id=171k3aXhYXayGfXiypasd36689krDw2mp</t>
  </si>
  <si>
    <t>0120190040</t>
  </si>
  <si>
    <t xml:space="preserve">PRATIK </t>
  </si>
  <si>
    <t xml:space="preserve">VYANKATESH </t>
  </si>
  <si>
    <t>BHANGE</t>
  </si>
  <si>
    <t>pratikbhange2001@gmail.com</t>
  </si>
  <si>
    <t>Pvbhange@mitaoe.ac.in</t>
  </si>
  <si>
    <t>https://www.linkedin.com/in/pratik-bhange-9bb1ab206</t>
  </si>
  <si>
    <t xml:space="preserve">VYANKATESH BHANGE </t>
  </si>
  <si>
    <t xml:space="preserve">SARASWATI BHANGE </t>
  </si>
  <si>
    <t>Sr.No 111/112 Pratik niwas,near mashoba temple, lane No 14, wadeshawar nagar, sutardara kothrud pune 38</t>
  </si>
  <si>
    <t>EX102T
CS101L
AS105T</t>
  </si>
  <si>
    <t xml:space="preserve">Coursera:Python for everyone </t>
  </si>
  <si>
    <t xml:space="preserve">Infosys springboard: Python </t>
  </si>
  <si>
    <t xml:space="preserve">Karan Builders as a intern in maintance department </t>
  </si>
  <si>
    <t>Intern at Bharat Forge ltd</t>
  </si>
  <si>
    <t>Land mine detection and surveillance robot</t>
  </si>
  <si>
    <t>AutoCAD, Fusion 360, SolidWorks, CATIA, ANSYS, Mx pastran</t>
  </si>
  <si>
    <t>Member of college magzine
Work as a co-author for rosewood publication</t>
  </si>
  <si>
    <t>https://drive.google.com/drive/folders/1Rom2vIO_scyFtkWXKMjB5w-srvrT80oU</t>
  </si>
  <si>
    <t>https://drive.google.com/open?id=1aDfoC4fcZVzzu8H-da1jBRtu321x8p8X</t>
  </si>
  <si>
    <t>https://drive.google.com/open?id=10jU6-o40_QVddS6EaMOP8N0cxgd347Wv</t>
  </si>
  <si>
    <t>0120190525</t>
  </si>
  <si>
    <t xml:space="preserve">RAMDAS </t>
  </si>
  <si>
    <t>abhishekwagh003@gmail.com</t>
  </si>
  <si>
    <t xml:space="preserve">abhishekwagh@mitaoe.ac.in </t>
  </si>
  <si>
    <t>https://www.linkedin.com/in/abhishek-wagh-49b797241</t>
  </si>
  <si>
    <t>RAMDAS VITHOBA WAGH</t>
  </si>
  <si>
    <t>SARASWATI RAMDAS WAGH</t>
  </si>
  <si>
    <t>at.jalgaon po.pimpalgaon ta.sindkhedraja D.buldana</t>
  </si>
  <si>
    <t>At.Alandi ta.khed D.pune</t>
  </si>
  <si>
    <t>Basic of fusion 360</t>
  </si>
  <si>
    <t>entrepreneurship development</t>
  </si>
  <si>
    <t xml:space="preserve">Business development and marketing </t>
  </si>
  <si>
    <t>Mine detection and diffusion robot</t>
  </si>
  <si>
    <t xml:space="preserve">Participate in college sports </t>
  </si>
  <si>
    <t>https://drive.google.com/file/d/1Cdgrsp4IVtRwVMUAcDyecZ33Vg5Jn91q/view?usp=drivesdk</t>
  </si>
  <si>
    <t>https://drive.google.com/open?id=10GwXoOXQs9pQ43QMnqm8D49V3XACkIoU</t>
  </si>
  <si>
    <t>https://drive.google.com/open?id=1pjTICo1Wtq-iTomAI4HGBH2N2qghIHq2</t>
  </si>
  <si>
    <t>0120190530</t>
  </si>
  <si>
    <t>SAHARSH</t>
  </si>
  <si>
    <t>DALAL</t>
  </si>
  <si>
    <t>saharsh.dalal2001@gmail.com</t>
  </si>
  <si>
    <t>www.linkedin.com/in/SaharshD</t>
  </si>
  <si>
    <t>Flat No. A- 405, Polite Panorama, Gaikwad Nagar, Dighi, Pune</t>
  </si>
  <si>
    <t>Robotic Process Automation(RPA) : Blue Prism , AICTE EduSkills Foundation</t>
  </si>
  <si>
    <t xml:space="preserve">Autodesk Fusion 360 : AutoDesk Design Academy
Autodesk AutoCAD : AutoDesk Design Academy
MATLAB Simulink : MathWorks Training Services
MATLAB Onramp : MathWorks Training Services
</t>
  </si>
  <si>
    <t>Introduction to 3D modelling : Autodesk Design Academy
Python data Structures : Michigan University</t>
  </si>
  <si>
    <t>Team Niyudrath Racing (Auto sports club MITAOE, Rollcage department)</t>
  </si>
  <si>
    <t>Marketing , Sales and design Intern at Gulmohar Engineering Works, Bhosari MIDC, Pune</t>
  </si>
  <si>
    <t>Solar operated Automated Solar panel cleaning robot.</t>
  </si>
  <si>
    <t>AutoCAD, Fusion 360, CATIA, ANSYS, Adobe XD, MATLAB</t>
  </si>
  <si>
    <t>BAJA SAE India 2021-22,AIR 15</t>
  </si>
  <si>
    <t>BAJA SAE India Season 2021-2022, AIR 15</t>
  </si>
  <si>
    <t>MATLAB Simulink : MathWorks Training Services
MATLAB Onramp : MathWorks Training Services 
Upskill Engineering , Project Training</t>
  </si>
  <si>
    <t>Bike Riding, Trekking, Exploring new places, YouTube content creation</t>
  </si>
  <si>
    <t>https://drive.google.com/file/d/1Y1ue6-A-oHPt9LaUjFwnHchx4jslBWJ2/view?usp=sharing</t>
  </si>
  <si>
    <t>https://drive.google.com/open?id=1i9T3rbD5Hrij5DJ_TW5ixow15L1xHCV5</t>
  </si>
  <si>
    <t>https://drive.google.com/open?id=1jtvfvLkBmaxHHaXQGgIwi-vPOu7W2Lr8</t>
  </si>
  <si>
    <t>https://drive.google.com/open?id=1dzCKfLN7fExBUTEsTSq6--kPmiQoBerY</t>
  </si>
  <si>
    <t>https://drive.google.com/open?id=1EeuL8FbdAsFYg2ZgneQvi5BxNhPT91Fe</t>
  </si>
  <si>
    <t>https://drive.google.com/open?id=1jw1q-N0Tp-GxHnsTjfuZzaxl9_usGMlv</t>
  </si>
  <si>
    <t>https://drive.google.com/open?id=1Q5071LLRoGr3yWTpvkXkQPR0eBv_3ZuW</t>
  </si>
  <si>
    <t>mapawar831@gmail.com</t>
  </si>
  <si>
    <t>https://www.linkedin.com/in/mayur-pawar-83r2001</t>
  </si>
  <si>
    <t>ANIL PAWAR</t>
  </si>
  <si>
    <t>VAISHALI PAWAR</t>
  </si>
  <si>
    <t>33, "VINAYAK", Shivaji Nagar - 2, Sakri, Tal. :- Sakri, Dist. :- Dhule</t>
  </si>
  <si>
    <t>Medicines At Your Fingertips</t>
  </si>
  <si>
    <t>Online Internship for Non Computer &amp; IT Students</t>
  </si>
  <si>
    <t xml:space="preserve">Wind Lens Charging System for Electric Vehicles </t>
  </si>
  <si>
    <t>https://drive.google.com/drive/folders/1BoUxwe-zBE8DhK-4rxHXo_uZMucLXhLK?usp=sharing</t>
  </si>
  <si>
    <t>https://drive.google.com/open?id=1bCP6F5iOuMt-noQxVI00sppcB2CXPe9l</t>
  </si>
  <si>
    <t>https://drive.google.com/open?id=1Wuz5VbouT-_5JBPO1mbdVp4xQb61E4ZX</t>
  </si>
  <si>
    <t>0120190592</t>
  </si>
  <si>
    <t>abhishekmali9191@gmail.com</t>
  </si>
  <si>
    <t>https://www.linkedin.com/in/abhishek-mali-02879a241</t>
  </si>
  <si>
    <t>SUNIL PRABHAKAR MALI</t>
  </si>
  <si>
    <t>SEEMA SUNIL MALI</t>
  </si>
  <si>
    <t>Ayodhya Nagar, Varangaon Tal. Bhusawal
Dist. Jalgaon</t>
  </si>
  <si>
    <t>Niwrutti Niwas, behind Premsai Appartment, Alandi</t>
  </si>
  <si>
    <t>Microsoft Python certification</t>
  </si>
  <si>
    <t>Technology consultant in Deloitte</t>
  </si>
  <si>
    <t>Multiway Dumping trolley System</t>
  </si>
  <si>
    <t>https://drive.google.com/drive/folders/1zLLY45QAltHj8P_iNSnDzBWIJ5N-EIv8</t>
  </si>
  <si>
    <t>https://drive.google.com/open?id=1r4PDAtfrjih_p6Vr7eUMktiOjj-NO5qV</t>
  </si>
  <si>
    <t>https://drive.google.com/open?id=1nRNQoSWPytoeu3rDLFNYMOxKXOfEgsHf</t>
  </si>
  <si>
    <t>0120190497</t>
  </si>
  <si>
    <t>NANDU</t>
  </si>
  <si>
    <t>shreyashthorat10@gmail.com</t>
  </si>
  <si>
    <t>https://www.linkedin.com/in/shreyash-thorat-46a4a21ab/</t>
  </si>
  <si>
    <t>Ekta co-op society, Mangal Murti Nagar, Jail Road, Nashik</t>
  </si>
  <si>
    <t>Near M.R shopping mall, Dehu Phata, Alandi</t>
  </si>
  <si>
    <t>expand_more Programming Fundamentals using Python - Science Graduates - Foundation Program</t>
  </si>
  <si>
    <t>Course on Intelligent Machining</t>
  </si>
  <si>
    <t>Autosport's Club Engineering Intern</t>
  </si>
  <si>
    <t>Explore VR LLP</t>
  </si>
  <si>
    <t>Controlling of multiple robotic manipulator using single control unit</t>
  </si>
  <si>
    <t>Python, Dart</t>
  </si>
  <si>
    <t>AutoCAD, Fusion 360, SolidWorks, CATIA, ANSYS, Figma, Proteus, MATLAB, Creo, Altair Simsolid, Altair Hyperworks, Blender, Luxion Keyshot, Ultimaker Cura, Tableau</t>
  </si>
  <si>
    <t>1) Article on Bio-robotics published in college magazine during First Year</t>
  </si>
  <si>
    <t>1) AIR 1 SoFe organized by IMechE
2) Under top 30 in Tableau DataViz Challenge 2021
3) AIR 1 - Team Niyudrath Karting at Edgeline Go Kart Championship S01
4) AIR 2 - Team Niyudrath Karting at Edgeline Go Kart Championship S02</t>
  </si>
  <si>
    <t>1) Wisdomatic Swarms Edgeline Go Kart Championship S01 &amp; S02
2) IKR (Indian Karting Race ) S07 2022 - IC category
3) IKC (Indian Karting Championship) S05 2022 - EV category
4) IMechE Speak Out For Engineering (SoFE) 
5) Student council member FY &amp; Sports Co-ordinator</t>
  </si>
  <si>
    <t>https://drive.google.com/drive/folders/1PI34fOIO-1gzuCXsXFANiGuoaAY4FtHt?usp=sharing</t>
  </si>
  <si>
    <t>https://drive.google.com/open?id=1MJ0KSIG4RsQkv6h_jAqeY1iPCXn9XNlU</t>
  </si>
  <si>
    <t>https://drive.google.com/open?id=1I3amGzgiFHe_luXBJQjDTpYEoaf7-MxU</t>
  </si>
  <si>
    <t>https://drive.google.com/open?id=119ZFce6J3LgnLJykJ9k0hW2egvIZcyBB</t>
  </si>
  <si>
    <t>https://drive.google.com/open?id=12gvH-bS28N3mbrqqx9zYIX9CEnZTN7v1</t>
  </si>
  <si>
    <t>0120190459</t>
  </si>
  <si>
    <t>KRUSHNA</t>
  </si>
  <si>
    <t>BALASAEB</t>
  </si>
  <si>
    <t>KOLASE</t>
  </si>
  <si>
    <t>krushnakolase1184@gmail.com</t>
  </si>
  <si>
    <t>https://www.linkedin.com/in/krushna-kolase-72406b1aa/</t>
  </si>
  <si>
    <t>KOLASE BALASAHEB DYNANDEO</t>
  </si>
  <si>
    <t>KOLASE RAJASHREE BALASAHEB</t>
  </si>
  <si>
    <t>A/P Kolase Wasti, Umbergaon, Tal: Shrirampur, Dist: Ahmednagar</t>
  </si>
  <si>
    <t>"CS101T", "CH101T"</t>
  </si>
  <si>
    <t>"CATIA V5 Fundamental- INDIA"</t>
  </si>
  <si>
    <t>"Programming fundamentals using PYTHON"</t>
  </si>
  <si>
    <t>PROCECA ENGINEERS &amp; AUTOMATION PVT. LTD.</t>
  </si>
  <si>
    <t>NAKODA MACHINERY, Ahmednagar</t>
  </si>
  <si>
    <t>Single Fluid Heat transfer system-(Proceca Engineers &amp; Automation PVT. LTD.)</t>
  </si>
  <si>
    <t>Optimization of Machining parameters for NIMONIC C263 super alloy Turning</t>
  </si>
  <si>
    <t>Python, C/C++, MATLAB, Tableau</t>
  </si>
  <si>
    <t>"Tableau DataViz Challenge 2021","Introduction to Finite Element Analysis using ANSYS", "Energy Audit for Industrial Application ", "MATLAB Onramp"</t>
  </si>
  <si>
    <t>CAD CAM GURU ,Chinchwad (CATIA V5 Fundamentals - INDIA)</t>
  </si>
  <si>
    <t>https://drive.google.com/file/d/1aT3VZ6EdWkY68wQPoELzW4W-valbAxJq/view?usp=sharing</t>
  </si>
  <si>
    <t>https://drive.google.com/open?id=1qmhVJyKXD_O1SwGZXVwcfl1rKjfM5-pQ</t>
  </si>
  <si>
    <t>https://drive.google.com/open?id=1LjdPYsCs41kfrlRE9Czi4GfnFPQhhJ8i</t>
  </si>
  <si>
    <t>https://drive.google.com/open?id=1AJ_gHkm3blhjyJdQIAnOuzvumB_hE_Q2</t>
  </si>
  <si>
    <t>https://drive.google.com/open?id=17N2ya3mvJdakuSnOz2mrzZ9EIfzxJXu_</t>
  </si>
  <si>
    <t>https://drive.google.com/open?id=1BWR1FAW3o1kISOzEu3JUEg0x4P22j4L_</t>
  </si>
  <si>
    <t>0120190008</t>
  </si>
  <si>
    <t>SOLANKI</t>
  </si>
  <si>
    <t>solankimohitr1810@gmail.com</t>
  </si>
  <si>
    <t>mrsoanki@mitaoe.ac.in</t>
  </si>
  <si>
    <t>https://www.linkedin.com/in/designer-mohit/</t>
  </si>
  <si>
    <t>RAJENDRA SOLANKI</t>
  </si>
  <si>
    <t>SHEETAL SOLANKI</t>
  </si>
  <si>
    <t>Flat no.19, Thakkar Building, Ashoknagar, Satpur, Nashik, 422012.</t>
  </si>
  <si>
    <t>Falt No. 305, Indryani Hills, Alandi, pune, 412105</t>
  </si>
  <si>
    <t xml:space="preserve"> Introduction to Python</t>
  </si>
  <si>
    <t>Infosys Springboard Python</t>
  </si>
  <si>
    <t>Intern At Invictus Robotics</t>
  </si>
  <si>
    <t>REMOTE WEAPON STATION</t>
  </si>
  <si>
    <t>AutoCAD, Fusion 360, SolidWorks, CATIA, ANSYS, Proteus</t>
  </si>
  <si>
    <t xml:space="preserve">Team Captain at Robotics Club "Team Invictus" </t>
  </si>
  <si>
    <t>1) Winner of national level competition in "MINDSPARK 2021" COEP - Competition "Search and Destroy" (Robotics)
2) 1st Runner-up of national level competition in "Techno-sci 2022" MMIT - Competition "ROBO WAR"
3) Selected for national level in ROBOCON 2022
4) Winner of national level competition in "TechnoVanza 2020" VJTI - Competition "ROBO_STRIKE" (Robotics)</t>
  </si>
  <si>
    <t>https://drive.google.com/drive/folders/1xjGPFRSdmB5OotgoFKGQW7rvCtVRI1lE?usp=sharing</t>
  </si>
  <si>
    <t>https://drive.google.com/open?id=1ahfxO1aOFOL9lSQjwqvK_lN0ht8rpCWV</t>
  </si>
  <si>
    <t>https://drive.google.com/open?id=1EsKh6nAINYiaeZfgHwlr8EX2bwSLRbg3</t>
  </si>
  <si>
    <t>https://drive.google.com/open?id=1IWpDD2WdTO-Gga-ATUpKnoBZSfeAwi0n</t>
  </si>
  <si>
    <t>https://drive.google.com/open?id=1sv7qmYM3_R3qIWdtjxiYH12bPCr0xy64</t>
  </si>
  <si>
    <t>https://drive.google.com/open?id=1OOb2_EZakQnZ44jlnhfrvZNPaji1HLfj</t>
  </si>
  <si>
    <t>https://drive.google.com/open?id=1T8a6dsgXd5RROgE8f-h393gBH1SZyM7Q</t>
  </si>
  <si>
    <t>0120190535</t>
  </si>
  <si>
    <t>NEHA</t>
  </si>
  <si>
    <t>CHITRAKAR</t>
  </si>
  <si>
    <t>nehachitrakar2608@gmail.com</t>
  </si>
  <si>
    <t>https://www.linkedin.com/in/neha-chitrakar-2b50831a9</t>
  </si>
  <si>
    <t>ARUN TULSHIDAS CHITRAKAR</t>
  </si>
  <si>
    <t>MEENAL ARUN CHITRAKAR</t>
  </si>
  <si>
    <t>A/P - Gargoti, Patgoan road, Ghar kr. 711, gargoti- 416209</t>
  </si>
  <si>
    <t>A/P- Alore, Room no.- TD- 5/1,</t>
  </si>
  <si>
    <t>ME104T - engineering graphics</t>
  </si>
  <si>
    <t>1. Coursera - Computational Fluid Mechanics  Airflow Around a Spoiler 2.United Nations Environment Programme (UNEP) (Edx) - Nature based Solutions for Disaster and Climate Resilience 3.University of California San Deigo (Coursera)- Our enery future 4.Mathworks - MATLAB Onramp 5.University of Michigan (Coursera) - Python for everybody</t>
  </si>
  <si>
    <t xml:space="preserve"> 1.United Nations Environment Programme (UNEP) (Edx) - Nature based Solutions for Disaster and Climate Resilience 
2.University of California San Deigo (Coursera)- Our enery future 
3.Mathworks - MATLAB Onramp 
4.University of Michigan (Coursera) - Python for everybody
5.MIT Academy Of Engineering - Internship in designing and analysis of ATV
6.NITTTR CHANDIGARH START-UP - 3D designing course
7. MIT academy of engineering - internship on RC Plane and Drone Design</t>
  </si>
  <si>
    <t>Mathworks -  MATLAB fundamentals</t>
  </si>
  <si>
    <t>internship on “RC Plane and Drone Design” in MIT AERO, MIT academy of Engineering
 from June 15th 2020 to July 16th 2020.
learnt and implemented following points during the internship:
1. RC Plane design 
2. Design of Quad-copter 
3. Use of ANSYS software 
4. Applications</t>
  </si>
  <si>
    <t>Designing and analysis of ATV
Autosports club MIT Academy of Engineering
from 1st June 2021 to 31st August 2021
learnt and implemented following points during the internship:
1. Using CATIA software for designing.
2. Use of ANSYS Software
3.Designing a steering system for ATV
4. Using SHARK LOTUS Software.
5. Use of MSC adams software.
6. Worked as a member of management team</t>
  </si>
  <si>
    <t>Saptasati industries, die and sheet metal forming industry, Moshi ,Pune
Working as a design intern</t>
  </si>
  <si>
    <t>Designing of innovative verticle</t>
  </si>
  <si>
    <t xml:space="preserve">1. Worked as a ATV steering team member for BAHA competition
2. Participation in different technical quizzes
 </t>
  </si>
  <si>
    <t>State level Taekwondo player</t>
  </si>
  <si>
    <t xml:space="preserve">1. Vice-President at foreign language club MITAOE (2022- present)
2. Management and vocalist team member at GOONJ ( Music club MITAOE)
3.Space shuttle member at UNDER 25 MITAOE (2020)
4.Content creator at SNAPCHAT SPOTLIGHT event (2021)
5. Participation Club mela MITAOE
6. Performed songs in college gathering (2019 &amp; 2022)
7. Performance in UNDER 25 event(2019)
</t>
  </si>
  <si>
    <t>https://drive.google.com/file/d/15BIrPVXw4oGc8xsR2u3yitPbAfIWWvmo/view?usp=sharing</t>
  </si>
  <si>
    <t>https://drive.google.com/open?id=182--BOAgVuTz3rmHPbnfgDaY1wcb4J3F</t>
  </si>
  <si>
    <t>https://drive.google.com/open?id=1qCo_HznSLpdHGRu-07ZK1Ht088m84dS-</t>
  </si>
  <si>
    <t>https://drive.google.com/open?id=1wqqrJpyXREiDIjeFMd7F7WrwAiEgb3Tz</t>
  </si>
  <si>
    <t>https://drive.google.com/open?id=1keoyWPmMg828mSOVMzz8dhCgUqlqACTL</t>
  </si>
  <si>
    <t>https://drive.google.com/open?id=1bnGJSil0sl13vFE6Y1_gxP-FfDHwFg7g</t>
  </si>
  <si>
    <t>https://drive.google.com/open?id=1wZBLBWWJXbRtLEzlnNji819jOYQ5ZQQk</t>
  </si>
  <si>
    <t>0120190134</t>
  </si>
  <si>
    <t xml:space="preserve">SATOTE </t>
  </si>
  <si>
    <t>nilimasatote299@gmail.com</t>
  </si>
  <si>
    <t xml:space="preserve">ngsatote@mitaoe.ac.in </t>
  </si>
  <si>
    <t>https://www.linkedin.com/mwlite/in/nilima-satote-88321623b</t>
  </si>
  <si>
    <t xml:space="preserve">15 aanand nagar Sakri </t>
  </si>
  <si>
    <t xml:space="preserve">Mit aalandi pune </t>
  </si>
  <si>
    <t xml:space="preserve">Engineering mechanics </t>
  </si>
  <si>
    <t>Environmental (Auto Cluster)</t>
  </si>
  <si>
    <t xml:space="preserve">Auto Cluster </t>
  </si>
  <si>
    <t xml:space="preserve">Airbag vehicle for two wheeler </t>
  </si>
  <si>
    <t xml:space="preserve">Online course </t>
  </si>
  <si>
    <t xml:space="preserve">Certificate of python </t>
  </si>
  <si>
    <t xml:space="preserve">Dance , Drama , Acting </t>
  </si>
  <si>
    <t>https://drive.google.com/file/d/1vtmbQuAJkfXpzY6E8tkiHV011kzLs1Ns/view?usp=drivesdk</t>
  </si>
  <si>
    <t>https://drive.google.com/open?id=1aHSXqoJwP5Z2JOItw6hluoytOwCkzkm7</t>
  </si>
  <si>
    <t>https://drive.google.com/open?id=11PpZ0MGbB1ilp9DZc8_-InF1Q3gfr40U</t>
  </si>
  <si>
    <t>vaibhav.gaikwad@mitaoe.ac.in</t>
  </si>
  <si>
    <t>0220200032</t>
  </si>
  <si>
    <t>GORAKH</t>
  </si>
  <si>
    <t>vvshinde@mitaoe.ac.in</t>
  </si>
  <si>
    <t>0220190114</t>
  </si>
  <si>
    <t xml:space="preserve">VARSHARANI </t>
  </si>
  <si>
    <t>Shindevarsharani241@gmail.com</t>
  </si>
  <si>
    <t xml:space="preserve">Vvshinde@mitaoe.ac.in </t>
  </si>
  <si>
    <t>https://www.linkedin.com/in/varsharani-shinde-a921a4215</t>
  </si>
  <si>
    <t>AP. Kande tal shirala dist sangli</t>
  </si>
  <si>
    <t xml:space="preserve">Core java , sql , manual testing </t>
  </si>
  <si>
    <t xml:space="preserve">Green house montoring system </t>
  </si>
  <si>
    <t>Agriculture spraye robot using iot</t>
  </si>
  <si>
    <t>Diploma project  on home automation using iot best award in collage and  state level</t>
  </si>
  <si>
    <t xml:space="preserve">RUBICON enterprises are java SCRIPT </t>
  </si>
  <si>
    <t xml:space="preserve">Best award from diploma college </t>
  </si>
  <si>
    <t>https://drive.google.com/open?id=1ZpX-m0HqmFDvzz9mLrLrvsFq4S77BwKh</t>
  </si>
  <si>
    <t>https://drive.google.com/open?id=1i-poBBQhZOB0cEKiUsQg3pOfW2miEyZC</t>
  </si>
  <si>
    <t>https://drive.google.com/open?id=1HTIe0Qw_TpBt8Yt85GBUHUZr0nocvM44</t>
  </si>
  <si>
    <t>tirupati.khaple@mitaoe.ac.in</t>
  </si>
  <si>
    <t>0220200064</t>
  </si>
  <si>
    <t>TIRUPATI</t>
  </si>
  <si>
    <t>JANARDHAN</t>
  </si>
  <si>
    <t>KHAPLE</t>
  </si>
  <si>
    <t>tirupatikhaple@gmail.com</t>
  </si>
  <si>
    <t>https://www.linkedin.com/mwlite/in/tirupati-khaple-016875236</t>
  </si>
  <si>
    <t>At. Kumdal, TQ. Udgir, Dist. Latur - 413517</t>
  </si>
  <si>
    <t>Internship(Advance excel)
Project (Calculation of carbon footprint of mitaoe campus Alandi, Pune)</t>
  </si>
  <si>
    <t>Internship (Survey of India Government agency)
Project ( Design an multi utility tunnel )</t>
  </si>
  <si>
    <t>Bubble Deck slab</t>
  </si>
  <si>
    <t>AutoCAD, Fusion 360, ANSYS, MATLAB, REVIT AND ETAB</t>
  </si>
  <si>
    <t>I'm GS in diploma final year.
So I'm student team leader of my college.
We organise min 5 events per department
So likewise each department has to conduct 5 events.</t>
  </si>
  <si>
    <t>https://drive.google.com/drive/folders/12jp9Gm1mVdBn5bvgpYtN8NZj8wg32igw</t>
  </si>
  <si>
    <t>https://drive.google.com/open?id=1pUasLidnZbVbDbuN65CVti8Mk20gYIJc</t>
  </si>
  <si>
    <t>https://drive.google.com/open?id=132D3IqLFlUeVmboXb98r5ay06Uc1BxiV</t>
  </si>
  <si>
    <t>akash.kachgunde@mitaoe.ac.in</t>
  </si>
  <si>
    <t>0120200485</t>
  </si>
  <si>
    <t xml:space="preserve">AKASH   </t>
  </si>
  <si>
    <t>KACHGUNDE</t>
  </si>
  <si>
    <t>akashkachgunde3@gmail.com</t>
  </si>
  <si>
    <t>https://www.linkedin.com/in/akash-kachgunde-739942230</t>
  </si>
  <si>
    <t xml:space="preserve">JANABAI </t>
  </si>
  <si>
    <t>Anjanwada, Hingoli, Maharashtra, 431505</t>
  </si>
  <si>
    <t xml:space="preserve">Varsha Hostel, Devhu  phata, Alandi, Pune </t>
  </si>
  <si>
    <t>AS105L Calculus &amp; Differential equations
CV204L GEOTECHNICAL ENGINEERING 
CV204T GEOTECHNICAL ENGINEERING
CV205L BUILDING DESIGN &amp; CONSTRUCTION
CV206L MECHANICS OF SOLIDS
CV232L SKILL DEVELOPMENT COURSE - REVIT
ME221L MATERIAL ENGINEERING
ME221T MATERIAL ENGINEERING</t>
  </si>
  <si>
    <t xml:space="preserve">ME105L ENGINEERING GRAPHICS
AS107T. STATISTICS &amp; INTRGRAL CALCULUS </t>
  </si>
  <si>
    <t>MAHa DBT</t>
  </si>
  <si>
    <t>https://drive.google.com/drive/folders/1f8F5KF9slF4uO3sJAZENxS7SoUbu_d5H</t>
  </si>
  <si>
    <t>https://drive.google.com/open?id=1haU0dTbQ-NucrTYJjp4wp-xUoKr97fUr</t>
  </si>
  <si>
    <t>https://drive.google.com/open?id=1EBkGgCMMxmBoR3YcBcXvFvt6abB91LK-</t>
  </si>
  <si>
    <t>https://drive.google.com/open?id=1-eGVid4c4Z9Brtvfe5hvLDtFFD9wM-nq</t>
  </si>
  <si>
    <t>utkarsh.suryaawanshi@mitaoe.ac.in</t>
  </si>
  <si>
    <t>0220200156</t>
  </si>
  <si>
    <t>UTKARSH</t>
  </si>
  <si>
    <t>PURUSHOTTAM</t>
  </si>
  <si>
    <t>SURYAWANSHI</t>
  </si>
  <si>
    <t>https://www.linkedin.com/in/utkarsh-suryawanshi-8a2797241</t>
  </si>
  <si>
    <t>6,Laxmi colony opp.telephone office,gondur road ,Deopur Dhule-424005</t>
  </si>
  <si>
    <t>Self suspension wheel</t>
  </si>
  <si>
    <t>Maruti Suzuki authorized service station and consultancy</t>
  </si>
  <si>
    <t xml:space="preserve">Self suspension wheel ,optimized bus body design </t>
  </si>
  <si>
    <t xml:space="preserve">1)Autosport club Team niyudrath karting at MITAOE 
,Alandi 2)Member at Mechanical Engineering student association </t>
  </si>
  <si>
    <t>Post matric scholarship to VJNT student</t>
  </si>
  <si>
    <t>Work at Treasurer post in Mechanical Engineering student association at MITAOE ,Alandi</t>
  </si>
  <si>
    <t>https://drive.google.com/folderview?id=111EeQVTFn0t1XHpF1TvK9yh6kf8Bp8d8</t>
  </si>
  <si>
    <t>https://drive.google.com/open?id=1LBME0hEAlBl-6h0CMX4yMmlNXbk_saY2</t>
  </si>
  <si>
    <t>https://drive.google.com/open?id=1tH7VyUJdGDM9kZ0V4Jry85djW7e1q6PN</t>
  </si>
  <si>
    <t>vikrant.narad@mitaoe.ac.in</t>
  </si>
  <si>
    <t>0220200171</t>
  </si>
  <si>
    <t xml:space="preserve">VIKRANT </t>
  </si>
  <si>
    <t>NARAD</t>
  </si>
  <si>
    <t>https://www.linkedin.com/in/vikrant-narad-30963022b</t>
  </si>
  <si>
    <t>DILIP NARAD</t>
  </si>
  <si>
    <t>REKHA NARAD</t>
  </si>
  <si>
    <t>703, C wing , subhash chandra bose building CHS, Opp to ONGC, Sion bandra lonk road,mukund nagar,Sion(W),400017</t>
  </si>
  <si>
    <t>C 601,Woodsville phase -2,
Borhadewadi, Moshi
Pune -412105</t>
  </si>
  <si>
    <t>Programming fundamentals uaing python</t>
  </si>
  <si>
    <t xml:space="preserve">C programming </t>
  </si>
  <si>
    <t>Team Niyudrath karting</t>
  </si>
  <si>
    <t>Krishigati pvt ltd</t>
  </si>
  <si>
    <t>Sepf suspension wheel</t>
  </si>
  <si>
    <t xml:space="preserve">Niyudrath karting </t>
  </si>
  <si>
    <t>Bagged 2nd price in Imeche SOFE</t>
  </si>
  <si>
    <t xml:space="preserve">Hyundai professional training </t>
  </si>
  <si>
    <t xml:space="preserve">Edgeline Gokart championship </t>
  </si>
  <si>
    <t>https://drive.google.com/drive/folders/1nNy20g1P2BSkoSoNzTHuX4pXYBesKzJm</t>
  </si>
  <si>
    <t>https://drive.google.com/open?id=1l5sT9E1qnV9aeGc_f_DpkeZFIY395h3b</t>
  </si>
  <si>
    <t>https://drive.google.com/open?id=1wedzw8u_fdSqz8RemKHv3gL_gbewYpw2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</si>
</sst>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
    <numFmt numFmtId="166" formatCode="m/d/yyyy"/>
  </numFmts>
  <fonts count="20">
    <font>
      <sz val="10.0"/>
      <color rgb="FF000000"/>
      <name val="Calibri"/>
      <scheme val="minor"/>
    </font>
    <font>
      <b/>
      <u/>
      <sz val="13.0"/>
      <color rgb="FF0000FF"/>
    </font>
    <font>
      <b/>
      <sz val="13.0"/>
      <color theme="1"/>
      <name val="Calibri"/>
      <scheme val="minor"/>
    </font>
    <font>
      <color theme="1"/>
      <name val="Calibri"/>
      <scheme val="minor"/>
    </font>
    <font>
      <b/>
      <color theme="5"/>
      <name val="Calibri"/>
      <scheme val="minor"/>
    </font>
    <font>
      <b/>
      <color theme="1"/>
      <name val="Calibri"/>
      <scheme val="minor"/>
    </font>
    <font>
      <u/>
      <color rgb="FF0000FF"/>
    </font>
    <font>
      <u/>
      <color rgb="FF0000FF"/>
    </font>
    <font>
      <u/>
      <color rgb="FF1155CC"/>
    </font>
    <font>
      <u/>
      <color rgb="FF1155CC"/>
      <name val="Calibri"/>
      <scheme val="minor"/>
    </font>
    <font>
      <u/>
      <color rgb="FF1155CC"/>
      <name val="Calibri"/>
      <scheme val="minor"/>
    </font>
    <font>
      <u/>
      <color rgb="FF0000FF"/>
    </font>
    <font>
      <u/>
      <color rgb="FFFF0000"/>
    </font>
    <font>
      <color rgb="FFFF0000"/>
      <name val="Calibri"/>
      <scheme val="minor"/>
    </font>
    <font>
      <u/>
      <color rgb="FF0000FF"/>
    </font>
    <font>
      <color theme="1"/>
      <name val="Calibri"/>
    </font>
    <font>
      <color rgb="FF000000"/>
      <name val="Calibri"/>
      <scheme val="minor"/>
    </font>
    <font>
      <u/>
      <color rgb="FF0000FF"/>
    </font>
    <font>
      <u/>
      <color rgb="FF0000FF"/>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5" numFmtId="0" xfId="0" applyFont="1"/>
    <xf borderId="0" fillId="0" fontId="3" numFmtId="0" xfId="0" applyAlignment="1" applyFont="1">
      <alignment shrinkToFit="0" wrapText="1"/>
    </xf>
    <xf borderId="0" fillId="0" fontId="5"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3" numFmtId="164" xfId="0" applyAlignment="1" applyFont="1" applyNumberFormat="1">
      <alignment readingOrder="0" shrinkToFit="0" wrapText="0"/>
    </xf>
    <xf borderId="0" fillId="0" fontId="3" numFmtId="0" xfId="0" applyAlignment="1" applyFont="1">
      <alignment readingOrder="0" shrinkToFit="0" wrapText="0"/>
    </xf>
    <xf quotePrefix="1" borderId="0" fillId="0" fontId="3" numFmtId="0" xfId="0" applyAlignment="1" applyFont="1">
      <alignment readingOrder="0" shrinkToFit="0" wrapText="0"/>
    </xf>
    <xf borderId="0" fillId="0" fontId="3" numFmtId="14" xfId="0" applyAlignment="1" applyFont="1" applyNumberFormat="1">
      <alignment readingOrder="0" shrinkToFit="0" wrapText="0"/>
    </xf>
    <xf borderId="0" fillId="0" fontId="3" numFmtId="0" xfId="0" applyAlignment="1" applyFont="1">
      <alignment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wrapText="0"/>
    </xf>
    <xf borderId="0" fillId="0" fontId="10" numFmtId="0" xfId="0" applyAlignment="1" applyFont="1">
      <alignment readingOrder="0" shrinkToFit="0" wrapText="0"/>
    </xf>
    <xf borderId="0" fillId="0" fontId="11" numFmtId="0" xfId="0" applyAlignment="1" applyFont="1">
      <alignment shrinkToFit="0" wrapText="0"/>
    </xf>
    <xf borderId="0" fillId="0" fontId="3" numFmtId="0" xfId="0" applyAlignment="1" applyFont="1">
      <alignment horizontal="left" readingOrder="0" shrinkToFit="0" wrapText="0"/>
    </xf>
    <xf borderId="0" fillId="0" fontId="3" numFmtId="0" xfId="0" applyAlignment="1" applyFont="1">
      <alignment readingOrder="0" shrinkToFit="0" wrapText="0"/>
    </xf>
    <xf borderId="0" fillId="0" fontId="12" numFmtId="0" xfId="0" applyAlignment="1" applyFont="1">
      <alignment readingOrder="0" shrinkToFit="0" wrapText="0"/>
    </xf>
    <xf borderId="0" fillId="0" fontId="13" numFmtId="0" xfId="0" applyAlignment="1" applyFont="1">
      <alignment readingOrder="0" shrinkToFit="0" wrapText="0"/>
    </xf>
    <xf borderId="0" fillId="0" fontId="3" numFmtId="3" xfId="0" applyAlignment="1" applyFont="1" applyNumberFormat="1">
      <alignment readingOrder="0" shrinkToFit="0" wrapText="0"/>
    </xf>
    <xf borderId="0" fillId="0" fontId="3" numFmtId="164" xfId="0" applyAlignment="1" applyFont="1" applyNumberFormat="1">
      <alignment readingOrder="0"/>
    </xf>
    <xf quotePrefix="1" borderId="0" fillId="0" fontId="3" numFmtId="0" xfId="0" applyAlignment="1" applyFont="1">
      <alignment readingOrder="0"/>
    </xf>
    <xf borderId="0" fillId="0" fontId="3" numFmtId="14" xfId="0" applyAlignment="1" applyFont="1" applyNumberFormat="1">
      <alignment readingOrder="0"/>
    </xf>
    <xf borderId="0" fillId="0" fontId="14" numFmtId="0" xfId="0" applyAlignment="1" applyFont="1">
      <alignment readingOrder="0"/>
    </xf>
    <xf borderId="0" fillId="0" fontId="3" numFmtId="0" xfId="0" applyAlignment="1" applyFont="1">
      <alignment horizontal="left" readingOrder="0"/>
    </xf>
    <xf borderId="0" fillId="0" fontId="3" numFmtId="9" xfId="0" applyAlignment="1" applyFont="1" applyNumberFormat="1">
      <alignment readingOrder="0" shrinkToFit="0" wrapText="0"/>
    </xf>
    <xf borderId="0" fillId="0" fontId="13" numFmtId="164" xfId="0" applyAlignment="1" applyFont="1" applyNumberFormat="1">
      <alignment readingOrder="0" shrinkToFit="0" wrapText="0"/>
    </xf>
    <xf quotePrefix="1" borderId="0" fillId="0" fontId="13" numFmtId="0" xfId="0" applyAlignment="1" applyFont="1">
      <alignment readingOrder="0" shrinkToFit="0" wrapText="0"/>
    </xf>
    <xf borderId="0" fillId="0" fontId="13" numFmtId="14" xfId="0" applyAlignment="1" applyFont="1" applyNumberFormat="1">
      <alignment readingOrder="0" shrinkToFit="0" wrapText="0"/>
    </xf>
    <xf borderId="0" fillId="0" fontId="13" numFmtId="0" xfId="0" applyAlignment="1" applyFont="1">
      <alignment shrinkToFit="0" wrapText="0"/>
    </xf>
    <xf borderId="0" fillId="0" fontId="13" numFmtId="0" xfId="0" applyAlignment="1" applyFont="1">
      <alignment readingOrder="0" shrinkToFit="0" wrapText="0"/>
    </xf>
    <xf borderId="0" fillId="0" fontId="13" numFmtId="0" xfId="0" applyAlignment="1" applyFont="1">
      <alignment horizontal="left" readingOrder="0" shrinkToFit="0" wrapText="0"/>
    </xf>
    <xf borderId="0" fillId="0" fontId="3" numFmtId="10" xfId="0" applyAlignment="1" applyFont="1" applyNumberFormat="1">
      <alignment readingOrder="0" shrinkToFit="0" wrapText="0"/>
    </xf>
    <xf borderId="0" fillId="0" fontId="15" numFmtId="0" xfId="0" applyAlignment="1" applyFont="1">
      <alignment shrinkToFit="0" vertical="bottom" wrapText="0"/>
    </xf>
    <xf borderId="0" fillId="0" fontId="3" numFmtId="165" xfId="0" applyAlignment="1" applyFont="1" applyNumberFormat="1">
      <alignment readingOrder="0"/>
    </xf>
    <xf borderId="0" fillId="0" fontId="3" numFmtId="166" xfId="0" applyAlignment="1" applyFont="1" applyNumberFormat="1">
      <alignment readingOrder="0"/>
    </xf>
    <xf borderId="0" fillId="0" fontId="16" numFmtId="0" xfId="0" applyAlignment="1" applyFont="1">
      <alignment readingOrder="0" shrinkToFit="0" wrapText="0"/>
    </xf>
    <xf borderId="0" fillId="0" fontId="17" numFmtId="0" xfId="0" applyAlignment="1" applyFont="1">
      <alignment readingOrder="0"/>
    </xf>
    <xf borderId="0" fillId="0" fontId="3" numFmtId="0" xfId="0" applyAlignment="1" applyFont="1">
      <alignment horizontal="left"/>
    </xf>
    <xf borderId="0" fillId="0" fontId="18" numFmtId="0" xfId="0" applyFont="1"/>
    <xf borderId="0" fillId="0" fontId="19"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5251" Type="http://schemas.openxmlformats.org/officeDocument/2006/relationships/hyperlink" Target="https://drive.google.com/open?id=1AhCwhjULIjxzyvAt7L9k8E-JSZHC9odR" TargetMode="External"/><Relationship Id="rId5252" Type="http://schemas.openxmlformats.org/officeDocument/2006/relationships/hyperlink" Target="https://drive.google.com/open?id=1rZFoZ4BOZPpuacRAJLO1NKWRC7CCQR7S" TargetMode="External"/><Relationship Id="rId5250" Type="http://schemas.openxmlformats.org/officeDocument/2006/relationships/hyperlink" Target="https://drive.google.com/open?id=1jJac7lq_DuQeEcAU0qyMmErNhOXt4xjL" TargetMode="External"/><Relationship Id="rId5255" Type="http://schemas.openxmlformats.org/officeDocument/2006/relationships/hyperlink" Target="https://drive.google.com/open?id=12n61hQGpjlGtgPD-dL2UXmz5kNv_U4yz" TargetMode="External"/><Relationship Id="rId5256" Type="http://schemas.openxmlformats.org/officeDocument/2006/relationships/hyperlink" Target="https://drive.google.com/open?id=1my0Ow_UGR9yoQke4LmCFZ777Loms5F4K" TargetMode="External"/><Relationship Id="rId5253" Type="http://schemas.openxmlformats.org/officeDocument/2006/relationships/hyperlink" Target="https://www.linkedin.com/in/pratik-ghadge-87783b231" TargetMode="External"/><Relationship Id="rId5254" Type="http://schemas.openxmlformats.org/officeDocument/2006/relationships/hyperlink" Target="https://drive.google.com/drive/folders/1Rr3Lodv8nBMSF--JZPVjp5pTEsQDKM7-?usp=sharing" TargetMode="External"/><Relationship Id="rId5259" Type="http://schemas.openxmlformats.org/officeDocument/2006/relationships/hyperlink" Target="http://www.linkedin.com/in/yash-dengre-ba4587222" TargetMode="External"/><Relationship Id="rId5257" Type="http://schemas.openxmlformats.org/officeDocument/2006/relationships/hyperlink" Target="https://drive.google.com/open?id=16cLA7IB3fdR-mBDO72aXV7JFa5nCdPIc" TargetMode="External"/><Relationship Id="rId5258" Type="http://schemas.openxmlformats.org/officeDocument/2006/relationships/hyperlink" Target="https://drive.google.com/open?id=1wHBIRwt3uUT5g7vrVTIAy9ZHxMz9dBeS" TargetMode="External"/><Relationship Id="rId5240" Type="http://schemas.openxmlformats.org/officeDocument/2006/relationships/hyperlink" Target="https://drive.google.com/open?id=13UIoffTrKxvX67PHkquSzHX6h-Vy9cqk" TargetMode="External"/><Relationship Id="rId5241" Type="http://schemas.openxmlformats.org/officeDocument/2006/relationships/hyperlink" Target="https://drive.google.com/open?id=1O9BQ5HsTQgbu4FRu7Id5P1irBWBfy1vy" TargetMode="External"/><Relationship Id="rId5244" Type="http://schemas.openxmlformats.org/officeDocument/2006/relationships/hyperlink" Target="https://preskilet.com/watch?v=62a388e6a6956a000460069c" TargetMode="External"/><Relationship Id="rId5245" Type="http://schemas.openxmlformats.org/officeDocument/2006/relationships/hyperlink" Target="https://drive.google.com/open?id=1Ny0fRBoOSwDLDG00JyCGNEMDuN2JzoMq" TargetMode="External"/><Relationship Id="rId5242" Type="http://schemas.openxmlformats.org/officeDocument/2006/relationships/hyperlink" Target="https://drive.google.com/open?id=1wsCp-DTGNuz9MhQr05PNsXRReIB3NYvr" TargetMode="External"/><Relationship Id="rId5243" Type="http://schemas.openxmlformats.org/officeDocument/2006/relationships/hyperlink" Target="https://www.linkedin.com/in/shivateja-chalvadhi-3746b4240" TargetMode="External"/><Relationship Id="rId5248" Type="http://schemas.openxmlformats.org/officeDocument/2006/relationships/hyperlink" Target="https://preskilet.com/watch?v=62a384cea6956a00046005be" TargetMode="External"/><Relationship Id="rId5249" Type="http://schemas.openxmlformats.org/officeDocument/2006/relationships/hyperlink" Target="https://drive.google.com/open?id=1l2GjVZXibiqqW3UOOXxfiAtrpDbT-E_x" TargetMode="External"/><Relationship Id="rId5246" Type="http://schemas.openxmlformats.org/officeDocument/2006/relationships/hyperlink" Target="https://drive.google.com/open?id=1Myd-FgOdNmSOIjPqoWCC-6eMKm4Qa6ar" TargetMode="External"/><Relationship Id="rId5247" Type="http://schemas.openxmlformats.org/officeDocument/2006/relationships/hyperlink" Target="https://www.linkedin.com/in/chinmayi-alshetty-07aa371ab/" TargetMode="External"/><Relationship Id="rId5270" Type="http://schemas.openxmlformats.org/officeDocument/2006/relationships/hyperlink" Target="https://drive.google.com/open?id=1pNPJlI_DNoRii3fxDz1SXMKBzMGN4iJ4" TargetMode="External"/><Relationship Id="rId5273" Type="http://schemas.openxmlformats.org/officeDocument/2006/relationships/hyperlink" Target="https://drive.google.com/file/d/1lRKZxgx79Y9qz0E4MNCHx2ebR4bogERb/view?usp=sharing" TargetMode="External"/><Relationship Id="rId5274" Type="http://schemas.openxmlformats.org/officeDocument/2006/relationships/hyperlink" Target="https://drive.google.com/open?id=1dJa6F-nv-DdN98W--UmcCteGiWPMqV_9" TargetMode="External"/><Relationship Id="rId5271" Type="http://schemas.openxmlformats.org/officeDocument/2006/relationships/hyperlink" Target="https://drive.google.com/open?id=1ClWQ4QFhYIWxj4WtmcbNR3Ziqw_0korz" TargetMode="External"/><Relationship Id="rId5272" Type="http://schemas.openxmlformats.org/officeDocument/2006/relationships/hyperlink" Target="https://www.linkedin.com/in/pranav-malasane-4a811523b" TargetMode="External"/><Relationship Id="rId5277" Type="http://schemas.openxmlformats.org/officeDocument/2006/relationships/hyperlink" Target="https://drive.google.com/drive/folders/1K8IE5S5yOpksy8AztC5C2wH58appgj92?usp=sharing" TargetMode="External"/><Relationship Id="rId5278" Type="http://schemas.openxmlformats.org/officeDocument/2006/relationships/hyperlink" Target="https://drive.google.com/open?id=1pdzGABwzrbYoJUkwN-CvdKdtLZ85meJM" TargetMode="External"/><Relationship Id="rId5275" Type="http://schemas.openxmlformats.org/officeDocument/2006/relationships/hyperlink" Target="https://drive.google.com/open?id=11eUYX2hj30TwZiQbBLT82io3FRRkCWss" TargetMode="External"/><Relationship Id="rId5276" Type="http://schemas.openxmlformats.org/officeDocument/2006/relationships/hyperlink" Target="https://www.linkedin.com/in/rushikesh-mungse/" TargetMode="External"/><Relationship Id="rId5279" Type="http://schemas.openxmlformats.org/officeDocument/2006/relationships/hyperlink" Target="https://drive.google.com/open?id=1src8GAuAxgHRiPfOUbh77vQiKvZHC3eL" TargetMode="External"/><Relationship Id="rId5262" Type="http://schemas.openxmlformats.org/officeDocument/2006/relationships/hyperlink" Target="https://drive.google.com/open?id=1dhcBmTUz8sSOVx2UEoC8lAExoPqWwK28" TargetMode="External"/><Relationship Id="rId5263" Type="http://schemas.openxmlformats.org/officeDocument/2006/relationships/hyperlink" Target="https://drive.google.com/open?id=1JR7W1yDP1ydY1Ea6hIQdiqIlhM4CSiQS" TargetMode="External"/><Relationship Id="rId5260" Type="http://schemas.openxmlformats.org/officeDocument/2006/relationships/hyperlink" Target="https://preskilet.com/watch?v=62a38a39a6956a00046006e2" TargetMode="External"/><Relationship Id="rId5261" Type="http://schemas.openxmlformats.org/officeDocument/2006/relationships/hyperlink" Target="https://drive.google.com/open?id=1LMG5F6y5EQJheY8BEX8fY5RiGRvKPpEg" TargetMode="External"/><Relationship Id="rId5266" Type="http://schemas.openxmlformats.org/officeDocument/2006/relationships/hyperlink" Target="https://drive.google.com/open?id=1oP1NwRtRBigmtwaRdRwhogcbJxMN7IT0" TargetMode="External"/><Relationship Id="rId5267" Type="http://schemas.openxmlformats.org/officeDocument/2006/relationships/hyperlink" Target="https://www.linkedin.com/in/aman-kumar-b54771212/" TargetMode="External"/><Relationship Id="rId5264" Type="http://schemas.openxmlformats.org/officeDocument/2006/relationships/hyperlink" Target="https://drive.google.com/open?id=1dUZEyqc2NRKaD5jGPGfa2pxe1ytY2uyY" TargetMode="External"/><Relationship Id="rId5265" Type="http://schemas.openxmlformats.org/officeDocument/2006/relationships/hyperlink" Target="https://drive.google.com/open?id=1m828phqITjhxm2yzPm19z6O98hJb6lJF" TargetMode="External"/><Relationship Id="rId5268" Type="http://schemas.openxmlformats.org/officeDocument/2006/relationships/hyperlink" Target="https://preskilet.com/anilkumar@mitaoe.ac.in" TargetMode="External"/><Relationship Id="rId5269" Type="http://schemas.openxmlformats.org/officeDocument/2006/relationships/hyperlink" Target="https://drive.google.com/open?id=1FM8rU488xww17zrqgHsr9bMht_VH9jWn" TargetMode="External"/><Relationship Id="rId5219" Type="http://schemas.openxmlformats.org/officeDocument/2006/relationships/hyperlink" Target="https://drive.google.com/open?id=1NLp6vK9ywZZFb1aQlLkkcbZGoP9buykb" TargetMode="External"/><Relationship Id="rId5217" Type="http://schemas.openxmlformats.org/officeDocument/2006/relationships/hyperlink" Target="https://drive.google.com/open?id=1aQ3AdNt6ok5whr4r7Y3Fn8mFioPXqm4y" TargetMode="External"/><Relationship Id="rId5218" Type="http://schemas.openxmlformats.org/officeDocument/2006/relationships/hyperlink" Target="https://drive.google.com/open?id=1-Z9DZRRy5oVFlxAZHon49KFWaroEey_J" TargetMode="External"/><Relationship Id="rId392" Type="http://schemas.openxmlformats.org/officeDocument/2006/relationships/hyperlink" Target="https://drive.google.com/open?id=1zX-DVBfXg7c9Y0iObh9fsq3PytcUGUQT" TargetMode="External"/><Relationship Id="rId391" Type="http://schemas.openxmlformats.org/officeDocument/2006/relationships/hyperlink" Target="https://drive.google.com/drive/folders/1FKHzjTVXchI5pk_-YOCt5fpjhkgIHZvU" TargetMode="External"/><Relationship Id="rId390" Type="http://schemas.openxmlformats.org/officeDocument/2006/relationships/hyperlink" Target="https://www.linkedin.com/in/rajesh-lotekar-326838242" TargetMode="External"/><Relationship Id="rId2180" Type="http://schemas.openxmlformats.org/officeDocument/2006/relationships/hyperlink" Target="https://drive.google.com/open?id=1J0dPUnxSuxcIfQoQE2pgwQBc2-amkXSe" TargetMode="External"/><Relationship Id="rId2181" Type="http://schemas.openxmlformats.org/officeDocument/2006/relationships/hyperlink" Target="https://www.linkedin.com/in/aqsa-tadvi-175b40217" TargetMode="External"/><Relationship Id="rId2182" Type="http://schemas.openxmlformats.org/officeDocument/2006/relationships/hyperlink" Target="https://preskilet.com/watch?v=62b4b41030b2800004523858" TargetMode="External"/><Relationship Id="rId2183" Type="http://schemas.openxmlformats.org/officeDocument/2006/relationships/hyperlink" Target="https://drive.google.com/open?id=1PbEGg8vBO6LfgvE-zm86cfQEohBccpw0" TargetMode="External"/><Relationship Id="rId385" Type="http://schemas.openxmlformats.org/officeDocument/2006/relationships/hyperlink" Target="https://drive.google.com/open?id=16-n9-PTFLTIYQBncK3_uxE-27LzZiLBn" TargetMode="External"/><Relationship Id="rId2184" Type="http://schemas.openxmlformats.org/officeDocument/2006/relationships/hyperlink" Target="https://drive.google.com/open?id=1ENmmIVv0AduppjEECozEnHrPijwC2ACh" TargetMode="External"/><Relationship Id="rId5211" Type="http://schemas.openxmlformats.org/officeDocument/2006/relationships/hyperlink" Target="https://drive.google.com/open?id=1tsnGoXIZ1OqSApa8VQFiEC_XaI2ajjdH" TargetMode="External"/><Relationship Id="rId384" Type="http://schemas.openxmlformats.org/officeDocument/2006/relationships/hyperlink" Target="https://drive.google.com/open?id=1a1kraQ66uDHxGOEwbPeHZgebVXJXw5KV" TargetMode="External"/><Relationship Id="rId2185" Type="http://schemas.openxmlformats.org/officeDocument/2006/relationships/hyperlink" Target="https://drive.google.com/open?id=1eWU00FCGtDmScUjKSGZ04868qjt34zVd" TargetMode="External"/><Relationship Id="rId5212" Type="http://schemas.openxmlformats.org/officeDocument/2006/relationships/hyperlink" Target="https://drive.google.com/open?id=1RoPpVTCWzwdShlCZxhmpJUvE0jzJlASK" TargetMode="External"/><Relationship Id="rId383" Type="http://schemas.openxmlformats.org/officeDocument/2006/relationships/hyperlink" Target="https://drive.google.com/open?id=1crxyVcYayQ9NIVRq9Pufn20_ak3gX1Md" TargetMode="External"/><Relationship Id="rId2186" Type="http://schemas.openxmlformats.org/officeDocument/2006/relationships/hyperlink" Target="https://www.linkedin.com/in/akshay-kapase" TargetMode="External"/><Relationship Id="rId382" Type="http://schemas.openxmlformats.org/officeDocument/2006/relationships/hyperlink" Target="https://drive.google.com/open?id=1VsNrAYB5JOMB0zN1KmznR0S_Q-pT4tJL" TargetMode="External"/><Relationship Id="rId2187" Type="http://schemas.openxmlformats.org/officeDocument/2006/relationships/hyperlink" Target="https://preskilet.com/abkapse@mitaoe.ac.in" TargetMode="External"/><Relationship Id="rId5210" Type="http://schemas.openxmlformats.org/officeDocument/2006/relationships/hyperlink" Target="https://drive.google.com/file/d/1-KT9BhxAzr8YXMqKSlxOUNn482yeLx3A/view?usp=drivesdk" TargetMode="External"/><Relationship Id="rId389" Type="http://schemas.openxmlformats.org/officeDocument/2006/relationships/hyperlink" Target="https://drive.google.com/open?id=168jMFsAe8nqIMwQAAGAJR134JULbqOd1" TargetMode="External"/><Relationship Id="rId2188" Type="http://schemas.openxmlformats.org/officeDocument/2006/relationships/hyperlink" Target="https://drive.google.com/open?id=13DT_rxjPwvpCvnAWoaP5hBlEIQASK5KS" TargetMode="External"/><Relationship Id="rId5215" Type="http://schemas.openxmlformats.org/officeDocument/2006/relationships/hyperlink" Target="https://drive.google.com/open?id=1pST6g12vzjrP_c8HqH3aRpnKKralmRF7" TargetMode="External"/><Relationship Id="rId388" Type="http://schemas.openxmlformats.org/officeDocument/2006/relationships/hyperlink" Target="https://drive.google.com/open?id=1v9hZUeF2SNDYlQ9wMWGLVSxwVvglpccZ" TargetMode="External"/><Relationship Id="rId2189" Type="http://schemas.openxmlformats.org/officeDocument/2006/relationships/hyperlink" Target="https://drive.google.com/open?id=1G0S64yRwx26r-UopZrbH8nr41XGk06aP" TargetMode="External"/><Relationship Id="rId5216" Type="http://schemas.openxmlformats.org/officeDocument/2006/relationships/hyperlink" Target="https://drive.google.com/open?id=1V7PA-QqWz2VpupRd4Ze3AertyBKAO1iv" TargetMode="External"/><Relationship Id="rId387" Type="http://schemas.openxmlformats.org/officeDocument/2006/relationships/hyperlink" Target="https://drive.google.com/drive/folders/13bvwbX4IobfZcARProQWF9BMySkBxPAc" TargetMode="External"/><Relationship Id="rId5213" Type="http://schemas.openxmlformats.org/officeDocument/2006/relationships/hyperlink" Target="https://www.linkedin.com/in/aditya-netake-22b041241" TargetMode="External"/><Relationship Id="rId386" Type="http://schemas.openxmlformats.org/officeDocument/2006/relationships/hyperlink" Target="https://www.linkedin.com/in/tejaswini-gaikwad-92402a243" TargetMode="External"/><Relationship Id="rId5214" Type="http://schemas.openxmlformats.org/officeDocument/2006/relationships/hyperlink" Target="https://preskilet.com/watch?v=62a392c3a6956a0004600910" TargetMode="External"/><Relationship Id="rId5208" Type="http://schemas.openxmlformats.org/officeDocument/2006/relationships/hyperlink" Target="https://drive.google.com/open?id=1UzoObrjiUGw3s5imv6iAfgtLyuz1PFEw" TargetMode="External"/><Relationship Id="rId5209" Type="http://schemas.openxmlformats.org/officeDocument/2006/relationships/hyperlink" Target="http://www.linkedin.com/in/santosh-hatte-678848241" TargetMode="External"/><Relationship Id="rId5206" Type="http://schemas.openxmlformats.org/officeDocument/2006/relationships/hyperlink" Target="https://drive.google.com/open?id=1aec7SKXyFnWjtcFAdQxx8kiER7ZuBJpG" TargetMode="External"/><Relationship Id="rId5207" Type="http://schemas.openxmlformats.org/officeDocument/2006/relationships/hyperlink" Target="https://drive.google.com/open?id=1OV8wNgDZJL5pYFEJmrKixYsPDqQeVYL7" TargetMode="External"/><Relationship Id="rId381" Type="http://schemas.openxmlformats.org/officeDocument/2006/relationships/hyperlink" Target="https://drive.google.com/file/d/1Mr7A6rl933n3agxPvs02KCeMua1svrPV/view?usp=drivesdk" TargetMode="External"/><Relationship Id="rId380" Type="http://schemas.openxmlformats.org/officeDocument/2006/relationships/hyperlink" Target="https://www.linkedin.com/in/prabodh-lamsoge-81641b22a" TargetMode="External"/><Relationship Id="rId379" Type="http://schemas.openxmlformats.org/officeDocument/2006/relationships/hyperlink" Target="https://drive.google.com/open?id=1Db5IHbZDD8AU0miObx9v8y6tiCZ3NWre" TargetMode="External"/><Relationship Id="rId2170" Type="http://schemas.openxmlformats.org/officeDocument/2006/relationships/hyperlink" Target="https://drive.google.com/open?id=1HfriN4sF_13_l-3GZu6SBhxCjiMcadKg" TargetMode="External"/><Relationship Id="rId2171" Type="http://schemas.openxmlformats.org/officeDocument/2006/relationships/hyperlink" Target="https://www.linkedin.com/in/shruti-pawar-0901911aa/" TargetMode="External"/><Relationship Id="rId2172" Type="http://schemas.openxmlformats.org/officeDocument/2006/relationships/hyperlink" Target="https://preskilet.com/watch?v=62a3141fa6956a00045ff867" TargetMode="External"/><Relationship Id="rId374" Type="http://schemas.openxmlformats.org/officeDocument/2006/relationships/hyperlink" Target="https://drive.google.com/open?id=1YgtTeQN1ptPiMo9kUGkgDtZOV-T8ISN0" TargetMode="External"/><Relationship Id="rId2173" Type="http://schemas.openxmlformats.org/officeDocument/2006/relationships/hyperlink" Target="https://drive.google.com/open?id=1mD_dZcJfTDWIi_G5jqfXKuLcgxQOnsQS" TargetMode="External"/><Relationship Id="rId5200" Type="http://schemas.openxmlformats.org/officeDocument/2006/relationships/hyperlink" Target="https://drive.google.com/open?id=1NOdNk1EaGNzTPXGWicrhlFVuil-xOta3" TargetMode="External"/><Relationship Id="rId373" Type="http://schemas.openxmlformats.org/officeDocument/2006/relationships/hyperlink" Target="https://preskilet.com/watch?v=62bde3229535010004fd2b9e" TargetMode="External"/><Relationship Id="rId2174" Type="http://schemas.openxmlformats.org/officeDocument/2006/relationships/hyperlink" Target="https://drive.google.com/open?id=1x2yl9U5yjR_gQWqPLvrUK0xlNZZQWCrc" TargetMode="External"/><Relationship Id="rId5201" Type="http://schemas.openxmlformats.org/officeDocument/2006/relationships/hyperlink" Target="http://www.linkedin.com/in/yash-bagul" TargetMode="External"/><Relationship Id="rId372" Type="http://schemas.openxmlformats.org/officeDocument/2006/relationships/hyperlink" Target="https://www.linkedin.com/in/nitin-dorale-9448a4241" TargetMode="External"/><Relationship Id="rId2175" Type="http://schemas.openxmlformats.org/officeDocument/2006/relationships/hyperlink" Target="https://drive.google.com/open?id=1flWBhhpQXe_BWdaCKtsfVQdAmG_e35Y9" TargetMode="External"/><Relationship Id="rId371" Type="http://schemas.openxmlformats.org/officeDocument/2006/relationships/hyperlink" Target="https://drive.google.com/open?id=1r1VRBCdJAWI_anXZG_03iCHGkErLLUtF" TargetMode="External"/><Relationship Id="rId2176" Type="http://schemas.openxmlformats.org/officeDocument/2006/relationships/hyperlink" Target="https://drive.google.com/open?id=1dW9e2lwVfPbvcK2KTr4UmZYKwMpi39_U" TargetMode="External"/><Relationship Id="rId378" Type="http://schemas.openxmlformats.org/officeDocument/2006/relationships/hyperlink" Target="https://drive.google.com/open?id=10mp5KbTKMCKnyGZkOuIOStr1Apur_FG4" TargetMode="External"/><Relationship Id="rId2177" Type="http://schemas.openxmlformats.org/officeDocument/2006/relationships/hyperlink" Target="https://drive.google.com/open?id=1sBTWjNJIHU3lNzO3ioVu9WD8QsPoN1Ag" TargetMode="External"/><Relationship Id="rId5204" Type="http://schemas.openxmlformats.org/officeDocument/2006/relationships/hyperlink" Target="https://drive.google.com/open?id=1QohcS7_av92LxMjk7gub_E-sc82h0bXm" TargetMode="External"/><Relationship Id="rId377" Type="http://schemas.openxmlformats.org/officeDocument/2006/relationships/hyperlink" Target="https://drive.google.com/open?id=1JnjHORS3XztwvtFadj-7tOXFM1EtqiYL" TargetMode="External"/><Relationship Id="rId2178" Type="http://schemas.openxmlformats.org/officeDocument/2006/relationships/hyperlink" Target="https://drive.google.com/open?id=1S1kgESLGIK2_mbnFPGbEAdcJ3fAAoSyM" TargetMode="External"/><Relationship Id="rId5205" Type="http://schemas.openxmlformats.org/officeDocument/2006/relationships/hyperlink" Target="https://drive.google.com/open?id=1JZVp3JZb_Edy_7Tl6MIj3tjDFXrWSqpD" TargetMode="External"/><Relationship Id="rId376" Type="http://schemas.openxmlformats.org/officeDocument/2006/relationships/hyperlink" Target="https://preskilet.com/watch?v=62b663c4a2f4210004f5bc40" TargetMode="External"/><Relationship Id="rId2179" Type="http://schemas.openxmlformats.org/officeDocument/2006/relationships/hyperlink" Target="https://drive.google.com/open?id=1InOJ2oKwuW7i-A2KeS6KziDPpCm2BI29" TargetMode="External"/><Relationship Id="rId5202" Type="http://schemas.openxmlformats.org/officeDocument/2006/relationships/hyperlink" Target="https://drive.google.com/drive/folders/1zmfKbnKHBCzuXVptHBUteJ4M-_02czlK" TargetMode="External"/><Relationship Id="rId375" Type="http://schemas.openxmlformats.org/officeDocument/2006/relationships/hyperlink" Target="https://drive.google.com/open?id=1MYPBQIaUkIRja8MvP6IvPzV3RSR05rSn" TargetMode="External"/><Relationship Id="rId5203" Type="http://schemas.openxmlformats.org/officeDocument/2006/relationships/hyperlink" Target="https://drive.google.com/open?id=1yqc_mc6c5u-KOHmL9nPmIwMstWHUk0O5" TargetMode="External"/><Relationship Id="rId5239" Type="http://schemas.openxmlformats.org/officeDocument/2006/relationships/hyperlink" Target="https://drive.google.com/open?id=1bdKuerba_pDKPjPHub__NxruA-PZbAoF" TargetMode="External"/><Relationship Id="rId5230" Type="http://schemas.openxmlformats.org/officeDocument/2006/relationships/hyperlink" Target="https://drive.google.com/open?id=1xOAY4D5UmpYKDLx9t4BfaQroh_dsD8YX" TargetMode="External"/><Relationship Id="rId5233" Type="http://schemas.openxmlformats.org/officeDocument/2006/relationships/hyperlink" Target="https://www.linkedin.com/in/praktan-khatavkar-27492222b/" TargetMode="External"/><Relationship Id="rId5234" Type="http://schemas.openxmlformats.org/officeDocument/2006/relationships/hyperlink" Target="https://drive.google.com/file/d/1FE0Z5d7rDShtNZrD36YYTyiqNy7NEVRR/view?usp=sharing" TargetMode="External"/><Relationship Id="rId5231" Type="http://schemas.openxmlformats.org/officeDocument/2006/relationships/hyperlink" Target="https://drive.google.com/open?id=1hopkcsjbrscPwCT6xGuixfaW8LIOKMUn" TargetMode="External"/><Relationship Id="rId5232" Type="http://schemas.openxmlformats.org/officeDocument/2006/relationships/hyperlink" Target="https://drive.google.com/open?id=1vhanyHuWaSw6mzAXR9ls0XHIOOO5vbhA" TargetMode="External"/><Relationship Id="rId5237" Type="http://schemas.openxmlformats.org/officeDocument/2006/relationships/hyperlink" Target="https://www.linkedin.com/in/abhishekmore-/" TargetMode="External"/><Relationship Id="rId5238" Type="http://schemas.openxmlformats.org/officeDocument/2006/relationships/hyperlink" Target="https://preskilet.com/watch?v=628dbc6f1fa2760004ae76b1" TargetMode="External"/><Relationship Id="rId5235" Type="http://schemas.openxmlformats.org/officeDocument/2006/relationships/hyperlink" Target="https://drive.google.com/open?id=1cB8oYpkpGLje3VEkTVizUv14801OEqY1" TargetMode="External"/><Relationship Id="rId5236" Type="http://schemas.openxmlformats.org/officeDocument/2006/relationships/hyperlink" Target="https://drive.google.com/open?id=1SGuO_wa1e4fnisUcA4xXY7F1CZ50NNIc" TargetMode="External"/><Relationship Id="rId5228" Type="http://schemas.openxmlformats.org/officeDocument/2006/relationships/hyperlink" Target="https://preskilet.com/watch?v=62a2e56fa6956a00045ff40c" TargetMode="External"/><Relationship Id="rId5229" Type="http://schemas.openxmlformats.org/officeDocument/2006/relationships/hyperlink" Target="https://drive.google.com/open?id=1WF_rsqB790m6HksLSKIumsuUwGe41Hha" TargetMode="External"/><Relationship Id="rId2190" Type="http://schemas.openxmlformats.org/officeDocument/2006/relationships/hyperlink" Target="https://drive.google.com/open?id=1Lz5WBSL24lvC1tlLVvMGBVAfINPQ5rfO" TargetMode="External"/><Relationship Id="rId2191" Type="http://schemas.openxmlformats.org/officeDocument/2006/relationships/hyperlink" Target="https://drive.google.com/open?id=16QFW8eqKqDV-i0BCyEcDOaRMG0Fv9oL2" TargetMode="External"/><Relationship Id="rId2192" Type="http://schemas.openxmlformats.org/officeDocument/2006/relationships/hyperlink" Target="https://drive.google.com/open?id=1pILX3-HGjUAqA0viJHOJniXhFqjMvv6q" TargetMode="External"/><Relationship Id="rId2193" Type="http://schemas.openxmlformats.org/officeDocument/2006/relationships/hyperlink" Target="https://drive.google.com/open?id=1cTYB0ehcmIhaDqOuo0fnJTXnjmSzmuFs" TargetMode="External"/><Relationship Id="rId2194" Type="http://schemas.openxmlformats.org/officeDocument/2006/relationships/hyperlink" Target="http://www.linkedin.com/in/shruti-diwate-66b030201" TargetMode="External"/><Relationship Id="rId396" Type="http://schemas.openxmlformats.org/officeDocument/2006/relationships/hyperlink" Target="https://www.linkedin.com/in/animesh-thakre-13481520b" TargetMode="External"/><Relationship Id="rId2195" Type="http://schemas.openxmlformats.org/officeDocument/2006/relationships/hyperlink" Target="https://preskilet.com/shrutidiwate555@gmail.com" TargetMode="External"/><Relationship Id="rId5222" Type="http://schemas.openxmlformats.org/officeDocument/2006/relationships/hyperlink" Target="https://drive.google.com/open?id=1bNhHMpKy5VgHwuWbNCWn0SwOjaqKhuVR" TargetMode="External"/><Relationship Id="rId395" Type="http://schemas.openxmlformats.org/officeDocument/2006/relationships/hyperlink" Target="https://drive.google.com/open?id=1TlKut1-7aFI8v2cWx2kxiNF6pJacKETj" TargetMode="External"/><Relationship Id="rId2196" Type="http://schemas.openxmlformats.org/officeDocument/2006/relationships/hyperlink" Target="https://drive.google.com/open?id=1dZ0koeExq1ykeAy1Wg0JONI4P_ci8FRZ" TargetMode="External"/><Relationship Id="rId5223" Type="http://schemas.openxmlformats.org/officeDocument/2006/relationships/hyperlink" Target="https://drive.google.com/open?id=1EGhx711Xe8tTE9yVoQ1Mr9oxsxIA4dyB" TargetMode="External"/><Relationship Id="rId394" Type="http://schemas.openxmlformats.org/officeDocument/2006/relationships/hyperlink" Target="https://drive.google.com/open?id=1grlTUNMD2IYIpLmmfW5FUCc-7ZZhk6u2" TargetMode="External"/><Relationship Id="rId2197" Type="http://schemas.openxmlformats.org/officeDocument/2006/relationships/hyperlink" Target="https://drive.google.com/open?id=1qwyKX16xnD0VYUyrl4lyg4r5A1vuu2cu" TargetMode="External"/><Relationship Id="rId5220" Type="http://schemas.openxmlformats.org/officeDocument/2006/relationships/hyperlink" Target="http://www.linkedin.com/in/hrc-7a32311a4" TargetMode="External"/><Relationship Id="rId393" Type="http://schemas.openxmlformats.org/officeDocument/2006/relationships/hyperlink" Target="https://drive.google.com/open?id=1J0zjjNFEdGqD6ieNkjsLsmR-px2G4kcU" TargetMode="External"/><Relationship Id="rId2198" Type="http://schemas.openxmlformats.org/officeDocument/2006/relationships/hyperlink" Target="https://drive.google.com/open?id=1HR_3GT6iBv4B608w1KMJrZYY46ADIgzA" TargetMode="External"/><Relationship Id="rId5221" Type="http://schemas.openxmlformats.org/officeDocument/2006/relationships/hyperlink" Target="https://preskilet.com/watch?v=62a38dbba6956a00046007f0" TargetMode="External"/><Relationship Id="rId2199" Type="http://schemas.openxmlformats.org/officeDocument/2006/relationships/hyperlink" Target="https://drive.google.com/open?id=1QfQWyvSGZRuyQKOVpT7_UO6wfWdvSXAk" TargetMode="External"/><Relationship Id="rId5226" Type="http://schemas.openxmlformats.org/officeDocument/2006/relationships/hyperlink" Target="https://drive.google.com/open?id=1qWJu5Vl3PCPii1a3ncf1vTjECm5qogxM" TargetMode="External"/><Relationship Id="rId399" Type="http://schemas.openxmlformats.org/officeDocument/2006/relationships/hyperlink" Target="https://drive.google.com/open?id=1mcWoW0KpWwhQJzqNVH-Fz7aKo7RctvHl" TargetMode="External"/><Relationship Id="rId5227" Type="http://schemas.openxmlformats.org/officeDocument/2006/relationships/hyperlink" Target="https://www.linkedin.com/in/keshav-dubey-b38933213/" TargetMode="External"/><Relationship Id="rId398" Type="http://schemas.openxmlformats.org/officeDocument/2006/relationships/hyperlink" Target="https://drive.google.com/open?id=1GmthnTwj0nPcTUmIXrln_SpYma2H4rsA" TargetMode="External"/><Relationship Id="rId5224" Type="http://schemas.openxmlformats.org/officeDocument/2006/relationships/hyperlink" Target="https://drive.google.com/open?id=1S3x6zJPxHPPxfv67eywJTIXMIWyOo9ni" TargetMode="External"/><Relationship Id="rId397" Type="http://schemas.openxmlformats.org/officeDocument/2006/relationships/hyperlink" Target="https://drive.google.com/drive/folders/1PUg6eayxgcCyx8EXdDtRppYZQi1eoZnz" TargetMode="External"/><Relationship Id="rId5225" Type="http://schemas.openxmlformats.org/officeDocument/2006/relationships/hyperlink" Target="https://drive.google.com/open?id=1FMj04fQ_L0GWXABgJdB8GiwOpkNDrMcD" TargetMode="External"/><Relationship Id="rId1730" Type="http://schemas.openxmlformats.org/officeDocument/2006/relationships/hyperlink" Target="https://drive.google.com/open?id=1-bFNLXkAzdgCSSF-5b_yNpOP7oKtoGhU" TargetMode="External"/><Relationship Id="rId1731" Type="http://schemas.openxmlformats.org/officeDocument/2006/relationships/hyperlink" Target="https://www.linkedin.com/in/siddhant-yeole-6a442b22b" TargetMode="External"/><Relationship Id="rId1732" Type="http://schemas.openxmlformats.org/officeDocument/2006/relationships/hyperlink" Target="https://preskilet.com/watch?v=629af9a37e67b10004ac241c" TargetMode="External"/><Relationship Id="rId1733" Type="http://schemas.openxmlformats.org/officeDocument/2006/relationships/hyperlink" Target="https://drive.google.com/open?id=1U2bYhsn66q48aVqwL0eFdS30zEb8B0K6" TargetMode="External"/><Relationship Id="rId1734" Type="http://schemas.openxmlformats.org/officeDocument/2006/relationships/hyperlink" Target="https://drive.google.com/open?id=19lPk_C7RILuhEcTbCQtaSRJz6h8pwt6g" TargetMode="External"/><Relationship Id="rId1735" Type="http://schemas.openxmlformats.org/officeDocument/2006/relationships/hyperlink" Target="https://drive.google.com/open?id=1cT2wEVsaKC76XEsCo1LlmlRjDLoHqQUG" TargetMode="External"/><Relationship Id="rId1736" Type="http://schemas.openxmlformats.org/officeDocument/2006/relationships/hyperlink" Target="https://drive.google.com/open?id=1P5GI5Xt69IZl_0kwyNXvoyTx6ClsdMtR" TargetMode="External"/><Relationship Id="rId1737" Type="http://schemas.openxmlformats.org/officeDocument/2006/relationships/hyperlink" Target="https://drive.google.com/open?id=1coDpy-Iq8aalQ7ApiKt0hONSkdvqQDAi" TargetMode="External"/><Relationship Id="rId1738" Type="http://schemas.openxmlformats.org/officeDocument/2006/relationships/hyperlink" Target="https://drive.google.com/open?id=1UiLul-F1seUK6TYYwQ1j1plcWSd0kngl" TargetMode="External"/><Relationship Id="rId1739" Type="http://schemas.openxmlformats.org/officeDocument/2006/relationships/hyperlink" Target="https://drive.google.com/open?id=1dH6Gat6Kk-mrYoeAhgIyNp_P2-iYiO1W" TargetMode="External"/><Relationship Id="rId1720" Type="http://schemas.openxmlformats.org/officeDocument/2006/relationships/hyperlink" Target="https://drive.google.com/open?id=1kxunL0iDGMRz7cWRghRXBeZMh1JrNeFL" TargetMode="External"/><Relationship Id="rId1721" Type="http://schemas.openxmlformats.org/officeDocument/2006/relationships/hyperlink" Target="https://drive.google.com/open?id=1fu6FYEsFfRc9ul7ikWFPdtLAftYYmvq6" TargetMode="External"/><Relationship Id="rId1722" Type="http://schemas.openxmlformats.org/officeDocument/2006/relationships/hyperlink" Target="https://drive.google.com/open?id=15dyfh6wVWVwGKOCaRtqSNzOw0-OHeOlR" TargetMode="External"/><Relationship Id="rId1723" Type="http://schemas.openxmlformats.org/officeDocument/2006/relationships/hyperlink" Target="https://drive.google.com/open?id=1-LqTMx5PzNzdroZiqD8bXTkH1etUNmZo" TargetMode="External"/><Relationship Id="rId1724" Type="http://schemas.openxmlformats.org/officeDocument/2006/relationships/hyperlink" Target="https://www.linkedin.com/in/shreyansh-jadhav-baa2211b6" TargetMode="External"/><Relationship Id="rId1725" Type="http://schemas.openxmlformats.org/officeDocument/2006/relationships/hyperlink" Target="https://drive.google.com/file/d/1YYJzWTg8Gf1O6uw7KkxgrOR1ogBdqsXI/view?usp=sharing" TargetMode="External"/><Relationship Id="rId1726" Type="http://schemas.openxmlformats.org/officeDocument/2006/relationships/hyperlink" Target="https://drive.google.com/open?id=1x5WXUOxITE1-ePtBhJwbwx3dvaqsSTAN" TargetMode="External"/><Relationship Id="rId1727" Type="http://schemas.openxmlformats.org/officeDocument/2006/relationships/hyperlink" Target="https://drive.google.com/open?id=1LS-rnDBq-70e_2s1xgQuk1jp8IrZuF3f" TargetMode="External"/><Relationship Id="rId1728" Type="http://schemas.openxmlformats.org/officeDocument/2006/relationships/hyperlink" Target="https://drive.google.com/open?id=1Qq1058r0AaEgEfDQckPZB91lIYzCz_Ck" TargetMode="External"/><Relationship Id="rId1729" Type="http://schemas.openxmlformats.org/officeDocument/2006/relationships/hyperlink" Target="https://drive.google.com/open?id=1hLlXDBfWf9SRTV0y1AtlAr6zs7XEXbF9" TargetMode="External"/><Relationship Id="rId1752" Type="http://schemas.openxmlformats.org/officeDocument/2006/relationships/hyperlink" Target="https://drive.google.com/open?id=1SrjOweh-ORfyUtDuwvrTuXDVjCiqoB67" TargetMode="External"/><Relationship Id="rId1753" Type="http://schemas.openxmlformats.org/officeDocument/2006/relationships/hyperlink" Target="https://drive.google.com/open?id=1Wdl_pny6z73IfIvr4aehzsTCVESmApcx" TargetMode="External"/><Relationship Id="rId1754" Type="http://schemas.openxmlformats.org/officeDocument/2006/relationships/hyperlink" Target="https://drive.google.com/open?id=1J8zy_0RY_hu6g0A05_wPtZGVg3WEHRTb" TargetMode="External"/><Relationship Id="rId1755" Type="http://schemas.openxmlformats.org/officeDocument/2006/relationships/hyperlink" Target="https://www.linkedin.com/in/deep-raj-0a4972182" TargetMode="External"/><Relationship Id="rId1756" Type="http://schemas.openxmlformats.org/officeDocument/2006/relationships/hyperlink" Target="https://preskilet.com/dpraj@mitaoe.ac.in" TargetMode="External"/><Relationship Id="rId1757" Type="http://schemas.openxmlformats.org/officeDocument/2006/relationships/hyperlink" Target="https://drive.google.com/open?id=171GHrRDenPmkoomWNuLVNrZP1aMOUerT" TargetMode="External"/><Relationship Id="rId1758" Type="http://schemas.openxmlformats.org/officeDocument/2006/relationships/hyperlink" Target="https://drive.google.com/open?id=1XD1yv4naNxkmFPQJy8oTVISL0hVcYSnr" TargetMode="External"/><Relationship Id="rId1759" Type="http://schemas.openxmlformats.org/officeDocument/2006/relationships/hyperlink" Target="https://drive.google.com/open?id=1KZ0Vm9W_Vn7RHFYt4Afb2aWqRn82PfJM" TargetMode="External"/><Relationship Id="rId1750" Type="http://schemas.openxmlformats.org/officeDocument/2006/relationships/hyperlink" Target="https://drive.google.com/open?id=1VCSyFQ4YeSJE-ixIUUVJwRg6aUM5QKYs" TargetMode="External"/><Relationship Id="rId1751" Type="http://schemas.openxmlformats.org/officeDocument/2006/relationships/hyperlink" Target="https://drive.google.com/open?id=1SmJv8_JkE9ijk6sOvnyPOc8SCY6llEJC" TargetMode="External"/><Relationship Id="rId1741" Type="http://schemas.openxmlformats.org/officeDocument/2006/relationships/hyperlink" Target="https://drive.google.com/file/d/1WCHi2UIjPRQW_DOQDsbbKt4zhxa6hgjV/view?usp=sharing" TargetMode="External"/><Relationship Id="rId1742" Type="http://schemas.openxmlformats.org/officeDocument/2006/relationships/hyperlink" Target="https://drive.google.com/open?id=167YIqRxjjCVjnd5qx_kQbxcawVcyHq2B" TargetMode="External"/><Relationship Id="rId1743" Type="http://schemas.openxmlformats.org/officeDocument/2006/relationships/hyperlink" Target="https://drive.google.com/open?id=1_4puNbqi2oFVNoxXg94OkDlE-dZhGjH0" TargetMode="External"/><Relationship Id="rId1744" Type="http://schemas.openxmlformats.org/officeDocument/2006/relationships/hyperlink" Target="https://drive.google.com/open?id=1o1OLxK-gYuwMVXRG6FS4E19sE6QcxhPG" TargetMode="External"/><Relationship Id="rId1745" Type="http://schemas.openxmlformats.org/officeDocument/2006/relationships/hyperlink" Target="https://drive.google.com/open?id=1fyA5c-loURaQ8xU3CicJXEBjqkgBd4Gy" TargetMode="External"/><Relationship Id="rId1746" Type="http://schemas.openxmlformats.org/officeDocument/2006/relationships/hyperlink" Target="https://drive.google.com/open?id=1JbwKWco93--yduTKXYOFPWZ6T0-tuRZe" TargetMode="External"/><Relationship Id="rId1747" Type="http://schemas.openxmlformats.org/officeDocument/2006/relationships/hyperlink" Target="https://drive.google.com/open?id=1XBS7cWYZUo5ez1L3hhbGZAMVZwUKAGHm" TargetMode="External"/><Relationship Id="rId1748" Type="http://schemas.openxmlformats.org/officeDocument/2006/relationships/hyperlink" Target="https://www.linkedin.com/in/ruturaj-javeri-50b0a51b0" TargetMode="External"/><Relationship Id="rId1749" Type="http://schemas.openxmlformats.org/officeDocument/2006/relationships/hyperlink" Target="https://drive.google.com/file/d/1VBvUb_WR_A71mePL5LwAh0y6do-17lkn/view?usp=drivesdk" TargetMode="External"/><Relationship Id="rId1740" Type="http://schemas.openxmlformats.org/officeDocument/2006/relationships/hyperlink" Target="http://linkedin.com/in/asavari-kalse-349a98209" TargetMode="External"/><Relationship Id="rId5291" Type="http://schemas.openxmlformats.org/officeDocument/2006/relationships/hyperlink" Target="https://drive.google.com/open?id=1cjcqZwl5sAAxCPUCchtVtFeVsiDzo_zW" TargetMode="External"/><Relationship Id="rId5292" Type="http://schemas.openxmlformats.org/officeDocument/2006/relationships/hyperlink" Target="https://drive.google.com/open?id=1VpOnT3Evmo6BT9vtWnKFmSTXYJIZxGF2" TargetMode="External"/><Relationship Id="rId5290" Type="http://schemas.openxmlformats.org/officeDocument/2006/relationships/hyperlink" Target="https://drive.google.com/open?id=1-yhBXGXgxeCixB6D4WV5Wlm2RHjnUuz6" TargetMode="External"/><Relationship Id="rId5295" Type="http://schemas.openxmlformats.org/officeDocument/2006/relationships/hyperlink" Target="https://drive.google.com/open?id=1meBZUgxAwQt62HYe52K1xqxKQm3iPNOh" TargetMode="External"/><Relationship Id="rId5296" Type="http://schemas.openxmlformats.org/officeDocument/2006/relationships/hyperlink" Target="https://drive.google.com/open?id=1qdrT1qpYcHkCnKpyYP5iKmb41XzMP_xV" TargetMode="External"/><Relationship Id="rId5293" Type="http://schemas.openxmlformats.org/officeDocument/2006/relationships/hyperlink" Target="https://www.linkedin.com/in/megahraj-jawale-a4a25a213/" TargetMode="External"/><Relationship Id="rId5294" Type="http://schemas.openxmlformats.org/officeDocument/2006/relationships/hyperlink" Target="https://drive.google.com/drive/folders/19M5l_1GIl4opxsAvy39K9VOEiDGkXviF?usp=sharing" TargetMode="External"/><Relationship Id="rId5299" Type="http://schemas.openxmlformats.org/officeDocument/2006/relationships/hyperlink" Target="https://drive.google.com/file/d/1GFDYXG7kxg7uqSko3SgGHr7LsJONTyuk/view?usp=sharing" TargetMode="External"/><Relationship Id="rId5297" Type="http://schemas.openxmlformats.org/officeDocument/2006/relationships/hyperlink" Target="https://drive.google.com/open?id=19LoUEb67xQRzqfb3Q2OFeQnZ69xL5uD_" TargetMode="External"/><Relationship Id="rId5298" Type="http://schemas.openxmlformats.org/officeDocument/2006/relationships/hyperlink" Target="https://in.linkedin.com/" TargetMode="External"/><Relationship Id="rId5280" Type="http://schemas.openxmlformats.org/officeDocument/2006/relationships/hyperlink" Target="https://drive.google.com/open?id=1tdHm236PE1CkgGggHj2S6VtnbXy0U0qY" TargetMode="External"/><Relationship Id="rId5281" Type="http://schemas.openxmlformats.org/officeDocument/2006/relationships/hyperlink" Target="https://www.linkedin.com/in/luv-sharma-6576b6241" TargetMode="External"/><Relationship Id="rId5284" Type="http://schemas.openxmlformats.org/officeDocument/2006/relationships/hyperlink" Target="https://drive.google.com/open?id=1ffvdCBWJNvME_BfC5GaCspaIVcuMV4wF" TargetMode="External"/><Relationship Id="rId5285" Type="http://schemas.openxmlformats.org/officeDocument/2006/relationships/hyperlink" Target="https://drive.google.com/open?id=1ENyZkNc7ylB8MVtK0TRKIfDDq9SeBBmL" TargetMode="External"/><Relationship Id="rId5282" Type="http://schemas.openxmlformats.org/officeDocument/2006/relationships/hyperlink" Target="https://drive.google.com/file/d/1aQTGcI8daIstzJ5_ucE3Pz3YRtKblPS8/view?usp=sharing" TargetMode="External"/><Relationship Id="rId5283" Type="http://schemas.openxmlformats.org/officeDocument/2006/relationships/hyperlink" Target="https://drive.google.com/open?id=1Cpd8rbsk6Bpw3MUKJ89FJ2-L50peIrP8" TargetMode="External"/><Relationship Id="rId5288" Type="http://schemas.openxmlformats.org/officeDocument/2006/relationships/hyperlink" Target="https://drive.google.com/file/d/1GMG4afzYxteZmVQb3S2sNgdyb35S5kLc/view?usp=drivesdk" TargetMode="External"/><Relationship Id="rId5289" Type="http://schemas.openxmlformats.org/officeDocument/2006/relationships/hyperlink" Target="https://drive.google.com/open?id=1BJp0rnW_07OHWlqxbZA9-gQvqIq9egka" TargetMode="External"/><Relationship Id="rId5286" Type="http://schemas.openxmlformats.org/officeDocument/2006/relationships/hyperlink" Target="https://drive.google.com/open?id=1jz3LOf-xLfX4aZ6AtVORfRShlIXFQBr6" TargetMode="External"/><Relationship Id="rId5287" Type="http://schemas.openxmlformats.org/officeDocument/2006/relationships/hyperlink" Target="https://www.linkedin.com/in/sudnyan-wale-16b029241" TargetMode="External"/><Relationship Id="rId1710" Type="http://schemas.openxmlformats.org/officeDocument/2006/relationships/hyperlink" Target="https://preskilet.com/editpret" TargetMode="External"/><Relationship Id="rId1711" Type="http://schemas.openxmlformats.org/officeDocument/2006/relationships/hyperlink" Target="https://drive.google.com/open?id=1dm_vCOILiR9y6bT6AssNr9WR558rXFO7" TargetMode="External"/><Relationship Id="rId1712" Type="http://schemas.openxmlformats.org/officeDocument/2006/relationships/hyperlink" Target="https://drive.google.com/open?id=1cCparbDUVYgwyCfVktl8wB3RpYiQMrBP" TargetMode="External"/><Relationship Id="rId1713" Type="http://schemas.openxmlformats.org/officeDocument/2006/relationships/hyperlink" Target="https://drive.google.com/open?id=1jNRixt5STPuVzvROgw80zF2WcAwa8ZrC" TargetMode="External"/><Relationship Id="rId1714" Type="http://schemas.openxmlformats.org/officeDocument/2006/relationships/hyperlink" Target="https://www.linkedin.com/in/mohit-pawar-8883361a6" TargetMode="External"/><Relationship Id="rId1715" Type="http://schemas.openxmlformats.org/officeDocument/2006/relationships/hyperlink" Target="https://preskilet.com/mohitpawar@mitaoe.ac.in" TargetMode="External"/><Relationship Id="rId1716" Type="http://schemas.openxmlformats.org/officeDocument/2006/relationships/hyperlink" Target="https://drive.google.com/open?id=1O8xFcmnZwo2fb75L5fIVo-5hd38uvXI0" TargetMode="External"/><Relationship Id="rId1717" Type="http://schemas.openxmlformats.org/officeDocument/2006/relationships/hyperlink" Target="https://drive.google.com/open?id=1fB6cLS79vdwQGUgs1RdEXMJ-fPQ8KqAo" TargetMode="External"/><Relationship Id="rId1718" Type="http://schemas.openxmlformats.org/officeDocument/2006/relationships/hyperlink" Target="https://www.linkedin.com/in/ankita-patsute-64131821a" TargetMode="External"/><Relationship Id="rId1719" Type="http://schemas.openxmlformats.org/officeDocument/2006/relationships/hyperlink" Target="https://preskilet.com/watch?v=629b6d4471d9d70004a56e64" TargetMode="External"/><Relationship Id="rId1700" Type="http://schemas.openxmlformats.org/officeDocument/2006/relationships/hyperlink" Target="https://drive.google.com/open?id=1f51zmkUFbV-8c_iIDKKXhKgcRbqK0o_o" TargetMode="External"/><Relationship Id="rId1701" Type="http://schemas.openxmlformats.org/officeDocument/2006/relationships/hyperlink" Target="http://www.linkedin.com/in/yadavaniket-3e" TargetMode="External"/><Relationship Id="rId1702" Type="http://schemas.openxmlformats.org/officeDocument/2006/relationships/hyperlink" Target="https://preskilet.com/watch?v=62b5eb5aaf4f2700045ce094" TargetMode="External"/><Relationship Id="rId1703" Type="http://schemas.openxmlformats.org/officeDocument/2006/relationships/hyperlink" Target="https://drive.google.com/open?id=1aPLxGK619OoJ-Idd4iRihLKZYRkeUStO" TargetMode="External"/><Relationship Id="rId1704" Type="http://schemas.openxmlformats.org/officeDocument/2006/relationships/hyperlink" Target="https://drive.google.com/open?id=1BSepHKJRmxYKYNHeTtWgmKxNRnjaIpTv" TargetMode="External"/><Relationship Id="rId1705" Type="http://schemas.openxmlformats.org/officeDocument/2006/relationships/hyperlink" Target="https://drive.google.com/open?id=1HS1TTnojEE72jr2cwNFOY46wIroU3Gmk" TargetMode="External"/><Relationship Id="rId1706" Type="http://schemas.openxmlformats.org/officeDocument/2006/relationships/hyperlink" Target="https://drive.google.com/open?id=15JfM1yL6jEz3KWFV4uAKox74IPtQV4iy" TargetMode="External"/><Relationship Id="rId1707" Type="http://schemas.openxmlformats.org/officeDocument/2006/relationships/hyperlink" Target="https://drive.google.com/open?id=1MELiG2VguS-NCWHdn3UHzVG3GqIt_PiA" TargetMode="External"/><Relationship Id="rId1708" Type="http://schemas.openxmlformats.org/officeDocument/2006/relationships/hyperlink" Target="https://drive.google.com/open?id=13jTJ0XgR-Q0NAdZHfJo7va41J4I2Th_b" TargetMode="External"/><Relationship Id="rId1709" Type="http://schemas.openxmlformats.org/officeDocument/2006/relationships/hyperlink" Target="http://linkedin.com/in/khushal-chaudhari-06b8a6229" TargetMode="External"/><Relationship Id="rId40" Type="http://schemas.openxmlformats.org/officeDocument/2006/relationships/hyperlink" Target="https://www.linkedin.com/in/chaitanya-umbarkar-68a11b234" TargetMode="External"/><Relationship Id="rId3513" Type="http://schemas.openxmlformats.org/officeDocument/2006/relationships/hyperlink" Target="https://drive.google.com/open?id=1UxbxeASPmN-sOL_L7u-L5Cel4ZAHt1dx" TargetMode="External"/><Relationship Id="rId4844" Type="http://schemas.openxmlformats.org/officeDocument/2006/relationships/hyperlink" Target="https://drive.google.com/drive/folders/1L3qlTm2DLNwhYU6wVNDS9Tx95ZZB7ALb" TargetMode="External"/><Relationship Id="rId3512" Type="http://schemas.openxmlformats.org/officeDocument/2006/relationships/hyperlink" Target="https://drive.google.com/open?id=1XSvoUDRmwN1d8CZmHeuLrREgHHOXt4tl" TargetMode="External"/><Relationship Id="rId4843" Type="http://schemas.openxmlformats.org/officeDocument/2006/relationships/hyperlink" Target="https://drive.google.com/open?id=1eeVLH_AsmVLT5JpuIsbo--VYmZzrM0Uz" TargetMode="External"/><Relationship Id="rId42" Type="http://schemas.openxmlformats.org/officeDocument/2006/relationships/hyperlink" Target="https://drive.google.com/open?id=1wnT2EFBAeH6HqGKwl8g0xBpRLJWII2z-" TargetMode="External"/><Relationship Id="rId3515" Type="http://schemas.openxmlformats.org/officeDocument/2006/relationships/hyperlink" Target="https://drive.google.com/open?id=1H7NorN8UllzPJrYUvn7xqsz1qMVXWjnh" TargetMode="External"/><Relationship Id="rId4846" Type="http://schemas.openxmlformats.org/officeDocument/2006/relationships/hyperlink" Target="https://drive.google.com/open?id=1iAcOt8dyOLN7lgdmRqNSV6q_DCaIAgFM" TargetMode="External"/><Relationship Id="rId41" Type="http://schemas.openxmlformats.org/officeDocument/2006/relationships/hyperlink" Target="https://preskilet.com/watch?v=62b2d2b8cd590700045fb39e" TargetMode="External"/><Relationship Id="rId3514" Type="http://schemas.openxmlformats.org/officeDocument/2006/relationships/hyperlink" Target="https://drive.google.com/open?id=1XKAEzjmTzvWjwV6d3yw5Aay6X8DEbINc" TargetMode="External"/><Relationship Id="rId4845" Type="http://schemas.openxmlformats.org/officeDocument/2006/relationships/hyperlink" Target="https://drive.google.com/open?id=1d3TYMskDLqs3DwI3dKlXUM5dU6vqbE8o" TargetMode="External"/><Relationship Id="rId44" Type="http://schemas.openxmlformats.org/officeDocument/2006/relationships/hyperlink" Target="https://drive.google.com/open?id=1m_8motoCkGSu2_1nb7uHqIuXrIlpPa8s" TargetMode="External"/><Relationship Id="rId3517" Type="http://schemas.openxmlformats.org/officeDocument/2006/relationships/hyperlink" Target="https://drive.google.com/open?id=1A9rTN8wBRacWxao01HIzDiOVYh_D3rDI" TargetMode="External"/><Relationship Id="rId4848" Type="http://schemas.openxmlformats.org/officeDocument/2006/relationships/hyperlink" Target="https://www.linkedin.com/in/manish-bhabad-325960241" TargetMode="External"/><Relationship Id="rId43" Type="http://schemas.openxmlformats.org/officeDocument/2006/relationships/hyperlink" Target="https://drive.google.com/open?id=1Q4cuj0GvYUjNTb976Q-RDtkoTLP--RKt" TargetMode="External"/><Relationship Id="rId3516" Type="http://schemas.openxmlformats.org/officeDocument/2006/relationships/hyperlink" Target="https://drive.google.com/open?id=1mZ8og5hpryo5OFVgoDtijKyRWMT_SG0V" TargetMode="External"/><Relationship Id="rId4847" Type="http://schemas.openxmlformats.org/officeDocument/2006/relationships/hyperlink" Target="https://drive.google.com/open?id=1NJ5JD5Yrm03bR3YS6OjG5wR7aV0RUOvI" TargetMode="External"/><Relationship Id="rId46" Type="http://schemas.openxmlformats.org/officeDocument/2006/relationships/hyperlink" Target="https://drive.google.com/open?id=1DwDVCIpFO4NQIy6XWg7_HXlVWsvZVVxD" TargetMode="External"/><Relationship Id="rId3519" Type="http://schemas.openxmlformats.org/officeDocument/2006/relationships/hyperlink" Target="https://preskilet.com/watch?v=62b5764eaf4f2700045cde9a" TargetMode="External"/><Relationship Id="rId45" Type="http://schemas.openxmlformats.org/officeDocument/2006/relationships/hyperlink" Target="https://drive.google.com/open?id=1QjeB9rGfhWgyrqQH4AqB-RCpNTSkykoH" TargetMode="External"/><Relationship Id="rId3518" Type="http://schemas.openxmlformats.org/officeDocument/2006/relationships/hyperlink" Target="https://www.linkedin.com/in/vaibhav-gengane-8a15231ab" TargetMode="External"/><Relationship Id="rId4849" Type="http://schemas.openxmlformats.org/officeDocument/2006/relationships/hyperlink" Target="https://drive.google.com/drive/folders/1W3-SeWoOCf64ajymamDFBZepabb_ICCV" TargetMode="External"/><Relationship Id="rId48" Type="http://schemas.openxmlformats.org/officeDocument/2006/relationships/hyperlink" Target="https://drive.google.com/open?id=18dzCKu4r8ilKCOmCETNuKIOXHubEjlXm" TargetMode="External"/><Relationship Id="rId47" Type="http://schemas.openxmlformats.org/officeDocument/2006/relationships/hyperlink" Target="https://drive.google.com/open?id=1kAAaFFex8uGta-HA6qKQEpXdza7vFRJq" TargetMode="External"/><Relationship Id="rId49" Type="http://schemas.openxmlformats.org/officeDocument/2006/relationships/hyperlink" Target="https://drive.google.com/open?id=15Ig3Y9hHmqNB8pKxQgSJ6iye1QESUeTI" TargetMode="External"/><Relationship Id="rId4840" Type="http://schemas.openxmlformats.org/officeDocument/2006/relationships/hyperlink" Target="https://drive.google.com/open?id=1JC0jMysHaIINwiNkfHsN0MB4IozSjdiN" TargetMode="External"/><Relationship Id="rId3511" Type="http://schemas.openxmlformats.org/officeDocument/2006/relationships/hyperlink" Target="https://drive.google.com/open?id=10jZ4ENZ5Q-F-Snn-i_qo7pNyCvb7ZrcO" TargetMode="External"/><Relationship Id="rId4842" Type="http://schemas.openxmlformats.org/officeDocument/2006/relationships/hyperlink" Target="https://drive.google.com/open?id=1-YnoOkEEJH2XLA2I0qT8XEAw_3kB8cQb" TargetMode="External"/><Relationship Id="rId3510" Type="http://schemas.openxmlformats.org/officeDocument/2006/relationships/hyperlink" Target="https://drive.google.com/open?id=1sXpUOzoHqzNLcvQMNvaG_Xsr2iBZzv0t" TargetMode="External"/><Relationship Id="rId4841" Type="http://schemas.openxmlformats.org/officeDocument/2006/relationships/hyperlink" Target="https://drive.google.com/drive/folders/1N6guknXsU0-ub7KJY1ppKeaQVDgNK5bZ" TargetMode="External"/><Relationship Id="rId3502" Type="http://schemas.openxmlformats.org/officeDocument/2006/relationships/hyperlink" Target="https://drive.google.com/open?id=1Hj8rLhG1w5SYvXlv_Xh5UOUCalA2HSNt" TargetMode="External"/><Relationship Id="rId4833" Type="http://schemas.openxmlformats.org/officeDocument/2006/relationships/hyperlink" Target="https://drive.google.com/open?id=1amThlOqSKP_2tbo88MOcPPpzBVjQk_sc" TargetMode="External"/><Relationship Id="rId3501" Type="http://schemas.openxmlformats.org/officeDocument/2006/relationships/hyperlink" Target="https://drive.google.com/open?id=1UX01GCENo-itafDVEQoojqDRGiH4ls3z" TargetMode="External"/><Relationship Id="rId4832" Type="http://schemas.openxmlformats.org/officeDocument/2006/relationships/hyperlink" Target="https://drive.google.com/open?id=1XjZI2U_3-J6yrool_WsKpvJWLU3Nd-yK" TargetMode="External"/><Relationship Id="rId31" Type="http://schemas.openxmlformats.org/officeDocument/2006/relationships/hyperlink" Target="https://drive.google.com/open?id=1d-Wf98H8Tw_BhfSIUCdzWCqn5Li9gNq3" TargetMode="External"/><Relationship Id="rId3504" Type="http://schemas.openxmlformats.org/officeDocument/2006/relationships/hyperlink" Target="https://drive.google.com/open?id=1IZw79baszbei_ceOrdqh7zt0gW_NbvJh" TargetMode="External"/><Relationship Id="rId4835" Type="http://schemas.openxmlformats.org/officeDocument/2006/relationships/hyperlink" Target="https://drive.google.com/open?id=1DyyQSZwU8oxnJORv0HhpVHxyEMOBDOW5" TargetMode="External"/><Relationship Id="rId30" Type="http://schemas.openxmlformats.org/officeDocument/2006/relationships/hyperlink" Target="https://drive.google.com/open?id=1K72835dQGlo78AE5R8YtRvZbJ-Ap9TMl" TargetMode="External"/><Relationship Id="rId3503" Type="http://schemas.openxmlformats.org/officeDocument/2006/relationships/hyperlink" Target="https://drive.google.com/open?id=1-65qK8g8a7iJc02S4I9q2ciJNONeSlOA" TargetMode="External"/><Relationship Id="rId4834" Type="http://schemas.openxmlformats.org/officeDocument/2006/relationships/hyperlink" Target="https://drive.google.com/open?id=16tR7nHW11AWxYR0Fmdo5jsz4Ff5mQyxK" TargetMode="External"/><Relationship Id="rId33" Type="http://schemas.openxmlformats.org/officeDocument/2006/relationships/hyperlink" Target="https://www.linkedin.com/in/kunal-lokhande-06481920b/" TargetMode="External"/><Relationship Id="rId3506" Type="http://schemas.openxmlformats.org/officeDocument/2006/relationships/hyperlink" Target="https://preskilet.com/watch?v=62bd89a09535010004fd2669" TargetMode="External"/><Relationship Id="rId4837" Type="http://schemas.openxmlformats.org/officeDocument/2006/relationships/hyperlink" Target="https://drive.google.com/drive/folders/18rMV3hR8XmzWxEaTFWm9RbLWTj06AOsj?usp=sharing" TargetMode="External"/><Relationship Id="rId32" Type="http://schemas.openxmlformats.org/officeDocument/2006/relationships/hyperlink" Target="https://drive.google.com/open?id=1wOmLxt_kA6NVjdr0SY_vBObWwtdtRPwA" TargetMode="External"/><Relationship Id="rId3505" Type="http://schemas.openxmlformats.org/officeDocument/2006/relationships/hyperlink" Target="https://www.linkedin.com/in/manal-kamble-6b856720a" TargetMode="External"/><Relationship Id="rId4836" Type="http://schemas.openxmlformats.org/officeDocument/2006/relationships/hyperlink" Target="https://www.linkedin.com/in/pratik-landge-8b394a241/" TargetMode="External"/><Relationship Id="rId35" Type="http://schemas.openxmlformats.org/officeDocument/2006/relationships/hyperlink" Target="https://drive.google.com/open?id=1q8FN3Te5DHczkmW52zGKMS799sPgrGaE" TargetMode="External"/><Relationship Id="rId3508" Type="http://schemas.openxmlformats.org/officeDocument/2006/relationships/hyperlink" Target="https://drive.google.com/open?id=16w-smS1Z2Yle8b0zxWb49L7rd6omXVDw" TargetMode="External"/><Relationship Id="rId4839" Type="http://schemas.openxmlformats.org/officeDocument/2006/relationships/hyperlink" Target="https://drive.google.com/open?id=1IJzkOFuatQo9lIyATnWvjiIv_vdE5hbr" TargetMode="External"/><Relationship Id="rId34" Type="http://schemas.openxmlformats.org/officeDocument/2006/relationships/hyperlink" Target="https://preskilet.com/watch?v=621e27c6f7fd760004a9f55b" TargetMode="External"/><Relationship Id="rId3507" Type="http://schemas.openxmlformats.org/officeDocument/2006/relationships/hyperlink" Target="https://drive.google.com/open?id=1_QrYzw9xIHy5bxlks717-OL8cfnsVsAL" TargetMode="External"/><Relationship Id="rId4838" Type="http://schemas.openxmlformats.org/officeDocument/2006/relationships/hyperlink" Target="https://drive.google.com/open?id=1KfqzTsFj9HWu-NtuPXdVCRUb9snWM2KT" TargetMode="External"/><Relationship Id="rId3509" Type="http://schemas.openxmlformats.org/officeDocument/2006/relationships/hyperlink" Target="https://drive.google.com/open?id=1lH9Utvb-ybmIvrkBaakDya8hzKaOTMsy" TargetMode="External"/><Relationship Id="rId37" Type="http://schemas.openxmlformats.org/officeDocument/2006/relationships/hyperlink" Target="https://drive.google.com/open?id=1ZY7WQdSSq0kS88b5rAlklTyiDoQZ5WUu" TargetMode="External"/><Relationship Id="rId36" Type="http://schemas.openxmlformats.org/officeDocument/2006/relationships/hyperlink" Target="https://drive.google.com/open?id=1EsNP6bvKPPmkvo1l1EfhuxzKRwCyB9U_" TargetMode="External"/><Relationship Id="rId39" Type="http://schemas.openxmlformats.org/officeDocument/2006/relationships/hyperlink" Target="https://drive.google.com/open?id=1tmTPqwStAq8mxF28JO2CSgwo0YDr2FN1" TargetMode="External"/><Relationship Id="rId38" Type="http://schemas.openxmlformats.org/officeDocument/2006/relationships/hyperlink" Target="https://drive.google.com/open?id=1KxUZrRfTKuPxHnpas_4R8kG226FCMfK9" TargetMode="External"/><Relationship Id="rId3500" Type="http://schemas.openxmlformats.org/officeDocument/2006/relationships/hyperlink" Target="https://drive.google.com/open?id=1xo4D8XholLpOH3Sec6TnvG34Vv_D9S9I" TargetMode="External"/><Relationship Id="rId4831" Type="http://schemas.openxmlformats.org/officeDocument/2006/relationships/hyperlink" Target="https://drive.google.com/open?id=1halfZkrvEUf9kbjtHPqglth6YlwERGo5" TargetMode="External"/><Relationship Id="rId4830" Type="http://schemas.openxmlformats.org/officeDocument/2006/relationships/hyperlink" Target="https://drive.google.com/drive/folders/11zCWSj1Hb4YVBHImE7UgrAZXMaiNtj_q?usp=sharing" TargetMode="External"/><Relationship Id="rId2203" Type="http://schemas.openxmlformats.org/officeDocument/2006/relationships/hyperlink" Target="https://drive.google.com/open?id=1Xmd1BjxUCOEsXf2jUynBYjLxXxH6U9IX" TargetMode="External"/><Relationship Id="rId3535" Type="http://schemas.openxmlformats.org/officeDocument/2006/relationships/hyperlink" Target="https://preskilet.com/watch?v=62a2402afed70c00042b695f" TargetMode="External"/><Relationship Id="rId4866" Type="http://schemas.openxmlformats.org/officeDocument/2006/relationships/hyperlink" Target="https://preskilet.com/watch?v=62a36213a6956a00045fff86" TargetMode="External"/><Relationship Id="rId2204" Type="http://schemas.openxmlformats.org/officeDocument/2006/relationships/hyperlink" Target="https://drive.google.com/open?id=1HHBJIQbfRPGV0L1dGg7dTsDlhgSGKEfh" TargetMode="External"/><Relationship Id="rId3534" Type="http://schemas.openxmlformats.org/officeDocument/2006/relationships/hyperlink" Target="https://www.linkedin.com/in/nishant-dhakne-322134236" TargetMode="External"/><Relationship Id="rId4865" Type="http://schemas.openxmlformats.org/officeDocument/2006/relationships/hyperlink" Target="https://www.linkedin.com/in/omkar-pawar-88b2bb213" TargetMode="External"/><Relationship Id="rId20" Type="http://schemas.openxmlformats.org/officeDocument/2006/relationships/hyperlink" Target="https://preskilet.com/sadafshaikh@mitaoe.ac.in" TargetMode="External"/><Relationship Id="rId2205" Type="http://schemas.openxmlformats.org/officeDocument/2006/relationships/hyperlink" Target="https://www.linkedin.com/in/komal-phutane" TargetMode="External"/><Relationship Id="rId3537" Type="http://schemas.openxmlformats.org/officeDocument/2006/relationships/hyperlink" Target="https://drive.google.com/open?id=17GKMKeYiTprdHUB3idm67xm_h-JGxkaw" TargetMode="External"/><Relationship Id="rId4868" Type="http://schemas.openxmlformats.org/officeDocument/2006/relationships/hyperlink" Target="https://drive.google.com/open?id=1jnzL8_v0dL2TuoC-lCF_ZLqQdxEaiI15" TargetMode="External"/><Relationship Id="rId2206" Type="http://schemas.openxmlformats.org/officeDocument/2006/relationships/hyperlink" Target="https://preskilet.com/kaphutane@mitaoe.ac.in" TargetMode="External"/><Relationship Id="rId3536" Type="http://schemas.openxmlformats.org/officeDocument/2006/relationships/hyperlink" Target="https://drive.google.com/open?id=1kA0JyicoXNWFV0wtJFcKP2ncqnUZK1nB" TargetMode="External"/><Relationship Id="rId4867" Type="http://schemas.openxmlformats.org/officeDocument/2006/relationships/hyperlink" Target="https://drive.google.com/open?id=1MrC4IAyGi6rnuqEJYO3VBcQJToJIbD7C" TargetMode="External"/><Relationship Id="rId22" Type="http://schemas.openxmlformats.org/officeDocument/2006/relationships/hyperlink" Target="https://drive.google.com/open?id=1y1UuHz84RkFGAFl6bxrD4spvJaoLMmvr" TargetMode="External"/><Relationship Id="rId2207" Type="http://schemas.openxmlformats.org/officeDocument/2006/relationships/hyperlink" Target="https://drive.google.com/open?id=1XimBY8ZREA09-pZATEyi2ROUVPV-kr2x" TargetMode="External"/><Relationship Id="rId3539" Type="http://schemas.openxmlformats.org/officeDocument/2006/relationships/hyperlink" Target="https://www.linkedin.com/in/amol-biradar-9bb319223" TargetMode="External"/><Relationship Id="rId21" Type="http://schemas.openxmlformats.org/officeDocument/2006/relationships/hyperlink" Target="https://drive.google.com/open?id=1HclrmSHFuyhrCRdk33CILPdRHwU8dYK_" TargetMode="External"/><Relationship Id="rId2208" Type="http://schemas.openxmlformats.org/officeDocument/2006/relationships/hyperlink" Target="https://drive.google.com/open?id=19OuqkP-4b-5aVwr9L9hijBUL-j2WD_f7" TargetMode="External"/><Relationship Id="rId3538" Type="http://schemas.openxmlformats.org/officeDocument/2006/relationships/hyperlink" Target="https://drive.google.com/open?id=1E8K_8gU5iforyqDJIPyrSDefnqviK4c4" TargetMode="External"/><Relationship Id="rId4869" Type="http://schemas.openxmlformats.org/officeDocument/2006/relationships/hyperlink" Target="https://drive.google.com/open?id=1dnzh03e2ZZFX92XnDFX1_mUlqh3QkpRb" TargetMode="External"/><Relationship Id="rId24" Type="http://schemas.openxmlformats.org/officeDocument/2006/relationships/hyperlink" Target="https://drive.google.com/open?id=1scB5Fb1ZTsq7YVcBV61QmvhyulLgPja1" TargetMode="External"/><Relationship Id="rId2209" Type="http://schemas.openxmlformats.org/officeDocument/2006/relationships/hyperlink" Target="https://drive.google.com/open?id=1h-nM6Dz4UZr7kQuJqdcvPHmzPv8gO4xb" TargetMode="External"/><Relationship Id="rId23" Type="http://schemas.openxmlformats.org/officeDocument/2006/relationships/hyperlink" Target="https://drive.google.com/open?id=1kqAYWZJ-0gSB_QytXttIN7eXRDF5RV2g" TargetMode="External"/><Relationship Id="rId26" Type="http://schemas.openxmlformats.org/officeDocument/2006/relationships/hyperlink" Target="https://drive.google.com/open?id=1uv8E6Z7Ck_l9BioRc11NVBKLlHePEZiO" TargetMode="External"/><Relationship Id="rId25" Type="http://schemas.openxmlformats.org/officeDocument/2006/relationships/hyperlink" Target="https://drive.google.com/open?id=10utmJHq-TZi7ZICNjUueF-a4F9lXJ-2G" TargetMode="External"/><Relationship Id="rId28" Type="http://schemas.openxmlformats.org/officeDocument/2006/relationships/hyperlink" Target="https://preskilet.com/62bdbbc79535010004fd28a2" TargetMode="External"/><Relationship Id="rId4860" Type="http://schemas.openxmlformats.org/officeDocument/2006/relationships/hyperlink" Target="https://drive.google.com/open?id=1_aPdJXwYr85xPNC1yZxhjuE8N65j5Uie" TargetMode="External"/><Relationship Id="rId27" Type="http://schemas.openxmlformats.org/officeDocument/2006/relationships/hyperlink" Target="https://www.linkedin.com/in/uday-padole-6b9881212" TargetMode="External"/><Relationship Id="rId3531" Type="http://schemas.openxmlformats.org/officeDocument/2006/relationships/hyperlink" Target="https://drive.google.com/open?id=1IMk9t1FOjZcYAoIeXEM4Lz3-Mub_vsxo" TargetMode="External"/><Relationship Id="rId4862" Type="http://schemas.openxmlformats.org/officeDocument/2006/relationships/hyperlink" Target="https://drive.google.com/drive/folders/1Y37qgoZcD3zvIuT1xxPEkoTskHO0P56r" TargetMode="External"/><Relationship Id="rId29" Type="http://schemas.openxmlformats.org/officeDocument/2006/relationships/hyperlink" Target="https://drive.google.com/open?id=16d3jKsZPYWAwj2qZ_k-TXHTmubF-c-o1" TargetMode="External"/><Relationship Id="rId2200" Type="http://schemas.openxmlformats.org/officeDocument/2006/relationships/hyperlink" Target="https://drive.google.com/open?id=1yWbGwak4k6LZxtnW8AVma5dyuRTnPZKF" TargetMode="External"/><Relationship Id="rId3530" Type="http://schemas.openxmlformats.org/officeDocument/2006/relationships/hyperlink" Target="https://drive.google.com/open?id=1mMIqvXLPgN3jOh9H-6msr5pPEBYuLGjc" TargetMode="External"/><Relationship Id="rId4861" Type="http://schemas.openxmlformats.org/officeDocument/2006/relationships/hyperlink" Target="https://www.linkedin.com/in/sunil-lad-944b01229" TargetMode="External"/><Relationship Id="rId2201" Type="http://schemas.openxmlformats.org/officeDocument/2006/relationships/hyperlink" Target="https://drive.google.com/open?id=1P_RRnktfcsBBQZRBGDLuqBkzafVSfFos" TargetMode="External"/><Relationship Id="rId3533" Type="http://schemas.openxmlformats.org/officeDocument/2006/relationships/hyperlink" Target="https://drive.google.com/open?id=1cr6S2t5f0quzbe5aQoMRjaOiluyMbBtE" TargetMode="External"/><Relationship Id="rId4864" Type="http://schemas.openxmlformats.org/officeDocument/2006/relationships/hyperlink" Target="https://drive.google.com/open?id=1vLp5sClWpwJH-1UxNMJiQLEVgkCVRegQ" TargetMode="External"/><Relationship Id="rId2202" Type="http://schemas.openxmlformats.org/officeDocument/2006/relationships/hyperlink" Target="https://drive.google.com/open?id=1YUlZhtiSZJ0c-TfcuCzeT7xnAdNfsD0Q" TargetMode="External"/><Relationship Id="rId3532" Type="http://schemas.openxmlformats.org/officeDocument/2006/relationships/hyperlink" Target="https://drive.google.com/open?id=13pd4kxCVXlO_98G88-bo4ktMtupdTtPq" TargetMode="External"/><Relationship Id="rId4863" Type="http://schemas.openxmlformats.org/officeDocument/2006/relationships/hyperlink" Target="https://drive.google.com/open?id=1s3zv-Y8GQHaZeYMq0GNxVA-g53kNY1dQ" TargetMode="External"/><Relationship Id="rId3524" Type="http://schemas.openxmlformats.org/officeDocument/2006/relationships/hyperlink" Target="https://drive.google.com/open?id=1wdaKdDCy_F2Y51PGJN0lEPrL63NJa9-w" TargetMode="External"/><Relationship Id="rId4855" Type="http://schemas.openxmlformats.org/officeDocument/2006/relationships/hyperlink" Target="https://www.linkedin.com/in/karanjot-singh-525681183/" TargetMode="External"/><Relationship Id="rId3523" Type="http://schemas.openxmlformats.org/officeDocument/2006/relationships/hyperlink" Target="https://drive.google.com/open?id=1AQyU1HjKOmbwOtE-bmT2h-_BXOEvQGL1" TargetMode="External"/><Relationship Id="rId4854" Type="http://schemas.openxmlformats.org/officeDocument/2006/relationships/hyperlink" Target="https://drive.google.com/open?id=1diiKlpAxnPD9NxM49FGAyWmzKkGFee6V" TargetMode="External"/><Relationship Id="rId3526" Type="http://schemas.openxmlformats.org/officeDocument/2006/relationships/hyperlink" Target="https://drive.google.com/open?id=1w-XcPTvqJJxsafEbdJzhTJeEVVcrI3Du" TargetMode="External"/><Relationship Id="rId4857" Type="http://schemas.openxmlformats.org/officeDocument/2006/relationships/hyperlink" Target="https://drive.google.com/open?id=1U1G7YDvmvMznvmWVnJQ9Op5NPeJ7X-3r" TargetMode="External"/><Relationship Id="rId3525" Type="http://schemas.openxmlformats.org/officeDocument/2006/relationships/hyperlink" Target="https://drive.google.com/open?id=1jFlCM4MKWL_iGES8Z89T7EowxVquTr1k" TargetMode="External"/><Relationship Id="rId4856" Type="http://schemas.openxmlformats.org/officeDocument/2006/relationships/hyperlink" Target="https://preskilet.com/watch?v=62a3627da6956a00045fff98" TargetMode="External"/><Relationship Id="rId11" Type="http://schemas.openxmlformats.org/officeDocument/2006/relationships/hyperlink" Target="https://www.linkedin.com/in/muskan-bharadia-bb8485210" TargetMode="External"/><Relationship Id="rId3528" Type="http://schemas.openxmlformats.org/officeDocument/2006/relationships/hyperlink" Target="https://preskilet.com/watch?v=629714fa5545ea0004a9235b" TargetMode="External"/><Relationship Id="rId4859" Type="http://schemas.openxmlformats.org/officeDocument/2006/relationships/hyperlink" Target="https://drive.google.com/open?id=1VlpAyQItkWIXduOxQio8Lq1JO0Nl6qZ6" TargetMode="External"/><Relationship Id="rId10" Type="http://schemas.openxmlformats.org/officeDocument/2006/relationships/hyperlink" Target="https://drive.google.com/open?id=1CckL91wk647TuNQu--ALqtvq9MYHmXYQ" TargetMode="External"/><Relationship Id="rId3527" Type="http://schemas.openxmlformats.org/officeDocument/2006/relationships/hyperlink" Target="http://linkedin.com/in/priyanshu-tripathi-4a768a1b7" TargetMode="External"/><Relationship Id="rId4858" Type="http://schemas.openxmlformats.org/officeDocument/2006/relationships/hyperlink" Target="https://drive.google.com/open?id=1Wz68si96VxwlYS6h1g5UXZWXiqL5C1KX" TargetMode="External"/><Relationship Id="rId13" Type="http://schemas.openxmlformats.org/officeDocument/2006/relationships/hyperlink" Target="https://drive.google.com/open?id=1aDK9MAKW6ZYaHdc5svrxDvSkr9CKpFWd" TargetMode="External"/><Relationship Id="rId12" Type="http://schemas.openxmlformats.org/officeDocument/2006/relationships/hyperlink" Target="https://drive.google.com/file/d/18n9RkNZ8YQ9uYLRBaJDmu9eeK2HMhaGt/view?usp=sharing" TargetMode="External"/><Relationship Id="rId3529" Type="http://schemas.openxmlformats.org/officeDocument/2006/relationships/hyperlink" Target="https://drive.google.com/open?id=1l1Cr21T019A6NgTmdLMJN3T00G3Jwl0a" TargetMode="External"/><Relationship Id="rId15" Type="http://schemas.openxmlformats.org/officeDocument/2006/relationships/hyperlink" Target="https://drive.google.com/open?id=1IFnpHwUMaP55EWtf6gh-7qsa6vGSqWDZ" TargetMode="External"/><Relationship Id="rId14" Type="http://schemas.openxmlformats.org/officeDocument/2006/relationships/hyperlink" Target="https://drive.google.com/open?id=1D38XNgPF4207HfSWul6vK-exbKx49zxN" TargetMode="External"/><Relationship Id="rId17" Type="http://schemas.openxmlformats.org/officeDocument/2006/relationships/hyperlink" Target="https://drive.google.com/open?id=1B5buPvWfBso53QMLxcqBegyGscwYSh_s" TargetMode="External"/><Relationship Id="rId16" Type="http://schemas.openxmlformats.org/officeDocument/2006/relationships/hyperlink" Target="https://drive.google.com/open?id=1bS1i1RLWOF1DmsaPOTvdC_duswfnSJ4M" TargetMode="External"/><Relationship Id="rId19" Type="http://schemas.openxmlformats.org/officeDocument/2006/relationships/hyperlink" Target="https://www.linkedin.com/in/sadaf-shaikh-4885951aa/" TargetMode="External"/><Relationship Id="rId3520" Type="http://schemas.openxmlformats.org/officeDocument/2006/relationships/hyperlink" Target="https://drive.google.com/open?id=1KGIiuY-wK5HGgbfqtZ81bcnYKEND43xH" TargetMode="External"/><Relationship Id="rId4851" Type="http://schemas.openxmlformats.org/officeDocument/2006/relationships/hyperlink" Target="https://drive.google.com/open?id=1VgP-Xj3TPck_Dyo0pBhUEakTwOuJ-z-p" TargetMode="External"/><Relationship Id="rId18" Type="http://schemas.openxmlformats.org/officeDocument/2006/relationships/hyperlink" Target="https://drive.google.com/open?id=1FOPennmZ_NFzrMbkCmEeRBQXv-hMpqIY" TargetMode="External"/><Relationship Id="rId4850" Type="http://schemas.openxmlformats.org/officeDocument/2006/relationships/hyperlink" Target="https://drive.google.com/open?id=1AGfZzm4otvDgOC_jBHJi5XTFlvwjeGPd" TargetMode="External"/><Relationship Id="rId3522" Type="http://schemas.openxmlformats.org/officeDocument/2006/relationships/hyperlink" Target="https://drive.google.com/open?id=14oxxrBQhozrwlLld7MusJe7QXi3pRvjS" TargetMode="External"/><Relationship Id="rId4853" Type="http://schemas.openxmlformats.org/officeDocument/2006/relationships/hyperlink" Target="https://drive.google.com/open?id=1LmCPqqi790ji6XtUmwLaoJENbUhHMBVJ" TargetMode="External"/><Relationship Id="rId3521" Type="http://schemas.openxmlformats.org/officeDocument/2006/relationships/hyperlink" Target="https://drive.google.com/open?id=1WC_5CObZ8nggK89ThV5JJPbY5Wke7wiw" TargetMode="External"/><Relationship Id="rId4852" Type="http://schemas.openxmlformats.org/officeDocument/2006/relationships/hyperlink" Target="https://drive.google.com/drive/folders/1j19-Li84mHPkLFwO8Mb0GqhaoYzXPj6h?usp=sharing" TargetMode="External"/><Relationship Id="rId84" Type="http://schemas.openxmlformats.org/officeDocument/2006/relationships/hyperlink" Target="https://drive.google.com/drive/folders/1vX3sFdO607FhCpJox7n5l00DMNX-CMry?usp=sharing" TargetMode="External"/><Relationship Id="rId1774" Type="http://schemas.openxmlformats.org/officeDocument/2006/relationships/hyperlink" Target="https://drive.google.com/open?id=1gtlQ3mPsEXc7nfQeZiK7BrVPTF_0QbCp" TargetMode="External"/><Relationship Id="rId4800" Type="http://schemas.openxmlformats.org/officeDocument/2006/relationships/hyperlink" Target="https://drive.google.com/open?id=1Qk1ZZglYclp_q3hXPzLclWf3cDDj8mfM" TargetMode="External"/><Relationship Id="rId83" Type="http://schemas.openxmlformats.org/officeDocument/2006/relationships/hyperlink" Target="https://www.linkedin.com/in/tushar-khapne-b46a82203" TargetMode="External"/><Relationship Id="rId1775" Type="http://schemas.openxmlformats.org/officeDocument/2006/relationships/hyperlink" Target="https://drive.google.com/open?id=1d-PlZjUZd_IRWbfPK2Ir1CBn2G-Cyn0e" TargetMode="External"/><Relationship Id="rId86" Type="http://schemas.openxmlformats.org/officeDocument/2006/relationships/hyperlink" Target="https://drive.google.com/open?id=1Fc7ScvjNcn1wLhOSmslzhmMK13TnvjRp" TargetMode="External"/><Relationship Id="rId1776" Type="http://schemas.openxmlformats.org/officeDocument/2006/relationships/hyperlink" Target="https://drive.google.com/open?id=1kI4XZu5ITqDtts3hX6fajTkcusbdB8C7" TargetMode="External"/><Relationship Id="rId4802" Type="http://schemas.openxmlformats.org/officeDocument/2006/relationships/hyperlink" Target="http://linkedin.com/in/onkar-mandavkar-150801232" TargetMode="External"/><Relationship Id="rId85" Type="http://schemas.openxmlformats.org/officeDocument/2006/relationships/hyperlink" Target="https://drive.google.com/open?id=1gBv9GAfA5AiFIO2dNEWe3V7c1dN3zSAY" TargetMode="External"/><Relationship Id="rId1777" Type="http://schemas.openxmlformats.org/officeDocument/2006/relationships/hyperlink" Target="https://drive.google.com/open?id=1371r0Z9zF4GJX2-WWLXJ6z3VJaaxj45A" TargetMode="External"/><Relationship Id="rId4801" Type="http://schemas.openxmlformats.org/officeDocument/2006/relationships/hyperlink" Target="https://drive.google.com/open?id=1F9q6VILYgHnFPz1EpWqtdJWgAqPxVrq6" TargetMode="External"/><Relationship Id="rId88" Type="http://schemas.openxmlformats.org/officeDocument/2006/relationships/hyperlink" Target="https://drive.google.com/open?id=1U43T8fti01Lv3Xhx0s5HyDvqFcl92Ksu" TargetMode="External"/><Relationship Id="rId1778" Type="http://schemas.openxmlformats.org/officeDocument/2006/relationships/hyperlink" Target="https://drive.google.com/open?id=1Ez3yJo0-cMLrDqLM-2j6AbW9pYJpfKWW" TargetMode="External"/><Relationship Id="rId4804" Type="http://schemas.openxmlformats.org/officeDocument/2006/relationships/hyperlink" Target="https://drive.google.com/open?id=1blCBhTcQqv8DuzCZOoPqjNDv6Y7bvY_z" TargetMode="External"/><Relationship Id="rId87" Type="http://schemas.openxmlformats.org/officeDocument/2006/relationships/hyperlink" Target="https://drive.google.com/open?id=1P7XyhErceNpdKpfFsoIr1LKevkCY40Hu" TargetMode="External"/><Relationship Id="rId1779" Type="http://schemas.openxmlformats.org/officeDocument/2006/relationships/hyperlink" Target="https://www.linkedin.com/in/akash-pawar-4b053a202" TargetMode="External"/><Relationship Id="rId4803" Type="http://schemas.openxmlformats.org/officeDocument/2006/relationships/hyperlink" Target="https://drive.google.com/drive/folders/1XcGYpXeUX0zNFAioLTsMkbPYXY4X3kx7?usp=sharing" TargetMode="External"/><Relationship Id="rId4806" Type="http://schemas.openxmlformats.org/officeDocument/2006/relationships/hyperlink" Target="https://drive.google.com/open?id=1QJhwdrF6IMPmvi7pYzU0uyUCQqGMXBRC" TargetMode="External"/><Relationship Id="rId89" Type="http://schemas.openxmlformats.org/officeDocument/2006/relationships/hyperlink" Target="https://www.linkedin.com/in/vivek-shambharkar-715146241" TargetMode="External"/><Relationship Id="rId4805" Type="http://schemas.openxmlformats.org/officeDocument/2006/relationships/hyperlink" Target="https://drive.google.com/open?id=15fvHU_ub9Vk5Lzd2MQH1rCGcso5n6GJM" TargetMode="External"/><Relationship Id="rId4808" Type="http://schemas.openxmlformats.org/officeDocument/2006/relationships/hyperlink" Target="https://drive.google.com/open?id=1JscnP78vu28sY-rp_abtu3ww4NHP6ymp" TargetMode="External"/><Relationship Id="rId4807" Type="http://schemas.openxmlformats.org/officeDocument/2006/relationships/hyperlink" Target="https://drive.google.com/open?id=1Q8TUEg4iAVPZm1xfXr4uolalZsezivAA" TargetMode="External"/><Relationship Id="rId4809" Type="http://schemas.openxmlformats.org/officeDocument/2006/relationships/hyperlink" Target="http://www.linkedin.com/in/mayur-pawar-22111999mayur" TargetMode="External"/><Relationship Id="rId80" Type="http://schemas.openxmlformats.org/officeDocument/2006/relationships/hyperlink" Target="https://drive.google.com/file/d/1oVJVOznhL-JaBNebvNZfNNW5tt1dRKsi/view?usp=drivesdk" TargetMode="External"/><Relationship Id="rId82" Type="http://schemas.openxmlformats.org/officeDocument/2006/relationships/hyperlink" Target="https://drive.google.com/open?id=1IKVy0Uku5OFnmiBozU2adJjrHad0Y9Db" TargetMode="External"/><Relationship Id="rId81" Type="http://schemas.openxmlformats.org/officeDocument/2006/relationships/hyperlink" Target="https://drive.google.com/open?id=1d3suvqtG7JdTTrVruT4n6qmL7VyQKZ5T" TargetMode="External"/><Relationship Id="rId1770" Type="http://schemas.openxmlformats.org/officeDocument/2006/relationships/hyperlink" Target="https://preskilet.com/6296f0ad5545ea0004a92224" TargetMode="External"/><Relationship Id="rId1771" Type="http://schemas.openxmlformats.org/officeDocument/2006/relationships/hyperlink" Target="https://drive.google.com/open?id=1SQ4yS2J1yvvpYmLmkPreTpoox_gq17cP" TargetMode="External"/><Relationship Id="rId1772" Type="http://schemas.openxmlformats.org/officeDocument/2006/relationships/hyperlink" Target="https://drive.google.com/open?id=1685DVJyRHrkNOuSMzKlZ7EIRnr_CwBWS" TargetMode="External"/><Relationship Id="rId1773" Type="http://schemas.openxmlformats.org/officeDocument/2006/relationships/hyperlink" Target="https://drive.google.com/open?id=1NS3pcdlLLnxom9uKQkmFOyKFHlm-8cmi" TargetMode="External"/><Relationship Id="rId73" Type="http://schemas.openxmlformats.org/officeDocument/2006/relationships/hyperlink" Target="https://drive.google.com/open?id=1T6t5rYg3vbxwMBMM_l-qeiLWQ89cD7E1" TargetMode="External"/><Relationship Id="rId1763" Type="http://schemas.openxmlformats.org/officeDocument/2006/relationships/hyperlink" Target="https://preskilet.com/watch?v=62966074716ac100049818fe" TargetMode="External"/><Relationship Id="rId72" Type="http://schemas.openxmlformats.org/officeDocument/2006/relationships/hyperlink" Target="https://drive.google.com/open?id=1vz9yWXEUDRS3xAqZlWvXV4bGmIvqhoNw" TargetMode="External"/><Relationship Id="rId1764" Type="http://schemas.openxmlformats.org/officeDocument/2006/relationships/hyperlink" Target="https://drive.google.com/open?id=1zdt6jSy0m67vw13b2LwXS4DAgTHOP4J-" TargetMode="External"/><Relationship Id="rId75" Type="http://schemas.openxmlformats.org/officeDocument/2006/relationships/hyperlink" Target="https://drive.google.com/drive/folders/1PjDIDAcFSrF0bbPVV4-rq7GlBN-IgBhP?usp=sharing" TargetMode="External"/><Relationship Id="rId1765" Type="http://schemas.openxmlformats.org/officeDocument/2006/relationships/hyperlink" Target="https://drive.google.com/open?id=1CLpUZaUbQF4_AG-a9kba1uLWBVniE0JJ" TargetMode="External"/><Relationship Id="rId74" Type="http://schemas.openxmlformats.org/officeDocument/2006/relationships/hyperlink" Target="https://www.linkedin.com/in/naim-fakir-b74218215/" TargetMode="External"/><Relationship Id="rId1766" Type="http://schemas.openxmlformats.org/officeDocument/2006/relationships/hyperlink" Target="https://drive.google.com/open?id=1RDgfiGbvHANIzAuKtKftX2XHiRZ6D6aJ" TargetMode="External"/><Relationship Id="rId77" Type="http://schemas.openxmlformats.org/officeDocument/2006/relationships/hyperlink" Target="https://drive.google.com/open?id=1Ky3uFeVvUcmcnxYqilXkQAGXws8tomhP" TargetMode="External"/><Relationship Id="rId1767" Type="http://schemas.openxmlformats.org/officeDocument/2006/relationships/hyperlink" Target="https://drive.google.com/open?id=1qAD5zbMqRe0qdCWjHz-6A8zQGclg5x4T" TargetMode="External"/><Relationship Id="rId76" Type="http://schemas.openxmlformats.org/officeDocument/2006/relationships/hyperlink" Target="https://drive.google.com/open?id=19PYM_7CUb5DYSLLfrRt3hE2Vc1AzPwZb" TargetMode="External"/><Relationship Id="rId1768" Type="http://schemas.openxmlformats.org/officeDocument/2006/relationships/hyperlink" Target="https://drive.google.com/open?id=1--dqqxxZzK0t1fDj7AfzuBC6YEmQh8v2" TargetMode="External"/><Relationship Id="rId79" Type="http://schemas.openxmlformats.org/officeDocument/2006/relationships/hyperlink" Target="https://www.linkedin.com/in/onkar-mohite-186683241" TargetMode="External"/><Relationship Id="rId1769" Type="http://schemas.openxmlformats.org/officeDocument/2006/relationships/hyperlink" Target="https://www.linkedin.com/in/swapnil-gore-bb855222b" TargetMode="External"/><Relationship Id="rId78" Type="http://schemas.openxmlformats.org/officeDocument/2006/relationships/hyperlink" Target="https://drive.google.com/open?id=1w4YR9CUZQiZppsIMpJyJf34HR6bs9TZH" TargetMode="External"/><Relationship Id="rId71" Type="http://schemas.openxmlformats.org/officeDocument/2006/relationships/hyperlink" Target="https://drive.google.com/open?id=1Ls3laymQNjMMBUHHJhpAhFrP8jShU45r" TargetMode="External"/><Relationship Id="rId70" Type="http://schemas.openxmlformats.org/officeDocument/2006/relationships/hyperlink" Target="https://drive.google.com/open?id=1ZlPIVf9qgbVM2JVge6DR9eZ9Y-mzir7Q" TargetMode="External"/><Relationship Id="rId1760" Type="http://schemas.openxmlformats.org/officeDocument/2006/relationships/hyperlink" Target="https://drive.google.com/open?id=1FuITX9qRrGtfVkGhOQFtH3SMsBhn37Se" TargetMode="External"/><Relationship Id="rId1761" Type="http://schemas.openxmlformats.org/officeDocument/2006/relationships/hyperlink" Target="https://drive.google.com/open?id=19tkkZRGlJefruHvpsPUJIMpNqELkt2n2" TargetMode="External"/><Relationship Id="rId1762" Type="http://schemas.openxmlformats.org/officeDocument/2006/relationships/hyperlink" Target="https://www.linkedin.com/in/pranav-unkule-10052001" TargetMode="External"/><Relationship Id="rId62" Type="http://schemas.openxmlformats.org/officeDocument/2006/relationships/hyperlink" Target="https://preskilet.com/vinit.satale@mitaoe.ac.in" TargetMode="External"/><Relationship Id="rId1796" Type="http://schemas.openxmlformats.org/officeDocument/2006/relationships/hyperlink" Target="https://drive.google.com/open?id=1POmBePDU4IZXMyiAkhzza6lVQ_KvZOpR" TargetMode="External"/><Relationship Id="rId4822" Type="http://schemas.openxmlformats.org/officeDocument/2006/relationships/hyperlink" Target="https://www.linkedin.com/in/shivhar-chate-74b798241" TargetMode="External"/><Relationship Id="rId61" Type="http://schemas.openxmlformats.org/officeDocument/2006/relationships/hyperlink" Target="https://www.linkedin.com/in/vinit-satale-59591b235" TargetMode="External"/><Relationship Id="rId1797" Type="http://schemas.openxmlformats.org/officeDocument/2006/relationships/hyperlink" Target="https://drive.google.com/open?id=1LJZzN42oksDqxh7x5zEcuh_ECdNlpgDw" TargetMode="External"/><Relationship Id="rId4821" Type="http://schemas.openxmlformats.org/officeDocument/2006/relationships/hyperlink" Target="https://drive.google.com/open?id=13OsmOv0_6DzxV0jymjri6unfvl9M5XZV" TargetMode="External"/><Relationship Id="rId64" Type="http://schemas.openxmlformats.org/officeDocument/2006/relationships/hyperlink" Target="https://drive.google.com/open?id=1o409ZTmnUJOvc6UW-4VKEJ-rYN0ZV4Cl" TargetMode="External"/><Relationship Id="rId1798" Type="http://schemas.openxmlformats.org/officeDocument/2006/relationships/hyperlink" Target="https://drive.google.com/open?id=1WRT059_H1SUzm9-KYFznN2tt6n7_vFWf" TargetMode="External"/><Relationship Id="rId4824" Type="http://schemas.openxmlformats.org/officeDocument/2006/relationships/hyperlink" Target="https://drive.google.com/open?id=1VrSC177Z69k061uLjcHjsrT5Z6kYwqe8" TargetMode="External"/><Relationship Id="rId63" Type="http://schemas.openxmlformats.org/officeDocument/2006/relationships/hyperlink" Target="https://drive.google.com/open?id=1e6gQHD9kA024x0duHu7S2z8WTyMesuhH" TargetMode="External"/><Relationship Id="rId1799" Type="http://schemas.openxmlformats.org/officeDocument/2006/relationships/hyperlink" Target="https://www.linkedin.com/in/atharva-mahajan-1786ba220" TargetMode="External"/><Relationship Id="rId4823" Type="http://schemas.openxmlformats.org/officeDocument/2006/relationships/hyperlink" Target="https://drive.google.com/drive/folders/1l9-qy7GyR4R2mWQFHt1V-ospuOLQen6W" TargetMode="External"/><Relationship Id="rId66" Type="http://schemas.openxmlformats.org/officeDocument/2006/relationships/hyperlink" Target="https://drive.google.com/open?id=1lX-0WStySmYlC-aD5cShp_MvCwJx-Fnp" TargetMode="External"/><Relationship Id="rId4826" Type="http://schemas.openxmlformats.org/officeDocument/2006/relationships/hyperlink" Target="https://drive.google.com/open?id=1JGLqupwomZCeL2NM4dHqdKNBL5u-grPq" TargetMode="External"/><Relationship Id="rId65" Type="http://schemas.openxmlformats.org/officeDocument/2006/relationships/hyperlink" Target="https://drive.google.com/open?id=1u4_q5ZVOXs3DL1iJ1jdLGEaZSm9gmaSx" TargetMode="External"/><Relationship Id="rId4825" Type="http://schemas.openxmlformats.org/officeDocument/2006/relationships/hyperlink" Target="https://drive.google.com/open?id=1_e2GFs4JvXV51xyJmhLEGnjwQPWuj-P0" TargetMode="External"/><Relationship Id="rId68" Type="http://schemas.openxmlformats.org/officeDocument/2006/relationships/hyperlink" Target="https://drive.google.com/open?id=11KYdTDQy5A2TriiJV6rxzKZLwCPuBM1L" TargetMode="External"/><Relationship Id="rId4828" Type="http://schemas.openxmlformats.org/officeDocument/2006/relationships/hyperlink" Target="https://drive.google.com/open?id=11Hmhe5fVH-Y5ZUwGprRzuHOwcyViH5rg" TargetMode="External"/><Relationship Id="rId67" Type="http://schemas.openxmlformats.org/officeDocument/2006/relationships/hyperlink" Target="https://drive.google.com/open?id=154JWoB5zdKd5rGog7R_7gJ4_-yHfn10Z" TargetMode="External"/><Relationship Id="rId4827" Type="http://schemas.openxmlformats.org/officeDocument/2006/relationships/hyperlink" Target="https://drive.google.com/open?id=15yKirTXFW6H3MUsui6L9HTgQ5nTtYjHt" TargetMode="External"/><Relationship Id="rId4829" Type="http://schemas.openxmlformats.org/officeDocument/2006/relationships/hyperlink" Target="http://www.linkedin.com/in/nikhil-sonawane-b70286205" TargetMode="External"/><Relationship Id="rId60" Type="http://schemas.openxmlformats.org/officeDocument/2006/relationships/hyperlink" Target="https://drive.google.com/open?id=1ZhaDYAPs0f4UDcuvQ5X0fVWwyEgeIzo9" TargetMode="External"/><Relationship Id="rId69" Type="http://schemas.openxmlformats.org/officeDocument/2006/relationships/hyperlink" Target="https://drive.google.com/open?id=186VR6SwmXeSxo0AfGwrGVlOLQ5pn2-4v" TargetMode="External"/><Relationship Id="rId1790" Type="http://schemas.openxmlformats.org/officeDocument/2006/relationships/hyperlink" Target="https://drive.google.com/open?id=16N6REAgKgaDN5ftiKp-ya33wEFgRXHHb" TargetMode="External"/><Relationship Id="rId1791" Type="http://schemas.openxmlformats.org/officeDocument/2006/relationships/hyperlink" Target="https://drive.google.com/open?id=1fx6wnO6-3F-bgWixJTCMewuPG5OPfd_v" TargetMode="External"/><Relationship Id="rId1792" Type="http://schemas.openxmlformats.org/officeDocument/2006/relationships/hyperlink" Target="https://drive.google.com/open?id=1PtkFcW-dpv8hRI70JGZrXQZYStbklzSS" TargetMode="External"/><Relationship Id="rId1793" Type="http://schemas.openxmlformats.org/officeDocument/2006/relationships/hyperlink" Target="https://drive.google.com/open?id=1lMdwRUJ4aSL54Y76IwuoqKGITksGfkZe" TargetMode="External"/><Relationship Id="rId1794" Type="http://schemas.openxmlformats.org/officeDocument/2006/relationships/hyperlink" Target="https://drive.google.com/open?id=1Enh9AEnMuFj_d30SiiN_u2qKvqqau2kT" TargetMode="External"/><Relationship Id="rId4820" Type="http://schemas.openxmlformats.org/officeDocument/2006/relationships/hyperlink" Target="https://drive.google.com/open?id=1mwWXx8C5NazNxUuo9QLai7-OjhJI116O" TargetMode="External"/><Relationship Id="rId1795" Type="http://schemas.openxmlformats.org/officeDocument/2006/relationships/hyperlink" Target="https://drive.google.com/open?id=1tqxmqL10ykDJp4QxFE8JwrZi6VNgT0PH" TargetMode="External"/><Relationship Id="rId51" Type="http://schemas.openxmlformats.org/officeDocument/2006/relationships/hyperlink" Target="https://preskilet.com/watch?v=62b3f83330b2800004522e2a" TargetMode="External"/><Relationship Id="rId1785" Type="http://schemas.openxmlformats.org/officeDocument/2006/relationships/hyperlink" Target="https://drive.google.com/open?id=14SGulARo0pg7DMBEORmUkDCxWXrIZEsP" TargetMode="External"/><Relationship Id="rId4811" Type="http://schemas.openxmlformats.org/officeDocument/2006/relationships/hyperlink" Target="https://drive.google.com/open?id=1j01HiY-OeGFn3BYP1fIMD9reRL71B2IW" TargetMode="External"/><Relationship Id="rId50" Type="http://schemas.openxmlformats.org/officeDocument/2006/relationships/hyperlink" Target="https://www.linkedin.com/in/siddharth-patil-738a26229" TargetMode="External"/><Relationship Id="rId1786" Type="http://schemas.openxmlformats.org/officeDocument/2006/relationships/hyperlink" Target="https://drive.google.com/open?id=12FneuAeaBDTiCJ50_o13F6nbJJC1yBnW" TargetMode="External"/><Relationship Id="rId4810" Type="http://schemas.openxmlformats.org/officeDocument/2006/relationships/hyperlink" Target="https://www.loom.com/share/cae9af92cade4bfcaad1cacf13a864db" TargetMode="External"/><Relationship Id="rId53" Type="http://schemas.openxmlformats.org/officeDocument/2006/relationships/hyperlink" Target="https://drive.google.com/open?id=1ExCJdqI7BQu9o75JjOotr7L-muP_KPUW" TargetMode="External"/><Relationship Id="rId1787" Type="http://schemas.openxmlformats.org/officeDocument/2006/relationships/hyperlink" Target="https://drive.google.com/open?id=13PWaDm1um6wO9CCYl9b736zOxszN4H4K" TargetMode="External"/><Relationship Id="rId4813" Type="http://schemas.openxmlformats.org/officeDocument/2006/relationships/hyperlink" Target="https://drive.google.com/open?id=12JtYSge2rYlyesYmyFZaf-Z_XTsx95qk" TargetMode="External"/><Relationship Id="rId52" Type="http://schemas.openxmlformats.org/officeDocument/2006/relationships/hyperlink" Target="https://drive.google.com/open?id=1oDSc1yxDu6eKIxzl48vJY1563HDx8jI9" TargetMode="External"/><Relationship Id="rId1788" Type="http://schemas.openxmlformats.org/officeDocument/2006/relationships/hyperlink" Target="https://www.linkedin.com/in/vaishnavi-deshmukh-a54842181" TargetMode="External"/><Relationship Id="rId4812" Type="http://schemas.openxmlformats.org/officeDocument/2006/relationships/hyperlink" Target="https://drive.google.com/open?id=1U33uxl6xglUBvogKALY5pZ-OfhFxhst6" TargetMode="External"/><Relationship Id="rId55" Type="http://schemas.openxmlformats.org/officeDocument/2006/relationships/hyperlink" Target="https://drive.google.com/open?id=1-vcTsJmnDbjvvncOj5GRDZIheAnn-wEq" TargetMode="External"/><Relationship Id="rId1789" Type="http://schemas.openxmlformats.org/officeDocument/2006/relationships/hyperlink" Target="https://drive.google.com/file/d/1h3QTX6PJd796dQhuyEuxmtGwaHfpCrmd/view?usp=sharing" TargetMode="External"/><Relationship Id="rId4815" Type="http://schemas.openxmlformats.org/officeDocument/2006/relationships/hyperlink" Target="https://drive.google.com/open?id=1h-GzDz2N6hMKN8sG7g4GokZIhqIQ0a2v" TargetMode="External"/><Relationship Id="rId54" Type="http://schemas.openxmlformats.org/officeDocument/2006/relationships/hyperlink" Target="https://drive.google.com/open?id=1yoNysKJKb6c7qU65-wU6uK8Ntu5oiBIc" TargetMode="External"/><Relationship Id="rId4814" Type="http://schemas.openxmlformats.org/officeDocument/2006/relationships/hyperlink" Target="https://drive.google.com/open?id=1kLx9kle2gENATBa-IGHyTPgAW4RkPmR2" TargetMode="External"/><Relationship Id="rId57" Type="http://schemas.openxmlformats.org/officeDocument/2006/relationships/hyperlink" Target="https://preskilet.com/61f8ed9bfc0a2f000460355d" TargetMode="External"/><Relationship Id="rId4817" Type="http://schemas.openxmlformats.org/officeDocument/2006/relationships/hyperlink" Target="https://www.linkedin.com/in/prathamesh-chavan-1147b4241" TargetMode="External"/><Relationship Id="rId56" Type="http://schemas.openxmlformats.org/officeDocument/2006/relationships/hyperlink" Target="https://www.linkedin.com/in/palash-borkar-6246b222b" TargetMode="External"/><Relationship Id="rId4816" Type="http://schemas.openxmlformats.org/officeDocument/2006/relationships/hyperlink" Target="https://drive.google.com/open?id=1YYS_BAnWotyfL0E2DvuFj-xjUhmprkBi" TargetMode="External"/><Relationship Id="rId4819" Type="http://schemas.openxmlformats.org/officeDocument/2006/relationships/hyperlink" Target="https://drive.google.com/open?id=1W90XErztGQ-MS2vZuy8tVqKQ2XucgF_Q" TargetMode="External"/><Relationship Id="rId4818" Type="http://schemas.openxmlformats.org/officeDocument/2006/relationships/hyperlink" Target="https://drive.google.com/drive/folders/1RBf5KpXxlVCN3AHzS2Zrm_Rk-6ZgqfNA" TargetMode="External"/><Relationship Id="rId59" Type="http://schemas.openxmlformats.org/officeDocument/2006/relationships/hyperlink" Target="https://drive.google.com/open?id=1PwR7U4nYiqRYqpC2azCfAR-fnehVQk-0" TargetMode="External"/><Relationship Id="rId58" Type="http://schemas.openxmlformats.org/officeDocument/2006/relationships/hyperlink" Target="https://drive.google.com/open?id=1gC9AZh6ptfnIYiEq1gUPm32lQdkSMJSA" TargetMode="External"/><Relationship Id="rId1780" Type="http://schemas.openxmlformats.org/officeDocument/2006/relationships/hyperlink" Target="https://preskilet.com/watch?v=629715345545ea0004a9235e" TargetMode="External"/><Relationship Id="rId1781" Type="http://schemas.openxmlformats.org/officeDocument/2006/relationships/hyperlink" Target="https://drive.google.com/open?id=1QvSv7ANwZFoBkMsiRflSsGYJ0O9mndz2" TargetMode="External"/><Relationship Id="rId1782" Type="http://schemas.openxmlformats.org/officeDocument/2006/relationships/hyperlink" Target="https://drive.google.com/open?id=1brsHwvktSUn2DeJecJadtpmbA__7THVc" TargetMode="External"/><Relationship Id="rId1783" Type="http://schemas.openxmlformats.org/officeDocument/2006/relationships/hyperlink" Target="https://drive.google.com/open?id=1bRlzRch8Wtxybw4DqIwrm_Y_NG5mQtJU" TargetMode="External"/><Relationship Id="rId1784" Type="http://schemas.openxmlformats.org/officeDocument/2006/relationships/hyperlink" Target="https://drive.google.com/open?id=1ug3293-Mzq3xPFWA0q8zrkdMrc34bwvn" TargetMode="External"/><Relationship Id="rId2269" Type="http://schemas.openxmlformats.org/officeDocument/2006/relationships/hyperlink" Target="https://drive.google.com/open?id=1kfBF9iSMCMfTEDDIKm_ayZDSP6Itik48" TargetMode="External"/><Relationship Id="rId349" Type="http://schemas.openxmlformats.org/officeDocument/2006/relationships/hyperlink" Target="https://drive.google.com/open?id=1nNFKz3f_ARj05mdpKYy_eqTwyxCkM6AB" TargetMode="External"/><Relationship Id="rId348" Type="http://schemas.openxmlformats.org/officeDocument/2006/relationships/hyperlink" Target="https://drive.google.com/open?id=10ATO2ao6Pt5py9X_tZ9ObUBlwPOm3b_l" TargetMode="External"/><Relationship Id="rId347" Type="http://schemas.openxmlformats.org/officeDocument/2006/relationships/hyperlink" Target="https://drive.google.com/open?id=1diJkzLhdu-W7ZOyWtBGj5sHqDbsAEheW" TargetMode="External"/><Relationship Id="rId346" Type="http://schemas.openxmlformats.org/officeDocument/2006/relationships/hyperlink" Target="https://drive.google.com/open?id=1BVf9BA9FI7PY37mFsj6qNlKR25jTo7S8" TargetMode="External"/><Relationship Id="rId3591" Type="http://schemas.openxmlformats.org/officeDocument/2006/relationships/hyperlink" Target="https://drive.google.com/open?id=1FdkC5Ru7qcz8GLqUSQntUzTG0fMdpw0z" TargetMode="External"/><Relationship Id="rId2260" Type="http://schemas.openxmlformats.org/officeDocument/2006/relationships/hyperlink" Target="https://drive.google.com/open?id=1jSipjTo_HD3asZUkgFGPVxHMRafhGHTq" TargetMode="External"/><Relationship Id="rId3590" Type="http://schemas.openxmlformats.org/officeDocument/2006/relationships/hyperlink" Target="https://drive.google.com/open?id=1JUT0J1l8KdAWdyc6KIHft_veyY_v3hhr" TargetMode="External"/><Relationship Id="rId341" Type="http://schemas.openxmlformats.org/officeDocument/2006/relationships/hyperlink" Target="https://drive.google.com/open?id=1KBRRTPrSxbC8rOxth4wzTXI36OyM5oUq" TargetMode="External"/><Relationship Id="rId2261" Type="http://schemas.openxmlformats.org/officeDocument/2006/relationships/hyperlink" Target="https://drive.google.com/open?id=18plhXVKoEDZwXEy57w8QXxhUswRMm1XQ" TargetMode="External"/><Relationship Id="rId3593" Type="http://schemas.openxmlformats.org/officeDocument/2006/relationships/hyperlink" Target="https://drive.google.com/open?id=1RMDsV6hXb5i7dXNW5QJ2pzrsMXDJZlyF" TargetMode="External"/><Relationship Id="rId340" Type="http://schemas.openxmlformats.org/officeDocument/2006/relationships/hyperlink" Target="https://drive.google.com/open?id=1AKiEl26aXuuld7eQ0hyYs9Zm20wSsSBt" TargetMode="External"/><Relationship Id="rId2262" Type="http://schemas.openxmlformats.org/officeDocument/2006/relationships/hyperlink" Target="https://drive.google.com/open?id=1jzASLrwacrq7uKaSmFfDbHA3zS6Qa0hy" TargetMode="External"/><Relationship Id="rId3592" Type="http://schemas.openxmlformats.org/officeDocument/2006/relationships/hyperlink" Target="https://drive.google.com/open?id=1VGU00kNPrvqw_ThR5ypLGy2CbuOUKwDW" TargetMode="External"/><Relationship Id="rId2263" Type="http://schemas.openxmlformats.org/officeDocument/2006/relationships/hyperlink" Target="http://www.linkedin.com/in/kshitij-bangde-91b736220" TargetMode="External"/><Relationship Id="rId3595" Type="http://schemas.openxmlformats.org/officeDocument/2006/relationships/hyperlink" Target="https://www.linkedin.com/in/kunal-chaudhari-a54b21215" TargetMode="External"/><Relationship Id="rId2264" Type="http://schemas.openxmlformats.org/officeDocument/2006/relationships/hyperlink" Target="https://preskilet.com/watch?v=62b2bea0cd590700045fb2a1" TargetMode="External"/><Relationship Id="rId3594" Type="http://schemas.openxmlformats.org/officeDocument/2006/relationships/hyperlink" Target="https://drive.google.com/open?id=1Eh0KqdiLH0r7bgw0jhrdfMub-Mrucc0d" TargetMode="External"/><Relationship Id="rId345" Type="http://schemas.openxmlformats.org/officeDocument/2006/relationships/hyperlink" Target="https://preskilet.com/watch?v=62b400a030b2800004522e93" TargetMode="External"/><Relationship Id="rId2265" Type="http://schemas.openxmlformats.org/officeDocument/2006/relationships/hyperlink" Target="https://drive.google.com/open?id=12S-KIond1HcB8ASO1VMmbr3gH0uIDzbo" TargetMode="External"/><Relationship Id="rId3597" Type="http://schemas.openxmlformats.org/officeDocument/2006/relationships/hyperlink" Target="https://drive.google.com/open?id=1qxQeLab73mxARZLaVaZ86lYsJ98FATT-" TargetMode="External"/><Relationship Id="rId344" Type="http://schemas.openxmlformats.org/officeDocument/2006/relationships/hyperlink" Target="https://www.linkedin.com/in/adesh-shendkar-0a36b0218" TargetMode="External"/><Relationship Id="rId2266" Type="http://schemas.openxmlformats.org/officeDocument/2006/relationships/hyperlink" Target="https://drive.google.com/open?id=1-yL9nAGLfrUHK6QkQ1iDqOu9_EyKzumT" TargetMode="External"/><Relationship Id="rId3596" Type="http://schemas.openxmlformats.org/officeDocument/2006/relationships/hyperlink" Target="https://drive.google.com/file/d/1lUEmFnWe2gRjXi523-_1KgfgHXfwT5oM/view?usp=sharing" TargetMode="External"/><Relationship Id="rId343" Type="http://schemas.openxmlformats.org/officeDocument/2006/relationships/hyperlink" Target="https://drive.google.com/open?id=1f-f7U541vbYJy5pIlPTbGCyf77tziADq" TargetMode="External"/><Relationship Id="rId2267" Type="http://schemas.openxmlformats.org/officeDocument/2006/relationships/hyperlink" Target="https://drive.google.com/open?id=1OBSehv7q1-renDCSlYTxeQEbSwd-Wq7q" TargetMode="External"/><Relationship Id="rId3599" Type="http://schemas.openxmlformats.org/officeDocument/2006/relationships/hyperlink" Target="https://drive.google.com/open?id=1A-GlrZ9eX1m_Zbf30ZeanTFmz7nb4wnD" TargetMode="External"/><Relationship Id="rId342" Type="http://schemas.openxmlformats.org/officeDocument/2006/relationships/hyperlink" Target="https://drive.google.com/open?id=1XX6YQapaACTYo8uco6d23gaGqGekbsaF" TargetMode="External"/><Relationship Id="rId2268" Type="http://schemas.openxmlformats.org/officeDocument/2006/relationships/hyperlink" Target="https://drive.google.com/open?id=1SqMSHyM34r6jU6syJcHoOnGGCNpUxrKQ" TargetMode="External"/><Relationship Id="rId3598" Type="http://schemas.openxmlformats.org/officeDocument/2006/relationships/hyperlink" Target="https://drive.google.com/open?id=1r3mDeb_y4BYVM91dEHgBX5aySQk8cOq6" TargetMode="External"/><Relationship Id="rId2258" Type="http://schemas.openxmlformats.org/officeDocument/2006/relationships/hyperlink" Target="https://drive.google.com/open?id=14C35uHQO1gU-eNRXjhLWtnc8fDUe8I6L" TargetMode="External"/><Relationship Id="rId2259" Type="http://schemas.openxmlformats.org/officeDocument/2006/relationships/hyperlink" Target="https://drive.google.com/open?id=1UN__OpTgPvL8e5tphEcJr4UaFzXm8rz4" TargetMode="External"/><Relationship Id="rId3589" Type="http://schemas.openxmlformats.org/officeDocument/2006/relationships/hyperlink" Target="https://drive.google.com/open?id=1-jQJpq3UpCH3EqGuVNoIza5EZCy27Sko" TargetMode="External"/><Relationship Id="rId338" Type="http://schemas.openxmlformats.org/officeDocument/2006/relationships/hyperlink" Target="https://preskilet.com/ganesh.mali@mitaoe.ac.in" TargetMode="External"/><Relationship Id="rId337" Type="http://schemas.openxmlformats.org/officeDocument/2006/relationships/hyperlink" Target="https://www.linkedin.com/in/ganesh-mali-55b279170" TargetMode="External"/><Relationship Id="rId336" Type="http://schemas.openxmlformats.org/officeDocument/2006/relationships/hyperlink" Target="https://drive.google.com/open?id=1r7u9dwBoUTKxXWAvZPJH45OB7cFS3VXg" TargetMode="External"/><Relationship Id="rId335" Type="http://schemas.openxmlformats.org/officeDocument/2006/relationships/hyperlink" Target="https://drive.google.com/open?id=1pqFjc8it6ZlFKe-2pwWxf4GN0nNk_XEI" TargetMode="External"/><Relationship Id="rId3580" Type="http://schemas.openxmlformats.org/officeDocument/2006/relationships/hyperlink" Target="https://preskilet.com/pranit.magdum@mitaoe.ac.in" TargetMode="External"/><Relationship Id="rId339" Type="http://schemas.openxmlformats.org/officeDocument/2006/relationships/hyperlink" Target="https://drive.google.com/open?id=18nTA15xYzfJsVk4TKwbIIbnvQUqXokIg" TargetMode="External"/><Relationship Id="rId330" Type="http://schemas.openxmlformats.org/officeDocument/2006/relationships/hyperlink" Target="https://drive.google.com/open?id=18pk8-HcSBMF5e1xl7efLyxfFN8hV4woT" TargetMode="External"/><Relationship Id="rId2250" Type="http://schemas.openxmlformats.org/officeDocument/2006/relationships/hyperlink" Target="https://drive.google.com/open?id=19Q1wThECa03BIo6qAUEo_tKB_2PmRng9" TargetMode="External"/><Relationship Id="rId3582" Type="http://schemas.openxmlformats.org/officeDocument/2006/relationships/hyperlink" Target="https://drive.google.com/open?id=1nij7sD1xTbjxnsFc58l3jgkOYLaP3hNv" TargetMode="External"/><Relationship Id="rId2251" Type="http://schemas.openxmlformats.org/officeDocument/2006/relationships/hyperlink" Target="https://drive.google.com/open?id=16paxBCcV2mQd_AI8R92THO6-qABD81Si" TargetMode="External"/><Relationship Id="rId3581" Type="http://schemas.openxmlformats.org/officeDocument/2006/relationships/hyperlink" Target="https://drive.google.com/open?id=1yg74GkLWM-yCRNd0QycG7stXOFfmLMqO" TargetMode="External"/><Relationship Id="rId2252" Type="http://schemas.openxmlformats.org/officeDocument/2006/relationships/hyperlink" Target="https://drive.google.com/open?id=1llY8kTvrQv__rKh-R1jF-eaz5yx2hP5X" TargetMode="External"/><Relationship Id="rId3584" Type="http://schemas.openxmlformats.org/officeDocument/2006/relationships/hyperlink" Target="https://drive.google.com/open?id=1VOv68dxPoYoqB_NoGZB4z2eo2qv3wnSV" TargetMode="External"/><Relationship Id="rId2253" Type="http://schemas.openxmlformats.org/officeDocument/2006/relationships/hyperlink" Target="https://drive.google.com/open?id=1ffgldzNJv-oGFWxBFRydog5BaDlB71Ef" TargetMode="External"/><Relationship Id="rId3583" Type="http://schemas.openxmlformats.org/officeDocument/2006/relationships/hyperlink" Target="https://drive.google.com/open?id=1wNccOmHt_eGegiExRUoyI9O0qdFr-1Ya" TargetMode="External"/><Relationship Id="rId334" Type="http://schemas.openxmlformats.org/officeDocument/2006/relationships/hyperlink" Target="https://drive.google.com/open?id=1NvrBQmugygELkrMJfpcseTkKxmQV1fil" TargetMode="External"/><Relationship Id="rId2254" Type="http://schemas.openxmlformats.org/officeDocument/2006/relationships/hyperlink" Target="https://drive.google.com/open?id=1WsLZ-hDLDJQ-XY2-7lRGjWfiN7AsxD6z" TargetMode="External"/><Relationship Id="rId3586" Type="http://schemas.openxmlformats.org/officeDocument/2006/relationships/hyperlink" Target="https://drive.google.com/drive/folders/1sY790cxqSA1jbH6JbHxeDFyZEFWgqbCJ?usp=sharing" TargetMode="External"/><Relationship Id="rId333" Type="http://schemas.openxmlformats.org/officeDocument/2006/relationships/hyperlink" Target="https://preskilet.com/62b2d066cd590700045fb383" TargetMode="External"/><Relationship Id="rId2255" Type="http://schemas.openxmlformats.org/officeDocument/2006/relationships/hyperlink" Target="https://www.linkedin.com/in/meet-bedmutha-687243230/" TargetMode="External"/><Relationship Id="rId3585" Type="http://schemas.openxmlformats.org/officeDocument/2006/relationships/hyperlink" Target="http://www.linkedin.com/in/vedant-kanate-b71643219" TargetMode="External"/><Relationship Id="rId332" Type="http://schemas.openxmlformats.org/officeDocument/2006/relationships/hyperlink" Target="https://www.linkedin.com/in/mansi-surve-a33860241" TargetMode="External"/><Relationship Id="rId2256" Type="http://schemas.openxmlformats.org/officeDocument/2006/relationships/hyperlink" Target="https://preskilet.com/watch?v=629f12fdfbc1b50004e59d72" TargetMode="External"/><Relationship Id="rId3588" Type="http://schemas.openxmlformats.org/officeDocument/2006/relationships/hyperlink" Target="https://drive.google.com/open?id=19ppRCS7m5_PXq2s85pdt1Gg1RhZS7VHm" TargetMode="External"/><Relationship Id="rId331" Type="http://schemas.openxmlformats.org/officeDocument/2006/relationships/hyperlink" Target="https://drive.google.com/open?id=1lg7EFFDPteDrVj8mCmNKQzsBp0XQKKDe" TargetMode="External"/><Relationship Id="rId2257" Type="http://schemas.openxmlformats.org/officeDocument/2006/relationships/hyperlink" Target="https://drive.google.com/open?id=1RnHo964jNlGHELwVvMcOkRihZ5dwzopR" TargetMode="External"/><Relationship Id="rId3587" Type="http://schemas.openxmlformats.org/officeDocument/2006/relationships/hyperlink" Target="https://drive.google.com/open?id=1vFMkwBdZLMsyeYZHbLWsxFLiwVoOGnFO" TargetMode="External"/><Relationship Id="rId5318" Type="http://schemas.openxmlformats.org/officeDocument/2006/relationships/hyperlink" Target="https://www.linkedin.com/in/pratik-bhange-9bb1ab206" TargetMode="External"/><Relationship Id="rId5319" Type="http://schemas.openxmlformats.org/officeDocument/2006/relationships/hyperlink" Target="https://drive.google.com/drive/folders/1Rom2vIO_scyFtkWXKMjB5w-srvrT80oU" TargetMode="External"/><Relationship Id="rId5316" Type="http://schemas.openxmlformats.org/officeDocument/2006/relationships/hyperlink" Target="https://drive.google.com/open?id=10lufERBTNl7EL34w8rx5D4xb-7aFFDQ-" TargetMode="External"/><Relationship Id="rId5317" Type="http://schemas.openxmlformats.org/officeDocument/2006/relationships/hyperlink" Target="https://drive.google.com/open?id=171k3aXhYXayGfXiypasd36689krDw2mp" TargetMode="External"/><Relationship Id="rId370" Type="http://schemas.openxmlformats.org/officeDocument/2006/relationships/hyperlink" Target="https://drive.google.com/open?id=1p50Af5nWGrIH5LjEXD_6SJaJKXGMksYU" TargetMode="External"/><Relationship Id="rId369" Type="http://schemas.openxmlformats.org/officeDocument/2006/relationships/hyperlink" Target="https://preskilet.com/watch?v=62bf0c862c9a6200041e13c2" TargetMode="External"/><Relationship Id="rId368" Type="http://schemas.openxmlformats.org/officeDocument/2006/relationships/hyperlink" Target="https://drive.google.com/open?id=1jGuvfOv_H5sQaFF4QTHXEEKxfWtiNE-U" TargetMode="External"/><Relationship Id="rId2280" Type="http://schemas.openxmlformats.org/officeDocument/2006/relationships/hyperlink" Target="https://drive.google.com/open?id=1IMj7H5u4RWtQAxObweDD-4XsOlBcIzSG" TargetMode="External"/><Relationship Id="rId2281" Type="http://schemas.openxmlformats.org/officeDocument/2006/relationships/hyperlink" Target="https://drive.google.com/open?id=1xHFFRm0Ta2GBzRHpbWAvtPIWz4VNXBSi" TargetMode="External"/><Relationship Id="rId2282" Type="http://schemas.openxmlformats.org/officeDocument/2006/relationships/hyperlink" Target="https://drive.google.com/open?id=1tQ_FCitnGeX_zI9hpBYj8ECUk_-uKy9B" TargetMode="External"/><Relationship Id="rId363" Type="http://schemas.openxmlformats.org/officeDocument/2006/relationships/hyperlink" Target="https://drive.google.com/open?id=1zmUAN7dqbGireXpUc8LZrMuy-Ys9z9bI" TargetMode="External"/><Relationship Id="rId2283" Type="http://schemas.openxmlformats.org/officeDocument/2006/relationships/hyperlink" Target="https://drive.google.com/open?id=1GwKY3uRvM0lxSHfT6R7BMrJu5MWBeT1M" TargetMode="External"/><Relationship Id="rId5310" Type="http://schemas.openxmlformats.org/officeDocument/2006/relationships/hyperlink" Target="http://www.linkedin.com/in/sumedh-shelke-672864241" TargetMode="External"/><Relationship Id="rId362" Type="http://schemas.openxmlformats.org/officeDocument/2006/relationships/hyperlink" Target="https://drive.google.com/open?id=1q5uynGEkhFJH3GpEw033xNE9GHsmrXIx" TargetMode="External"/><Relationship Id="rId2284" Type="http://schemas.openxmlformats.org/officeDocument/2006/relationships/hyperlink" Target="https://drive.google.com/open?id=1RR_Z6UoutJADkatYtXat9cL0OyXCZgmH" TargetMode="External"/><Relationship Id="rId5311" Type="http://schemas.openxmlformats.org/officeDocument/2006/relationships/hyperlink" Target="https://drive.google.com/drive/folders/1Ce4vkIXwMdujrCpf1p8O7W9nNTZaYDmG" TargetMode="External"/><Relationship Id="rId361" Type="http://schemas.openxmlformats.org/officeDocument/2006/relationships/hyperlink" Target="https://drive.google.com/open?id=1G8fCGTTlQm-19Ay1e73gVoy6d0Gu3UH7" TargetMode="External"/><Relationship Id="rId2285" Type="http://schemas.openxmlformats.org/officeDocument/2006/relationships/hyperlink" Target="https://drive.google.com/open?id=1MN09F3PD5Uqu7a7F9-Noo_TuNj0kes-d" TargetMode="External"/><Relationship Id="rId360" Type="http://schemas.openxmlformats.org/officeDocument/2006/relationships/hyperlink" Target="https://drive.google.com/open?id=1zTPKGkNp8otQY0t1Vm3lD_UmUl6zqPsQ" TargetMode="External"/><Relationship Id="rId2286" Type="http://schemas.openxmlformats.org/officeDocument/2006/relationships/hyperlink" Target="https://drive.google.com/open?id=1tzZgKc0WZkgVOjWOjB2o5k69MFY2b0_j" TargetMode="External"/><Relationship Id="rId367" Type="http://schemas.openxmlformats.org/officeDocument/2006/relationships/hyperlink" Target="https://drive.google.com/open?id=1qpwbSNLshqCUBuiSmIdY-VLNvRzO1dc4" TargetMode="External"/><Relationship Id="rId2287" Type="http://schemas.openxmlformats.org/officeDocument/2006/relationships/hyperlink" Target="https://drive.google.com/open?id=1a5k69x5xBsr0_42LGVihwiGBzPc5SrTj" TargetMode="External"/><Relationship Id="rId5314" Type="http://schemas.openxmlformats.org/officeDocument/2006/relationships/hyperlink" Target="https://drive.google.com/open?id=1fzxyU0HdEWV-X2x6h8ad0a87x2jP1fe2" TargetMode="External"/><Relationship Id="rId366" Type="http://schemas.openxmlformats.org/officeDocument/2006/relationships/hyperlink" Target="https://drive.google.com/open?id=1P3roGcty7wJpwXqGOjHRGcH8NPF-fy0B" TargetMode="External"/><Relationship Id="rId2288" Type="http://schemas.openxmlformats.org/officeDocument/2006/relationships/hyperlink" Target="https://www.linkedin.com/in/amit-mane-933b71209/" TargetMode="External"/><Relationship Id="rId5315" Type="http://schemas.openxmlformats.org/officeDocument/2006/relationships/hyperlink" Target="https://drive.google.com/open?id=1rOlgoUHfEL1NxbHRPrHVfhjy8XY1BAOH" TargetMode="External"/><Relationship Id="rId365" Type="http://schemas.openxmlformats.org/officeDocument/2006/relationships/hyperlink" Target="https://drive.google.com/open?id=1RHUMCLuNA9VNjOWV_n_E-KmDy-psADud" TargetMode="External"/><Relationship Id="rId2289" Type="http://schemas.openxmlformats.org/officeDocument/2006/relationships/hyperlink" Target="https://preskilet.com/watch?v=62a37930a6956a000460035a" TargetMode="External"/><Relationship Id="rId5312" Type="http://schemas.openxmlformats.org/officeDocument/2006/relationships/hyperlink" Target="https://drive.google.com/open?id=1VtgZ15ZAa_BdmJGGcKaz42xQ_JPu151l" TargetMode="External"/><Relationship Id="rId364" Type="http://schemas.openxmlformats.org/officeDocument/2006/relationships/hyperlink" Target="https://drive.google.com/open?id=1LXZXO20kUudJjnMuwNhaWtcG3loRICeK" TargetMode="External"/><Relationship Id="rId5313" Type="http://schemas.openxmlformats.org/officeDocument/2006/relationships/hyperlink" Target="https://drive.google.com/open?id=1P5A8ErMzB0iozmxoAeA2j9ypcW-UIjn1" TargetMode="External"/><Relationship Id="rId95" Type="http://schemas.openxmlformats.org/officeDocument/2006/relationships/hyperlink" Target="https://preskilet.com/kirti.borghare@mitaoe.ac.in" TargetMode="External"/><Relationship Id="rId5307" Type="http://schemas.openxmlformats.org/officeDocument/2006/relationships/hyperlink" Target="https://drive.google.com/open?id=1dVoy1XyC3GRRJUuCHMRPuF7HzFM8V7_7" TargetMode="External"/><Relationship Id="rId94" Type="http://schemas.openxmlformats.org/officeDocument/2006/relationships/hyperlink" Target="https://www.linkedin.com/in/kirti-borghare" TargetMode="External"/><Relationship Id="rId5308" Type="http://schemas.openxmlformats.org/officeDocument/2006/relationships/hyperlink" Target="https://drive.google.com/open?id=1L687aOu28tp4XOV6cnWvDFsk0jgLhqcJ" TargetMode="External"/><Relationship Id="rId97" Type="http://schemas.openxmlformats.org/officeDocument/2006/relationships/hyperlink" Target="https://drive.google.com/open?id=1QT50YoqIp1dYTO8qMWNmQaIn3Lv1SsyE" TargetMode="External"/><Relationship Id="rId5305" Type="http://schemas.openxmlformats.org/officeDocument/2006/relationships/hyperlink" Target="https://drive.google.com/drive/folders/1-KZMi-Rs6pxgovHADxLeM4lCPlsMugA0?usp=sharing" TargetMode="External"/><Relationship Id="rId96" Type="http://schemas.openxmlformats.org/officeDocument/2006/relationships/hyperlink" Target="https://drive.google.com/open?id=18B-BhrjrdP_pK6B5_0U1A4k6kgMc0zJT" TargetMode="External"/><Relationship Id="rId5306" Type="http://schemas.openxmlformats.org/officeDocument/2006/relationships/hyperlink" Target="https://drive.google.com/open?id=1joXQRv505EowSZfIFtb9OnFOX3Y7EA-3" TargetMode="External"/><Relationship Id="rId99" Type="http://schemas.openxmlformats.org/officeDocument/2006/relationships/hyperlink" Target="https://drive.google.com/open?id=1-GB0QVb1-8eY-7Wr72WYS_XEI7iEdXNe" TargetMode="External"/><Relationship Id="rId98" Type="http://schemas.openxmlformats.org/officeDocument/2006/relationships/hyperlink" Target="https://drive.google.com/open?id=1snGtl1Y2nvtrcmlNJWKsfot5Qzih4_TI" TargetMode="External"/><Relationship Id="rId5309" Type="http://schemas.openxmlformats.org/officeDocument/2006/relationships/hyperlink" Target="https://drive.google.com/open?id=1bMvRa4kWSVS-KxoD8on__Kwv-SHPV3Y5" TargetMode="External"/><Relationship Id="rId91" Type="http://schemas.openxmlformats.org/officeDocument/2006/relationships/hyperlink" Target="https://drive.google.com/open?id=1Rz6o23FWB_K7zvqGX0jRw6d_H7r8vRLk" TargetMode="External"/><Relationship Id="rId90" Type="http://schemas.openxmlformats.org/officeDocument/2006/relationships/hyperlink" Target="https://preskilet.com/watch?v=62b2c545cd590700045fb2fc" TargetMode="External"/><Relationship Id="rId93" Type="http://schemas.openxmlformats.org/officeDocument/2006/relationships/hyperlink" Target="https://drive.google.com/open?id=1RTQkgwHMhuOa6h8o-oZWfSxgUeEdoER9" TargetMode="External"/><Relationship Id="rId92" Type="http://schemas.openxmlformats.org/officeDocument/2006/relationships/hyperlink" Target="https://drive.google.com/open?id=1Q-4144r1rQl9E85nkR8kjiJpfcAcVzLJ" TargetMode="External"/><Relationship Id="rId359" Type="http://schemas.openxmlformats.org/officeDocument/2006/relationships/hyperlink" Target="https://preskilet.com/harshada.giradkar@mitaoe.ac.in" TargetMode="External"/><Relationship Id="rId358" Type="http://schemas.openxmlformats.org/officeDocument/2006/relationships/hyperlink" Target="https://www.linkedin.com/in/harshada-giradkar-50790221b" TargetMode="External"/><Relationship Id="rId357" Type="http://schemas.openxmlformats.org/officeDocument/2006/relationships/hyperlink" Target="https://drive.google.com/open?id=1Wjkh6JuEWxNw4BpI16O90GB9H2wlskv7" TargetMode="External"/><Relationship Id="rId2270" Type="http://schemas.openxmlformats.org/officeDocument/2006/relationships/hyperlink" Target="https://drive.google.com/open?id=11wRJcGgqTPtevGo_aW9GT9Y1wXjZjLHb" TargetMode="External"/><Relationship Id="rId2271" Type="http://schemas.openxmlformats.org/officeDocument/2006/relationships/hyperlink" Target="https://www.linkedin.com/in/dhiraj-patil-3830b5215" TargetMode="External"/><Relationship Id="rId352" Type="http://schemas.openxmlformats.org/officeDocument/2006/relationships/hyperlink" Target="https://drive.google.com/open?id=1saJhSSJhKdx7SGX0s22BtU3pB6Pw3FWC" TargetMode="External"/><Relationship Id="rId2272" Type="http://schemas.openxmlformats.org/officeDocument/2006/relationships/hyperlink" Target="https://preskilet.com/62a36b66a6956a00046000bb" TargetMode="External"/><Relationship Id="rId351" Type="http://schemas.openxmlformats.org/officeDocument/2006/relationships/hyperlink" Target="https://drive.google.com/file/d/1k4GuNRVdOIslLfOUQRDaF6Sx7mMcCxF3/view?usp=drivesdk" TargetMode="External"/><Relationship Id="rId2273" Type="http://schemas.openxmlformats.org/officeDocument/2006/relationships/hyperlink" Target="https://drive.google.com/open?id=1YhNMSuC7mTCuAUG8ReTUnvZQNJy0iyzJ" TargetMode="External"/><Relationship Id="rId5300" Type="http://schemas.openxmlformats.org/officeDocument/2006/relationships/hyperlink" Target="https://drive.google.com/open?id=1HHWhgd0Gszl72RWEJH2EliYWP_EZWTXS" TargetMode="External"/><Relationship Id="rId350" Type="http://schemas.openxmlformats.org/officeDocument/2006/relationships/hyperlink" Target="https://www.linkedin.com/in/tejal-khandalkar-56a948241" TargetMode="External"/><Relationship Id="rId2274" Type="http://schemas.openxmlformats.org/officeDocument/2006/relationships/hyperlink" Target="https://drive.google.com/open?id=1lp3I17Mi_Grw432vMz25bZ_MnB8sv7Ep" TargetMode="External"/><Relationship Id="rId2275" Type="http://schemas.openxmlformats.org/officeDocument/2006/relationships/hyperlink" Target="https://drive.google.com/open?id=1PcuHb4HnTJt-jlw88CB5w8IK2V88yPjA" TargetMode="External"/><Relationship Id="rId356" Type="http://schemas.openxmlformats.org/officeDocument/2006/relationships/hyperlink" Target="https://drive.google.com/open?id=1yJbjXoqP1CZ4PiL-_2qUyfygjfBy3CK9" TargetMode="External"/><Relationship Id="rId2276" Type="http://schemas.openxmlformats.org/officeDocument/2006/relationships/hyperlink" Target="https://drive.google.com/open?id=16O72XNbYL4FKHUGYAs7SjaclPTuXBLsr" TargetMode="External"/><Relationship Id="rId5303" Type="http://schemas.openxmlformats.org/officeDocument/2006/relationships/hyperlink" Target="https://drive.google.com/open?id=1TYmBZOmndSoIru8vesK4RehWqrxRGZzj" TargetMode="External"/><Relationship Id="rId355" Type="http://schemas.openxmlformats.org/officeDocument/2006/relationships/hyperlink" Target="https://drive.google.com/open?id=1s_1i57aJHPGt0lpIhGKLdLGYel7Gov5C" TargetMode="External"/><Relationship Id="rId2277" Type="http://schemas.openxmlformats.org/officeDocument/2006/relationships/hyperlink" Target="https://drive.google.com/open?id=1vReU20fqCrlPpWwhX1NzEQ_8JtUlfInK" TargetMode="External"/><Relationship Id="rId5304" Type="http://schemas.openxmlformats.org/officeDocument/2006/relationships/hyperlink" Target="https://www.linkedin.com/in/chaitany-dumbre-a03771228" TargetMode="External"/><Relationship Id="rId354" Type="http://schemas.openxmlformats.org/officeDocument/2006/relationships/hyperlink" Target="https://drive.google.com/open?id=1BT1-PqYuQH6acm6GNWg_nhSXwutDuEnn" TargetMode="External"/><Relationship Id="rId2278" Type="http://schemas.openxmlformats.org/officeDocument/2006/relationships/hyperlink" Target="https://www.linkedin.com/in/nisarg-kutwal-0509521a0/" TargetMode="External"/><Relationship Id="rId5301" Type="http://schemas.openxmlformats.org/officeDocument/2006/relationships/hyperlink" Target="https://drive.google.com/open?id=1P3cI70NNZtKStgWRy1YEx8yiwTslPBJ7" TargetMode="External"/><Relationship Id="rId353" Type="http://schemas.openxmlformats.org/officeDocument/2006/relationships/hyperlink" Target="https://drive.google.com/open?id=1P82rGiW0qnpiYC-xZYGIQbjMb2BY3qDK" TargetMode="External"/><Relationship Id="rId2279" Type="http://schemas.openxmlformats.org/officeDocument/2006/relationships/hyperlink" Target="https://preskilet.com/watch?v=62bd7a1b9535010004fd25f0" TargetMode="External"/><Relationship Id="rId5302" Type="http://schemas.openxmlformats.org/officeDocument/2006/relationships/hyperlink" Target="https://drive.google.com/open?id=1c5fs6nwH3mNMff2CprQafNWpad_oOy18" TargetMode="External"/><Relationship Id="rId2225" Type="http://schemas.openxmlformats.org/officeDocument/2006/relationships/hyperlink" Target="https://drive.google.com/open?id=1EQBYrHBYSTOLrSHZc0tOTSYSKju7pkl0" TargetMode="External"/><Relationship Id="rId3557" Type="http://schemas.openxmlformats.org/officeDocument/2006/relationships/hyperlink" Target="https://drive.google.com/open?id=12zy6g-1jAgTNIeDNgrV9EFVVbtfAxzKq" TargetMode="External"/><Relationship Id="rId4888" Type="http://schemas.openxmlformats.org/officeDocument/2006/relationships/hyperlink" Target="http://www.linkedin.com/in/sahil-bhawani-5531071a1" TargetMode="External"/><Relationship Id="rId2226" Type="http://schemas.openxmlformats.org/officeDocument/2006/relationships/hyperlink" Target="https://drive.google.com/open?id=17KGNeVWgobuShguwavvjQRQrXGmOwyVk" TargetMode="External"/><Relationship Id="rId3556" Type="http://schemas.openxmlformats.org/officeDocument/2006/relationships/hyperlink" Target="https://drive.google.com/open?id=1clBvQ5rvs9icObsRiIaZ_HKxix4aOTaa" TargetMode="External"/><Relationship Id="rId4887" Type="http://schemas.openxmlformats.org/officeDocument/2006/relationships/hyperlink" Target="https://drive.google.com/open?id=1VIh2l4_Rs2baBK1RNpIxycIJZbsMiuVp" TargetMode="External"/><Relationship Id="rId2227" Type="http://schemas.openxmlformats.org/officeDocument/2006/relationships/hyperlink" Target="https://www.linkedin.com/in/harshwardhan-barge-988749175" TargetMode="External"/><Relationship Id="rId3559" Type="http://schemas.openxmlformats.org/officeDocument/2006/relationships/hyperlink" Target="https://drive.google.com/open?id=1pSSVj9tYNOH8rLSSg2q_2xcW9u14omuE" TargetMode="External"/><Relationship Id="rId2228" Type="http://schemas.openxmlformats.org/officeDocument/2006/relationships/hyperlink" Target="https://preskilet.com/watch?v=62ba6ae54b848a00046627f2" TargetMode="External"/><Relationship Id="rId3558" Type="http://schemas.openxmlformats.org/officeDocument/2006/relationships/hyperlink" Target="https://drive.google.com/open?id=1mAgchk5_C8dfsZzBxy8Y1-64sKV4qTeR" TargetMode="External"/><Relationship Id="rId4889" Type="http://schemas.openxmlformats.org/officeDocument/2006/relationships/hyperlink" Target="https://preskilet.com/watch?v=62a2fa97a6956a00045ff5d2" TargetMode="External"/><Relationship Id="rId2229" Type="http://schemas.openxmlformats.org/officeDocument/2006/relationships/hyperlink" Target="https://drive.google.com/open?id=1f5aHG-RTg8mqWdBt1-Hl4_ajDFMioimm" TargetMode="External"/><Relationship Id="rId305" Type="http://schemas.openxmlformats.org/officeDocument/2006/relationships/hyperlink" Target="https://drive.google.com/open?id=1pf33xZ4ue_6NuPcAzMsBoFuiX4SqXmQ9" TargetMode="External"/><Relationship Id="rId304" Type="http://schemas.openxmlformats.org/officeDocument/2006/relationships/hyperlink" Target="https://preskilet.com/watch?v=62bdc1c89535010004fd28e4" TargetMode="External"/><Relationship Id="rId303" Type="http://schemas.openxmlformats.org/officeDocument/2006/relationships/hyperlink" Target="https://www.linkedin.com/public-profile/settings?lipi=urn%3Ali%3Apage%3Ad_flagship3_profile_self_edit_contact-info%3BjzqIQa1SQGet%2FfHhzBs8qA%3D%3D" TargetMode="External"/><Relationship Id="rId302" Type="http://schemas.openxmlformats.org/officeDocument/2006/relationships/hyperlink" Target="https://drive.google.com/open?id=1GeiNFiNXEEuYTh7h4Xqt9jd1Hhm6ztzM" TargetMode="External"/><Relationship Id="rId309" Type="http://schemas.openxmlformats.org/officeDocument/2006/relationships/hyperlink" Target="https://drive.google.com/open?id=1tTF8S1XX3zrq3ws_O-4fstQO9VWC4wBG" TargetMode="External"/><Relationship Id="rId308" Type="http://schemas.openxmlformats.org/officeDocument/2006/relationships/hyperlink" Target="https://drive.google.com/open?id=1CNoAKMFlfjjRDoktGG58XDJwW1kcnvnF" TargetMode="External"/><Relationship Id="rId307" Type="http://schemas.openxmlformats.org/officeDocument/2006/relationships/hyperlink" Target="https://drive.google.com/open?id=1KOlmcbiEOFcOsYql7emZKh1otAhUxvSP" TargetMode="External"/><Relationship Id="rId306" Type="http://schemas.openxmlformats.org/officeDocument/2006/relationships/hyperlink" Target="https://drive.google.com/open?id=1_b23PxpOCjAhK0Qr4bR1GbSPssnchKUH" TargetMode="External"/><Relationship Id="rId4880" Type="http://schemas.openxmlformats.org/officeDocument/2006/relationships/hyperlink" Target="https://drive.google.com/open?id=12f7kUrIZ4TEcNO1yTozFory7PTSw8HZe" TargetMode="External"/><Relationship Id="rId3551" Type="http://schemas.openxmlformats.org/officeDocument/2006/relationships/hyperlink" Target="https://drive.google.com/open?id=1VPdXmtSh7xGFO563MKWvqvfsrGsRS3H9" TargetMode="External"/><Relationship Id="rId4882" Type="http://schemas.openxmlformats.org/officeDocument/2006/relationships/hyperlink" Target="http://linkedin.com/in/saurabh-keskar-b98618231" TargetMode="External"/><Relationship Id="rId2220" Type="http://schemas.openxmlformats.org/officeDocument/2006/relationships/hyperlink" Target="https://drive.google.com/open?id=11jayFrAZUUnmibQS2p3WDpcAewfe7qKl" TargetMode="External"/><Relationship Id="rId3550" Type="http://schemas.openxmlformats.org/officeDocument/2006/relationships/hyperlink" Target="https://drive.google.com/open?id=1qOb7hBQzTFS6Iv1Wwgs_VwDhuzOF9m7n" TargetMode="External"/><Relationship Id="rId4881" Type="http://schemas.openxmlformats.org/officeDocument/2006/relationships/hyperlink" Target="https://drive.google.com/open?id=1klOC-0iumRt322zmOTpsVPjHGTb3A1C8" TargetMode="External"/><Relationship Id="rId301" Type="http://schemas.openxmlformats.org/officeDocument/2006/relationships/hyperlink" Target="https://drive.google.com/open?id=1JN7CDEz0q45dVDccSwY7MvacLlkUxM17" TargetMode="External"/><Relationship Id="rId2221" Type="http://schemas.openxmlformats.org/officeDocument/2006/relationships/hyperlink" Target="https://www.linkedin.com/in/niranjan-khandagale-1b9a4a214" TargetMode="External"/><Relationship Id="rId3553" Type="http://schemas.openxmlformats.org/officeDocument/2006/relationships/hyperlink" Target="https://drive.google.com/open?id=1eYKs36QBQnhqErS6Q7-_cOtZ3xzjXteq" TargetMode="External"/><Relationship Id="rId4884" Type="http://schemas.openxmlformats.org/officeDocument/2006/relationships/hyperlink" Target="https://drive.google.com/open?id=1rcZIY82wddRzcKB5C6_-UDnFqp-heUG7" TargetMode="External"/><Relationship Id="rId300" Type="http://schemas.openxmlformats.org/officeDocument/2006/relationships/hyperlink" Target="https://drive.google.com/open?id=1b4a1lEZhLxKxWifZYbbpFRgUBgKT-vkS" TargetMode="External"/><Relationship Id="rId2222" Type="http://schemas.openxmlformats.org/officeDocument/2006/relationships/hyperlink" Target="https://preskilet.com/watch?v=62b55338af4f2700045cdc55" TargetMode="External"/><Relationship Id="rId3552" Type="http://schemas.openxmlformats.org/officeDocument/2006/relationships/hyperlink" Target="https://drive.google.com/open?id=1taXvgSETwmlqkOWldu9orLSLxzgvar2B" TargetMode="External"/><Relationship Id="rId4883" Type="http://schemas.openxmlformats.org/officeDocument/2006/relationships/hyperlink" Target="https://preskilet.com/watch?v=62a376eba6956a00046002d3" TargetMode="External"/><Relationship Id="rId2223" Type="http://schemas.openxmlformats.org/officeDocument/2006/relationships/hyperlink" Target="https://drive.google.com/open?id=1NuTDd_-Mo8x3QEZGf81OX7o7AR4LKiGg" TargetMode="External"/><Relationship Id="rId3555" Type="http://schemas.openxmlformats.org/officeDocument/2006/relationships/hyperlink" Target="https://drive.google.com/drive/folders/1U-lWGp0Pu_wFNP1TWMHHhN2pTERPPPHQ" TargetMode="External"/><Relationship Id="rId4886" Type="http://schemas.openxmlformats.org/officeDocument/2006/relationships/hyperlink" Target="https://drive.google.com/open?id=1oxm4QSaW7-NyzueUbdA9NN3woQiM5gTd" TargetMode="External"/><Relationship Id="rId2224" Type="http://schemas.openxmlformats.org/officeDocument/2006/relationships/hyperlink" Target="https://drive.google.com/open?id=1C3IATobPz_s-NRqLQjh5rX73JOOtuE5T" TargetMode="External"/><Relationship Id="rId3554" Type="http://schemas.openxmlformats.org/officeDocument/2006/relationships/hyperlink" Target="https://www.linkedin.com/in/sarang-rampelliwar-718794241" TargetMode="External"/><Relationship Id="rId4885" Type="http://schemas.openxmlformats.org/officeDocument/2006/relationships/hyperlink" Target="https://drive.google.com/open?id=1uFfYgibnhQwDPEZw_aDnQZFyfPcoeU1G" TargetMode="External"/><Relationship Id="rId2214" Type="http://schemas.openxmlformats.org/officeDocument/2006/relationships/hyperlink" Target="https://preskilet.com/62a2da79a6956a00045ff355" TargetMode="External"/><Relationship Id="rId3546" Type="http://schemas.openxmlformats.org/officeDocument/2006/relationships/hyperlink" Target="https://drive.google.com/open?id=1aVaqKu7kgqwwnFv5mND2Z74lbnHnDHzt" TargetMode="External"/><Relationship Id="rId4877" Type="http://schemas.openxmlformats.org/officeDocument/2006/relationships/hyperlink" Target="https://www.linkedin.com/in/vip13/" TargetMode="External"/><Relationship Id="rId2215" Type="http://schemas.openxmlformats.org/officeDocument/2006/relationships/hyperlink" Target="https://drive.google.com/open?id=17WJyZTf_ds0iFxR9VfUvygmYt5Bzd9cR" TargetMode="External"/><Relationship Id="rId3545" Type="http://schemas.openxmlformats.org/officeDocument/2006/relationships/hyperlink" Target="https://drive.google.com/open?id=1apwrtO69e09JJeBLd5PpIV_vzHsYu32z" TargetMode="External"/><Relationship Id="rId4876" Type="http://schemas.openxmlformats.org/officeDocument/2006/relationships/hyperlink" Target="https://drive.google.com/open?id=1uOcEbnbO4Snerbvfny3YcWnpX6CoRq2j" TargetMode="External"/><Relationship Id="rId2216" Type="http://schemas.openxmlformats.org/officeDocument/2006/relationships/hyperlink" Target="https://drive.google.com/open?id=1Tm49AeMW7u8uJKC1ZCmeX3ECIFNPIQzR" TargetMode="External"/><Relationship Id="rId3548" Type="http://schemas.openxmlformats.org/officeDocument/2006/relationships/hyperlink" Target="https://preskilet.com/watch?v=6297057f5545ea0004a92318" TargetMode="External"/><Relationship Id="rId4879" Type="http://schemas.openxmlformats.org/officeDocument/2006/relationships/hyperlink" Target="https://drive.google.com/open?id=1jkTziYzHcg7m1FUE0kOLbdNkSu7K2Q9I" TargetMode="External"/><Relationship Id="rId2217" Type="http://schemas.openxmlformats.org/officeDocument/2006/relationships/hyperlink" Target="https://drive.google.com/open?id=1pRF8-F3FebfQoPxaPjs0Uk3adWAuNfzF" TargetMode="External"/><Relationship Id="rId3547" Type="http://schemas.openxmlformats.org/officeDocument/2006/relationships/hyperlink" Target="https://www.linkedin.com/in/atharva-umbarkar-12a003194" TargetMode="External"/><Relationship Id="rId4878" Type="http://schemas.openxmlformats.org/officeDocument/2006/relationships/hyperlink" Target="https://drive.google.com/file/d/1fVVK_vgSOV1JzsRMC4T0wkV0_54EjVVP/view?usp=sharing" TargetMode="External"/><Relationship Id="rId2218" Type="http://schemas.openxmlformats.org/officeDocument/2006/relationships/hyperlink" Target="https://drive.google.com/open?id=1EQ1iaIgixKVkuKSwEOcnQSCuCmgK8OC7" TargetMode="External"/><Relationship Id="rId2219" Type="http://schemas.openxmlformats.org/officeDocument/2006/relationships/hyperlink" Target="https://drive.google.com/open?id=1s84hQ4d0AKMrxQm7o9GipjauAerLnG1Z" TargetMode="External"/><Relationship Id="rId3549" Type="http://schemas.openxmlformats.org/officeDocument/2006/relationships/hyperlink" Target="https://drive.google.com/open?id=1WyP63UgpcWQWwzlWgI1VzeW5I-1NHTGR" TargetMode="External"/><Relationship Id="rId3540" Type="http://schemas.openxmlformats.org/officeDocument/2006/relationships/hyperlink" Target="https://preskilet.com/watch?v=62a3893ba6956a00046006aa" TargetMode="External"/><Relationship Id="rId4871" Type="http://schemas.openxmlformats.org/officeDocument/2006/relationships/hyperlink" Target="https://www.linkedin.com/in/vyankatesh-khandke-37b026194/" TargetMode="External"/><Relationship Id="rId4870" Type="http://schemas.openxmlformats.org/officeDocument/2006/relationships/hyperlink" Target="https://drive.google.com/open?id=154sHvVXJGURkQSMzcm-sSykOc5VQLu0R" TargetMode="External"/><Relationship Id="rId2210" Type="http://schemas.openxmlformats.org/officeDocument/2006/relationships/hyperlink" Target="https://drive.google.com/open?id=1R0ea6sIr1w5SIv4wuX-XZrv4rKd6bFA8" TargetMode="External"/><Relationship Id="rId3542" Type="http://schemas.openxmlformats.org/officeDocument/2006/relationships/hyperlink" Target="https://drive.google.com/open?id=1ISZsmKaD13aPkqFiF_Kn7Xmibq86T22t" TargetMode="External"/><Relationship Id="rId4873" Type="http://schemas.openxmlformats.org/officeDocument/2006/relationships/hyperlink" Target="https://drive.google.com/open?id=1Iz052povEpGvkxPs723lMsB5AR70ezsR" TargetMode="External"/><Relationship Id="rId2211" Type="http://schemas.openxmlformats.org/officeDocument/2006/relationships/hyperlink" Target="https://drive.google.com/open?id=1rNM-jTr1iE482Z_8N3Sie2CI0YhjAzQt" TargetMode="External"/><Relationship Id="rId3541" Type="http://schemas.openxmlformats.org/officeDocument/2006/relationships/hyperlink" Target="https://drive.google.com/open?id=19jgQ8yTzFmXWQMOwDST3aqYWzIDo3Si_" TargetMode="External"/><Relationship Id="rId4872" Type="http://schemas.openxmlformats.org/officeDocument/2006/relationships/hyperlink" Target="https://preskilet.com/watch?v=62a34ca5a6956a00045ffdbf" TargetMode="External"/><Relationship Id="rId2212" Type="http://schemas.openxmlformats.org/officeDocument/2006/relationships/hyperlink" Target="https://drive.google.com/open?id=1aCJd4j0bARGqFw8wfHoc-BzCgetsQC0P" TargetMode="External"/><Relationship Id="rId3544" Type="http://schemas.openxmlformats.org/officeDocument/2006/relationships/hyperlink" Target="https://drive.google.com/open?id=1w9O3oa3zz1UIx5l_ModNbib3G2ZQPBc-" TargetMode="External"/><Relationship Id="rId4875" Type="http://schemas.openxmlformats.org/officeDocument/2006/relationships/hyperlink" Target="https://drive.google.com/open?id=18l6XCOsUk8RJFUsw_8aG3sElWCZXBS0y" TargetMode="External"/><Relationship Id="rId2213" Type="http://schemas.openxmlformats.org/officeDocument/2006/relationships/hyperlink" Target="https://www.linkedin.com/in/rushikesh-bawkar-874a931ba/" TargetMode="External"/><Relationship Id="rId3543" Type="http://schemas.openxmlformats.org/officeDocument/2006/relationships/hyperlink" Target="https://drive.google.com/open?id=1w2mFIKFh0fsPkQP_qbZ8aIke2MG1Xfx-" TargetMode="External"/><Relationship Id="rId4874" Type="http://schemas.openxmlformats.org/officeDocument/2006/relationships/hyperlink" Target="https://drive.google.com/open?id=1gFEC21cekSrznQk6hdRjEBc5qSdhE0gR" TargetMode="External"/><Relationship Id="rId2247" Type="http://schemas.openxmlformats.org/officeDocument/2006/relationships/hyperlink" Target="https://drive.google.com/open?id=1CkPxLnUfyUXQVZp6lpmXkzBIVSv1k_76" TargetMode="External"/><Relationship Id="rId3579" Type="http://schemas.openxmlformats.org/officeDocument/2006/relationships/hyperlink" Target="http://linkedin.com/in/pranit-magdum-5032b1167" TargetMode="External"/><Relationship Id="rId2248" Type="http://schemas.openxmlformats.org/officeDocument/2006/relationships/hyperlink" Target="http://linkedin.com/in/udyanraje-bhosale-77089b241" TargetMode="External"/><Relationship Id="rId3578" Type="http://schemas.openxmlformats.org/officeDocument/2006/relationships/hyperlink" Target="https://drive.google.com/open?id=17xZz6ok_nbyckWZFn52jp4N3qiMKzxnm" TargetMode="External"/><Relationship Id="rId2249" Type="http://schemas.openxmlformats.org/officeDocument/2006/relationships/hyperlink" Target="https://preskilet.com/watch?v=62bda8879535010004fd27b1" TargetMode="External"/><Relationship Id="rId327" Type="http://schemas.openxmlformats.org/officeDocument/2006/relationships/hyperlink" Target="https://drive.google.com/open?id=1FJpAUz-Bfd0HGCQ9w_SDJ5E3WwdEAGAd" TargetMode="External"/><Relationship Id="rId326" Type="http://schemas.openxmlformats.org/officeDocument/2006/relationships/hyperlink" Target="https://drive.google.com/open?id=1oL-5g06g78vZiQnH4ZDC3-A5oJBGblr-" TargetMode="External"/><Relationship Id="rId325" Type="http://schemas.openxmlformats.org/officeDocument/2006/relationships/hyperlink" Target="https://drive.google.com/open?id=1cX0jfw9VXUeHQALJi-fbq85YUwFULKXP" TargetMode="External"/><Relationship Id="rId324" Type="http://schemas.openxmlformats.org/officeDocument/2006/relationships/hyperlink" Target="https://preskilet.com/watch?v=62c67ba8c541fe000489cc19" TargetMode="External"/><Relationship Id="rId329" Type="http://schemas.openxmlformats.org/officeDocument/2006/relationships/hyperlink" Target="https://drive.google.com/open?id=1_H-uyakzvhicFv7mJyZyn08eoqWoIikP" TargetMode="External"/><Relationship Id="rId328" Type="http://schemas.openxmlformats.org/officeDocument/2006/relationships/hyperlink" Target="https://drive.google.com/open?id=1VS5GTzg75HTcSw9iCCZYQ4qu2Oi7dXrv" TargetMode="External"/><Relationship Id="rId3571" Type="http://schemas.openxmlformats.org/officeDocument/2006/relationships/hyperlink" Target="https://drive.google.com/open?id=18ThhL4A9lQqsHV9s3clcwpj76B-C5PH8" TargetMode="External"/><Relationship Id="rId2240" Type="http://schemas.openxmlformats.org/officeDocument/2006/relationships/hyperlink" Target="https://www.linkedin.com/in/abhinav-singh-8933b5214/" TargetMode="External"/><Relationship Id="rId3570" Type="http://schemas.openxmlformats.org/officeDocument/2006/relationships/hyperlink" Target="https://drive.google.com/open?id=12sn7c-T40JVjhrpVQEBB--ph7S1I0Fty" TargetMode="External"/><Relationship Id="rId2241" Type="http://schemas.openxmlformats.org/officeDocument/2006/relationships/hyperlink" Target="https://preskilet.com/watch?v=62a365cda6956a0004600011" TargetMode="External"/><Relationship Id="rId3573" Type="http://schemas.openxmlformats.org/officeDocument/2006/relationships/hyperlink" Target="https://preskilet.com/watch?v=62b58c99af4f2700045cdf52" TargetMode="External"/><Relationship Id="rId2242" Type="http://schemas.openxmlformats.org/officeDocument/2006/relationships/hyperlink" Target="https://drive.google.com/open?id=1fYHHYYViQ6Bpavp5wipGymFC7CfbAQ9n" TargetMode="External"/><Relationship Id="rId3572" Type="http://schemas.openxmlformats.org/officeDocument/2006/relationships/hyperlink" Target="https://www.linkedin.com/in/onkar-kale-246587240/" TargetMode="External"/><Relationship Id="rId323" Type="http://schemas.openxmlformats.org/officeDocument/2006/relationships/hyperlink" Target="https://www.linkedin.com/in/vaibhav-tambare-3584611a9" TargetMode="External"/><Relationship Id="rId2243" Type="http://schemas.openxmlformats.org/officeDocument/2006/relationships/hyperlink" Target="https://drive.google.com/open?id=1UyWxseFwcVfUVMguTsy5GK2CZY5b9xjH" TargetMode="External"/><Relationship Id="rId3575" Type="http://schemas.openxmlformats.org/officeDocument/2006/relationships/hyperlink" Target="https://drive.google.com/open?id=10tVm0EuoTZ00Oy2hjdE9QBTBUh-iY_5B" TargetMode="External"/><Relationship Id="rId322" Type="http://schemas.openxmlformats.org/officeDocument/2006/relationships/hyperlink" Target="https://drive.google.com/open?id=1TbhUDdowE7dsGYSQSfYKsiQzfScUDjiU" TargetMode="External"/><Relationship Id="rId2244" Type="http://schemas.openxmlformats.org/officeDocument/2006/relationships/hyperlink" Target="https://drive.google.com/open?id=1Up7hskVR8TbrEqvRNA06CqxSHVuPK6NU" TargetMode="External"/><Relationship Id="rId3574" Type="http://schemas.openxmlformats.org/officeDocument/2006/relationships/hyperlink" Target="https://drive.google.com/open?id=1zhjSts3Re02OQIJaJFwaIfQiLqILFe-X" TargetMode="External"/><Relationship Id="rId321" Type="http://schemas.openxmlformats.org/officeDocument/2006/relationships/hyperlink" Target="https://drive.google.com/open?id=1VszIljcAZZQX5C3XdCVv-Ywk6oyZwxjz" TargetMode="External"/><Relationship Id="rId2245" Type="http://schemas.openxmlformats.org/officeDocument/2006/relationships/hyperlink" Target="https://drive.google.com/open?id=1wCdxwq7Lz50lozg5OMYyUy3ZYQzuakZd" TargetMode="External"/><Relationship Id="rId3577" Type="http://schemas.openxmlformats.org/officeDocument/2006/relationships/hyperlink" Target="https://drive.google.com/open?id=18Pn-22e6DETNemTmInlcy_uqJ0bRpYER" TargetMode="External"/><Relationship Id="rId320" Type="http://schemas.openxmlformats.org/officeDocument/2006/relationships/hyperlink" Target="https://drive.google.com/open?id=1Qk5Xc10HgDE_SEny8r3OXeMYpLXcOETU" TargetMode="External"/><Relationship Id="rId2246" Type="http://schemas.openxmlformats.org/officeDocument/2006/relationships/hyperlink" Target="https://drive.google.com/open?id=1sdrl0dudKPrDmwSQqB8vux-Loj_LQlz5" TargetMode="External"/><Relationship Id="rId3576" Type="http://schemas.openxmlformats.org/officeDocument/2006/relationships/hyperlink" Target="https://drive.google.com/open?id=13eAPuoMGg6U81po6Ky_K_autr48NTmbu" TargetMode="External"/><Relationship Id="rId2236" Type="http://schemas.openxmlformats.org/officeDocument/2006/relationships/hyperlink" Target="https://preskilet.com/watch?v=62bde6809535010004fd2be8" TargetMode="External"/><Relationship Id="rId3568" Type="http://schemas.openxmlformats.org/officeDocument/2006/relationships/hyperlink" Target="https://preskilet.com/watch?v=62b54a26af4f2700045cdb15" TargetMode="External"/><Relationship Id="rId4899" Type="http://schemas.openxmlformats.org/officeDocument/2006/relationships/hyperlink" Target="https://drive.google.com/open?id=1w_s4IQwzyjE_i6f_SL0CuFct0BAwDrSB" TargetMode="External"/><Relationship Id="rId2237" Type="http://schemas.openxmlformats.org/officeDocument/2006/relationships/hyperlink" Target="https://drive.google.com/open?id=1zHPYtQkmcvUxm3qR_3fbNsfPEsLBFPuc" TargetMode="External"/><Relationship Id="rId3567" Type="http://schemas.openxmlformats.org/officeDocument/2006/relationships/hyperlink" Target="https://www.linkedin.com/in/manas-mane-529169197" TargetMode="External"/><Relationship Id="rId4898" Type="http://schemas.openxmlformats.org/officeDocument/2006/relationships/hyperlink" Target="https://drive.google.com/open?id=1VEE4q03GBgw3wvf_Y_ocCZxJ3jPaDGV6" TargetMode="External"/><Relationship Id="rId2238" Type="http://schemas.openxmlformats.org/officeDocument/2006/relationships/hyperlink" Target="https://drive.google.com/open?id=1zS6y7tQ8Ics1u4SgIb_Gh4tMxnEioDRp" TargetMode="External"/><Relationship Id="rId2239" Type="http://schemas.openxmlformats.org/officeDocument/2006/relationships/hyperlink" Target="https://drive.google.com/open?id=1wxt4MVGXrjUDajvLRWeX6zmpojph5mo1" TargetMode="External"/><Relationship Id="rId3569" Type="http://schemas.openxmlformats.org/officeDocument/2006/relationships/hyperlink" Target="https://drive.google.com/open?id=1ECfXgCD7SP8JW2M0fkhelz3qRdwfuVxI" TargetMode="External"/><Relationship Id="rId316" Type="http://schemas.openxmlformats.org/officeDocument/2006/relationships/hyperlink" Target="https://drive.google.com/open?id=1l-GfmAQrB7t2qxPs7qbAJZmcWXk61FD6" TargetMode="External"/><Relationship Id="rId315" Type="http://schemas.openxmlformats.org/officeDocument/2006/relationships/hyperlink" Target="https://drive.google.com/open?id=1dzKdnRcwLq1v3vwTD39czKK5SZ2qabbv" TargetMode="External"/><Relationship Id="rId314" Type="http://schemas.openxmlformats.org/officeDocument/2006/relationships/hyperlink" Target="https://drive.google.com/open?id=1zafhV-pKZZJT6WEVRKAhtg50wjfFj1MN" TargetMode="External"/><Relationship Id="rId313" Type="http://schemas.openxmlformats.org/officeDocument/2006/relationships/hyperlink" Target="https://drive.google.com/open?id=1ImUKTw0NgPd9FGLdmFuOtD-mGnlRBydO" TargetMode="External"/><Relationship Id="rId319" Type="http://schemas.openxmlformats.org/officeDocument/2006/relationships/hyperlink" Target="https://drive.google.com/open?id=1VYxWEo_r4w4CoX8j48SXwCwhrOLdiBRp" TargetMode="External"/><Relationship Id="rId318" Type="http://schemas.openxmlformats.org/officeDocument/2006/relationships/hyperlink" Target="https://drive.google.com/open?id=1EvMZ9qLCEqN5gqwda4EnVSQms90KP02c" TargetMode="External"/><Relationship Id="rId317" Type="http://schemas.openxmlformats.org/officeDocument/2006/relationships/hyperlink" Target="https://drive.google.com/open?id=1J3LEFr2SW-lt6CEXRaU0t87RCyuIzKXE" TargetMode="External"/><Relationship Id="rId3560" Type="http://schemas.openxmlformats.org/officeDocument/2006/relationships/hyperlink" Target="https://drive.google.com/open?id=1qYNx2KQdei50zjvoqmxjoUn_nnuqQlW4" TargetMode="External"/><Relationship Id="rId4891" Type="http://schemas.openxmlformats.org/officeDocument/2006/relationships/hyperlink" Target="https://drive.google.com/open?id=1JJ8G6s9HSYu3Vy62fzQRZvERda_kX1HR" TargetMode="External"/><Relationship Id="rId4890" Type="http://schemas.openxmlformats.org/officeDocument/2006/relationships/hyperlink" Target="https://drive.google.com/open?id=1i27LIvuYKJdmcwVLPgRfxYFvI7MoIXeD" TargetMode="External"/><Relationship Id="rId2230" Type="http://schemas.openxmlformats.org/officeDocument/2006/relationships/hyperlink" Target="https://drive.google.com/open?id=1Tah9jxE04wVxuqD2wA7IP8hnD7QZ2FO1" TargetMode="External"/><Relationship Id="rId3562" Type="http://schemas.openxmlformats.org/officeDocument/2006/relationships/hyperlink" Target="https://drive.google.com/folderview?id=1Mr4GEDkXsY7FwzXXAIXZ_UaTgxNVOQkX" TargetMode="External"/><Relationship Id="rId4893" Type="http://schemas.openxmlformats.org/officeDocument/2006/relationships/hyperlink" Target="https://drive.google.com/open?id=1OR-4vMn29DBw7ofhfChheJZkfqUO1yv5" TargetMode="External"/><Relationship Id="rId2231" Type="http://schemas.openxmlformats.org/officeDocument/2006/relationships/hyperlink" Target="https://drive.google.com/open?id=1ks57Hw4-nq1E_S_Me3jCbnaEx2_SVno_" TargetMode="External"/><Relationship Id="rId3561" Type="http://schemas.openxmlformats.org/officeDocument/2006/relationships/hyperlink" Target="https://www.linkedin.com/in/anuraj-marathe-9b2876228" TargetMode="External"/><Relationship Id="rId4892" Type="http://schemas.openxmlformats.org/officeDocument/2006/relationships/hyperlink" Target="https://drive.google.com/open?id=1BvPE4C5NTO6tn72w3p4f9gzEL4lS0ljU" TargetMode="External"/><Relationship Id="rId312" Type="http://schemas.openxmlformats.org/officeDocument/2006/relationships/hyperlink" Target="https://drive.google.com/open?id=1WEDAGJLBdXaKxXHvTzUvYEHgaWrl8BL1" TargetMode="External"/><Relationship Id="rId2232" Type="http://schemas.openxmlformats.org/officeDocument/2006/relationships/hyperlink" Target="https://drive.google.com/open?id=1JwT2c3JIv4IZotS2ru3Wegj_Wdi2UhKg" TargetMode="External"/><Relationship Id="rId3564" Type="http://schemas.openxmlformats.org/officeDocument/2006/relationships/hyperlink" Target="https://drive.google.com/open?id=1sRGqNSaqEfZu8szaaDAjx1bATTtzOz1t" TargetMode="External"/><Relationship Id="rId4895" Type="http://schemas.openxmlformats.org/officeDocument/2006/relationships/hyperlink" Target="https://www.linkedin.com/in/vaishnavi-bhadale-a265ba197/" TargetMode="External"/><Relationship Id="rId311" Type="http://schemas.openxmlformats.org/officeDocument/2006/relationships/hyperlink" Target="https://preskilet.com/watch?v=62bc227cb8198200043afbf6" TargetMode="External"/><Relationship Id="rId2233" Type="http://schemas.openxmlformats.org/officeDocument/2006/relationships/hyperlink" Target="https://drive.google.com/open?id=1ja3RUvhLOGBPo9YD8RxzBn7OTi4HelwO" TargetMode="External"/><Relationship Id="rId3563" Type="http://schemas.openxmlformats.org/officeDocument/2006/relationships/hyperlink" Target="https://drive.google.com/open?id=1lbkrKOIDXke3VoSLShTGhVSCk6zkTF6h" TargetMode="External"/><Relationship Id="rId4894" Type="http://schemas.openxmlformats.org/officeDocument/2006/relationships/hyperlink" Target="https://drive.google.com/open?id=1IsSrLTXzu2Pizh_ahr_YeF87Y0Ef3pfp" TargetMode="External"/><Relationship Id="rId310" Type="http://schemas.openxmlformats.org/officeDocument/2006/relationships/hyperlink" Target="https://www.linkedin.com/in/pratiksha-shinde-955b5b227/" TargetMode="External"/><Relationship Id="rId2234" Type="http://schemas.openxmlformats.org/officeDocument/2006/relationships/hyperlink" Target="https://drive.google.com/open?id=1mLqFuROBJ5kpv6aLom1W_wuClk4XOlPK" TargetMode="External"/><Relationship Id="rId3566" Type="http://schemas.openxmlformats.org/officeDocument/2006/relationships/hyperlink" Target="https://drive.google.com/open?id=1FwYD0te4ov-umWbYeqm3-k7q3W3z8AN2" TargetMode="External"/><Relationship Id="rId4897" Type="http://schemas.openxmlformats.org/officeDocument/2006/relationships/hyperlink" Target="https://drive.google.com/open?id=133MdAhl0USNMdN6lUSFlYNISuxfNQMuC" TargetMode="External"/><Relationship Id="rId2235" Type="http://schemas.openxmlformats.org/officeDocument/2006/relationships/hyperlink" Target="https://www.linkedin.com/in/sarth-kumar-9987191b7/" TargetMode="External"/><Relationship Id="rId3565" Type="http://schemas.openxmlformats.org/officeDocument/2006/relationships/hyperlink" Target="https://drive.google.com/open?id=1nx_XM5c5K0LOK7dT0fu1nRp7G0k0Caqf" TargetMode="External"/><Relationship Id="rId4896" Type="http://schemas.openxmlformats.org/officeDocument/2006/relationships/hyperlink" Target="https://preskilet.com/watch?v=62a3584aa6956a00045ffe86" TargetMode="External"/><Relationship Id="rId4040" Type="http://schemas.openxmlformats.org/officeDocument/2006/relationships/hyperlink" Target="https://drive.google.com/open?id=1xqUUT6vzuo844v4_GdZyCspMvuaKP_FW" TargetMode="External"/><Relationship Id="rId5372" Type="http://schemas.openxmlformats.org/officeDocument/2006/relationships/hyperlink" Target="https://drive.google.com/file/d/1vtmbQuAJkfXpzY6E8tkiHV011kzLs1Ns/view?usp=drivesdk" TargetMode="External"/><Relationship Id="rId5373" Type="http://schemas.openxmlformats.org/officeDocument/2006/relationships/hyperlink" Target="https://drive.google.com/open?id=1aHSXqoJwP5Z2JOItw6hluoytOwCkzkm7" TargetMode="External"/><Relationship Id="rId4042" Type="http://schemas.openxmlformats.org/officeDocument/2006/relationships/hyperlink" Target="https://drive.google.com/open?id=1ShbaN6VQrMKMPtREbNDHWb2CxLtnAzeN" TargetMode="External"/><Relationship Id="rId5370" Type="http://schemas.openxmlformats.org/officeDocument/2006/relationships/hyperlink" Target="https://drive.google.com/open?id=1wZBLBWWJXbRtLEzlnNji819jOYQ5ZQQk" TargetMode="External"/><Relationship Id="rId4041" Type="http://schemas.openxmlformats.org/officeDocument/2006/relationships/hyperlink" Target="https://drive.google.com/open?id=19JRf9KeXNoxGX5Qlb0ejoY995TyG7Tfr" TargetMode="External"/><Relationship Id="rId5371" Type="http://schemas.openxmlformats.org/officeDocument/2006/relationships/hyperlink" Target="https://www.linkedin.com/mwlite/in/nilima-satote-88321623b" TargetMode="External"/><Relationship Id="rId4044" Type="http://schemas.openxmlformats.org/officeDocument/2006/relationships/hyperlink" Target="https://preskilet.com/watch?v=62b48f7530b28000045234af" TargetMode="External"/><Relationship Id="rId5376" Type="http://schemas.openxmlformats.org/officeDocument/2006/relationships/hyperlink" Target="https://drive.google.com/open?id=1ZpX-m0HqmFDvzz9mLrLrvsFq4S77BwKh" TargetMode="External"/><Relationship Id="rId4043" Type="http://schemas.openxmlformats.org/officeDocument/2006/relationships/hyperlink" Target="https://www.linkedin.com/in/suyash-parve-780685193" TargetMode="External"/><Relationship Id="rId5377" Type="http://schemas.openxmlformats.org/officeDocument/2006/relationships/hyperlink" Target="https://drive.google.com/open?id=1i-poBBQhZOB0cEKiUsQg3pOfW2miEyZC" TargetMode="External"/><Relationship Id="rId4046" Type="http://schemas.openxmlformats.org/officeDocument/2006/relationships/hyperlink" Target="https://drive.google.com/open?id=18RLum5WjOvD5iipaKqiN5wmV755t8-BM" TargetMode="External"/><Relationship Id="rId5374" Type="http://schemas.openxmlformats.org/officeDocument/2006/relationships/hyperlink" Target="https://drive.google.com/open?id=11PpZ0MGbB1ilp9DZc8_-InF1Q3gfr40U" TargetMode="External"/><Relationship Id="rId4045" Type="http://schemas.openxmlformats.org/officeDocument/2006/relationships/hyperlink" Target="https://drive.google.com/open?id=1i2HxpVv5iq_lFZI-q8tqJ8fcsw5SQ11L" TargetMode="External"/><Relationship Id="rId5375" Type="http://schemas.openxmlformats.org/officeDocument/2006/relationships/hyperlink" Target="https://www.linkedin.com/in/varsharani-shinde-a921a4215" TargetMode="External"/><Relationship Id="rId4048" Type="http://schemas.openxmlformats.org/officeDocument/2006/relationships/hyperlink" Target="https://drive.google.com/open?id=1s-M4bVjZ7z3jIrvoXLzaKwnGxuct_upP" TargetMode="External"/><Relationship Id="rId4047" Type="http://schemas.openxmlformats.org/officeDocument/2006/relationships/hyperlink" Target="https://drive.google.com/open?id=1-lndaaCxBjLlcCEtkk-4f8W-58HV9rtJ" TargetMode="External"/><Relationship Id="rId5378" Type="http://schemas.openxmlformats.org/officeDocument/2006/relationships/hyperlink" Target="https://drive.google.com/open?id=1HTIe0Qw_TpBt8Yt85GBUHUZr0nocvM44" TargetMode="External"/><Relationship Id="rId4049" Type="http://schemas.openxmlformats.org/officeDocument/2006/relationships/hyperlink" Target="https://drive.google.com/open?id=1GU-yFUNvkrM4P8SsTIPzu6HMwEYpiyag" TargetMode="External"/><Relationship Id="rId5379" Type="http://schemas.openxmlformats.org/officeDocument/2006/relationships/hyperlink" Target="https://www.linkedin.com/mwlite/in/tirupati-khaple-016875236" TargetMode="External"/><Relationship Id="rId5361" Type="http://schemas.openxmlformats.org/officeDocument/2006/relationships/hyperlink" Target="https://drive.google.com/open?id=1OOb2_EZakQnZ44jlnhfrvZNPaji1HLfj" TargetMode="External"/><Relationship Id="rId5362" Type="http://schemas.openxmlformats.org/officeDocument/2006/relationships/hyperlink" Target="https://drive.google.com/open?id=1T8a6dsgXd5RROgE8f-h393gBH1SZyM7Q" TargetMode="External"/><Relationship Id="rId4031" Type="http://schemas.openxmlformats.org/officeDocument/2006/relationships/hyperlink" Target="https://drive.google.com/open?id=18TZq4VYlwt46ZKhDYn6TJe9r_dv0Nf92" TargetMode="External"/><Relationship Id="rId4030" Type="http://schemas.openxmlformats.org/officeDocument/2006/relationships/hyperlink" Target="https://drive.google.com/open?id=1OMi-Wy7tVRP5jLEAr99a3RLr6crrNb2s" TargetMode="External"/><Relationship Id="rId5360" Type="http://schemas.openxmlformats.org/officeDocument/2006/relationships/hyperlink" Target="https://drive.google.com/open?id=1sv7qmYM3_R3qIWdtjxiYH12bPCr0xy64" TargetMode="External"/><Relationship Id="rId297" Type="http://schemas.openxmlformats.org/officeDocument/2006/relationships/hyperlink" Target="https://preskilet.com/watch?v=62b85f51e89bf80004f23169" TargetMode="External"/><Relationship Id="rId4033" Type="http://schemas.openxmlformats.org/officeDocument/2006/relationships/hyperlink" Target="https://www.linkedin.com/in/onkar-bilure-9bb7b8201" TargetMode="External"/><Relationship Id="rId5365" Type="http://schemas.openxmlformats.org/officeDocument/2006/relationships/hyperlink" Target="https://drive.google.com/open?id=182--BOAgVuTz3rmHPbnfgDaY1wcb4J3F" TargetMode="External"/><Relationship Id="rId296" Type="http://schemas.openxmlformats.org/officeDocument/2006/relationships/hyperlink" Target="https://www.linkedin.com/public-profile/settings?lipi=urn%3Ali%3Apage%3Ad_flagship3_profile_self_edit_contact-info%3BllLRDcK4Ska5YuEQSg6oNQ%3D%3D" TargetMode="External"/><Relationship Id="rId4032" Type="http://schemas.openxmlformats.org/officeDocument/2006/relationships/hyperlink" Target="https://drive.google.com/open?id=1vj43-yUZce7QlgnLGt0EQgyCRyhUh0Pe" TargetMode="External"/><Relationship Id="rId5366" Type="http://schemas.openxmlformats.org/officeDocument/2006/relationships/hyperlink" Target="https://drive.google.com/open?id=1qCo_HznSLpdHGRu-07ZK1Ht088m84dS-" TargetMode="External"/><Relationship Id="rId295" Type="http://schemas.openxmlformats.org/officeDocument/2006/relationships/hyperlink" Target="https://drive.google.com/open?id=10Q6dv4FRnYDG6eBWztRYM964J5hJClGj" TargetMode="External"/><Relationship Id="rId4035" Type="http://schemas.openxmlformats.org/officeDocument/2006/relationships/hyperlink" Target="https://drive.google.com/open?id=1_hj4CJAzRGeD9Beq9OIbh6MS-JGVkOOC" TargetMode="External"/><Relationship Id="rId5363" Type="http://schemas.openxmlformats.org/officeDocument/2006/relationships/hyperlink" Target="https://www.linkedin.com/in/neha-chitrakar-2b50831a9" TargetMode="External"/><Relationship Id="rId294" Type="http://schemas.openxmlformats.org/officeDocument/2006/relationships/hyperlink" Target="https://drive.google.com/open?id=1aLgxcsIKya47mQY3uaHMJVNCRvLA7vzu" TargetMode="External"/><Relationship Id="rId4034" Type="http://schemas.openxmlformats.org/officeDocument/2006/relationships/hyperlink" Target="https://preskilet.com/watch?v=62bde8749535010004fd2c5e" TargetMode="External"/><Relationship Id="rId5364" Type="http://schemas.openxmlformats.org/officeDocument/2006/relationships/hyperlink" Target="https://drive.google.com/file/d/15BIrPVXw4oGc8xsR2u3yitPbAfIWWvmo/view?usp=sharing" TargetMode="External"/><Relationship Id="rId4037" Type="http://schemas.openxmlformats.org/officeDocument/2006/relationships/hyperlink" Target="https://drive.google.com/open?id=1hvZT3KNCR7QO8jQz8kURzw45iEddTyc9" TargetMode="External"/><Relationship Id="rId5369" Type="http://schemas.openxmlformats.org/officeDocument/2006/relationships/hyperlink" Target="https://drive.google.com/open?id=1bnGJSil0sl13vFE6Y1_gxP-FfDHwFg7g" TargetMode="External"/><Relationship Id="rId4036" Type="http://schemas.openxmlformats.org/officeDocument/2006/relationships/hyperlink" Target="https://drive.google.com/open?id=18nOtA6cNsgIHmWBaHmM8KnJ9MGcsONuH" TargetMode="External"/><Relationship Id="rId299" Type="http://schemas.openxmlformats.org/officeDocument/2006/relationships/hyperlink" Target="https://drive.google.com/open?id=19jrTbIsZJX1PTah2YRn-ZnYdd71Lo2TT" TargetMode="External"/><Relationship Id="rId4039" Type="http://schemas.openxmlformats.org/officeDocument/2006/relationships/hyperlink" Target="https://drive.google.com/open?id=108HUC2jHwtK9uuNV3jGKdnpU_jD7BVKV" TargetMode="External"/><Relationship Id="rId5367" Type="http://schemas.openxmlformats.org/officeDocument/2006/relationships/hyperlink" Target="https://drive.google.com/open?id=1wqqrJpyXREiDIjeFMd7F7WrwAiEgb3Tz" TargetMode="External"/><Relationship Id="rId298" Type="http://schemas.openxmlformats.org/officeDocument/2006/relationships/hyperlink" Target="https://drive.google.com/open?id=1cnMiVtzzfw3mcY5I1PSfex5gcJ1sfIXe" TargetMode="External"/><Relationship Id="rId4038" Type="http://schemas.openxmlformats.org/officeDocument/2006/relationships/hyperlink" Target="https://drive.google.com/open?id=1Q0HylWnnbnDQlF0WWN3dwfSSPj9-00Ry" TargetMode="External"/><Relationship Id="rId5368" Type="http://schemas.openxmlformats.org/officeDocument/2006/relationships/hyperlink" Target="https://drive.google.com/open?id=1keoyWPmMg828mSOVMzz8dhCgUqlqACTL" TargetMode="External"/><Relationship Id="rId5390" Type="http://schemas.openxmlformats.org/officeDocument/2006/relationships/hyperlink" Target="https://drive.google.com/open?id=1LBME0hEAlBl-6h0CMX4yMmlNXbk_saY2" TargetMode="External"/><Relationship Id="rId5391" Type="http://schemas.openxmlformats.org/officeDocument/2006/relationships/hyperlink" Target="https://drive.google.com/open?id=1tH7VyUJdGDM9kZ0V4Jry85djW7e1q6PN" TargetMode="External"/><Relationship Id="rId4060" Type="http://schemas.openxmlformats.org/officeDocument/2006/relationships/hyperlink" Target="https://www.linkedin.com/in/ameyvaikar/" TargetMode="External"/><Relationship Id="rId4062" Type="http://schemas.openxmlformats.org/officeDocument/2006/relationships/hyperlink" Target="https://drive.google.com/open?id=1Kt3l5JQNBGaTQQ9uzRRQxd0KF-km9C31" TargetMode="External"/><Relationship Id="rId5394" Type="http://schemas.openxmlformats.org/officeDocument/2006/relationships/hyperlink" Target="https://drive.google.com/open?id=1l5sT9E1qnV9aeGc_f_DpkeZFIY395h3b" TargetMode="External"/><Relationship Id="rId4061" Type="http://schemas.openxmlformats.org/officeDocument/2006/relationships/hyperlink" Target="https://preskilet.com/watch?v=62a37885a6956a000460033a" TargetMode="External"/><Relationship Id="rId5395" Type="http://schemas.openxmlformats.org/officeDocument/2006/relationships/hyperlink" Target="https://drive.google.com/open?id=1wedzw8u_fdSqz8RemKHv3gL_gbewYpw2" TargetMode="External"/><Relationship Id="rId4064" Type="http://schemas.openxmlformats.org/officeDocument/2006/relationships/hyperlink" Target="https://drive.google.com/open?id=1up9p8TVXDqO9eFg7SjXk18O9A7kIKVUr" TargetMode="External"/><Relationship Id="rId5392" Type="http://schemas.openxmlformats.org/officeDocument/2006/relationships/hyperlink" Target="https://www.linkedin.com/in/vikrant-narad-30963022b" TargetMode="External"/><Relationship Id="rId4063" Type="http://schemas.openxmlformats.org/officeDocument/2006/relationships/hyperlink" Target="https://drive.google.com/open?id=1U9UpwzfJ9NEqKw3nu8aPwIFL0KeFTy_9" TargetMode="External"/><Relationship Id="rId5393" Type="http://schemas.openxmlformats.org/officeDocument/2006/relationships/hyperlink" Target="https://drive.google.com/drive/folders/1nNy20g1P2BSkoSoNzTHuX4pXYBesKzJm" TargetMode="External"/><Relationship Id="rId4066" Type="http://schemas.openxmlformats.org/officeDocument/2006/relationships/hyperlink" Target="https://drive.google.com/open?id=1ExCsidgeAi7cIZcrqNVGvBxNowMIj6rv" TargetMode="External"/><Relationship Id="rId4065" Type="http://schemas.openxmlformats.org/officeDocument/2006/relationships/hyperlink" Target="https://drive.google.com/open?id=1UcXO5w1piIFFWdgrtC4yt6S5FHDg9GhW" TargetMode="External"/><Relationship Id="rId4068" Type="http://schemas.openxmlformats.org/officeDocument/2006/relationships/hyperlink" Target="https://www.linkedin.com/in/yogesh-mane-4729621b8" TargetMode="External"/><Relationship Id="rId5396" Type="http://schemas.openxmlformats.org/officeDocument/2006/relationships/drawing" Target="../drawings/drawing5.xml"/><Relationship Id="rId4067" Type="http://schemas.openxmlformats.org/officeDocument/2006/relationships/hyperlink" Target="https://drive.google.com/open?id=1AKEA7wNz9FOf0i6qsdV6g620r6VleByd" TargetMode="External"/><Relationship Id="rId5397" Type="http://schemas.openxmlformats.org/officeDocument/2006/relationships/vmlDrawing" Target="../drawings/vmlDrawing1.vml"/><Relationship Id="rId4069" Type="http://schemas.openxmlformats.org/officeDocument/2006/relationships/hyperlink" Target="https://preskilet.com/watch?v=62bdc90e9535010004fd29b0" TargetMode="External"/><Relationship Id="rId5380" Type="http://schemas.openxmlformats.org/officeDocument/2006/relationships/hyperlink" Target="https://drive.google.com/drive/folders/12jp9Gm1mVdBn5bvgpYtN8NZj8wg32igw" TargetMode="External"/><Relationship Id="rId4051" Type="http://schemas.openxmlformats.org/officeDocument/2006/relationships/hyperlink" Target="https://drive.google.com/open?id=1oS0xIRqloMM6mKP2aP1XDGXZcgmV-_7R" TargetMode="External"/><Relationship Id="rId5383" Type="http://schemas.openxmlformats.org/officeDocument/2006/relationships/hyperlink" Target="https://www.linkedin.com/in/akash-kachgunde-739942230" TargetMode="External"/><Relationship Id="rId4050" Type="http://schemas.openxmlformats.org/officeDocument/2006/relationships/hyperlink" Target="https://drive.google.com/open?id=1F9MeZ_wbgiSP4pXiTw6_cq7pkg5wrn04" TargetMode="External"/><Relationship Id="rId5384" Type="http://schemas.openxmlformats.org/officeDocument/2006/relationships/hyperlink" Target="https://drive.google.com/drive/folders/1f8F5KF9slF4uO3sJAZENxS7SoUbu_d5H" TargetMode="External"/><Relationship Id="rId4053" Type="http://schemas.openxmlformats.org/officeDocument/2006/relationships/hyperlink" Target="https://drive.google.com/open?id=1JpqLiwfu4YWxM1QQ7DSCAs1tMJdi0x3d" TargetMode="External"/><Relationship Id="rId5381" Type="http://schemas.openxmlformats.org/officeDocument/2006/relationships/hyperlink" Target="https://drive.google.com/open?id=1pUasLidnZbVbDbuN65CVti8Mk20gYIJc" TargetMode="External"/><Relationship Id="rId4052" Type="http://schemas.openxmlformats.org/officeDocument/2006/relationships/hyperlink" Target="https://drive.google.com/open?id=1kesXN1vxjlrxztQ80aSpcKuxsOTmXaV_" TargetMode="External"/><Relationship Id="rId5382" Type="http://schemas.openxmlformats.org/officeDocument/2006/relationships/hyperlink" Target="https://drive.google.com/open?id=132D3IqLFlUeVmboXb98r5ay06Uc1BxiV" TargetMode="External"/><Relationship Id="rId4055" Type="http://schemas.openxmlformats.org/officeDocument/2006/relationships/hyperlink" Target="https://preskilet.com/watch?v=62a5c8fed629e000041e8cfb" TargetMode="External"/><Relationship Id="rId5387" Type="http://schemas.openxmlformats.org/officeDocument/2006/relationships/hyperlink" Target="https://drive.google.com/open?id=1-eGVid4c4Z9Brtvfe5hvLDtFFD9wM-nq" TargetMode="External"/><Relationship Id="rId4054" Type="http://schemas.openxmlformats.org/officeDocument/2006/relationships/hyperlink" Target="https://www.linkedin.com/in/rohan-patil-62603022b" TargetMode="External"/><Relationship Id="rId5388" Type="http://schemas.openxmlformats.org/officeDocument/2006/relationships/hyperlink" Target="https://www.linkedin.com/in/utkarsh-suryawanshi-8a2797241" TargetMode="External"/><Relationship Id="rId4057" Type="http://schemas.openxmlformats.org/officeDocument/2006/relationships/hyperlink" Target="https://drive.google.com/open?id=1Of7tqKnbLegStA6fKouKXHVk6fwTXBK6" TargetMode="External"/><Relationship Id="rId5385" Type="http://schemas.openxmlformats.org/officeDocument/2006/relationships/hyperlink" Target="https://drive.google.com/open?id=1haU0dTbQ-NucrTYJjp4wp-xUoKr97fUr" TargetMode="External"/><Relationship Id="rId4056" Type="http://schemas.openxmlformats.org/officeDocument/2006/relationships/hyperlink" Target="https://drive.google.com/open?id=1fvjddWjK6P1e0HiJ1cMbPewRAjh2wFOf" TargetMode="External"/><Relationship Id="rId5386" Type="http://schemas.openxmlformats.org/officeDocument/2006/relationships/hyperlink" Target="https://drive.google.com/open?id=1EBkGgCMMxmBoR3YcBcXvFvt6abB91LK-" TargetMode="External"/><Relationship Id="rId4059" Type="http://schemas.openxmlformats.org/officeDocument/2006/relationships/hyperlink" Target="https://drive.google.com/open?id=1qsqsVDFZ0ugoyfLDxOLkhd28pWM9RvhL" TargetMode="External"/><Relationship Id="rId4058" Type="http://schemas.openxmlformats.org/officeDocument/2006/relationships/hyperlink" Target="https://drive.google.com/open?id=1U_mtrj_CZf2TijXax1exCBYVdAu_gbSW" TargetMode="External"/><Relationship Id="rId5389" Type="http://schemas.openxmlformats.org/officeDocument/2006/relationships/hyperlink" Target="https://drive.google.com/folderview?id=111EeQVTFn0t1XHpF1TvK9yh6kf8Bp8d8" TargetMode="External"/><Relationship Id="rId4008" Type="http://schemas.openxmlformats.org/officeDocument/2006/relationships/hyperlink" Target="https://drive.google.com/open?id=13acOaXmnFsXTfUFq02Gh21pVB5uhAkMD" TargetMode="External"/><Relationship Id="rId4007" Type="http://schemas.openxmlformats.org/officeDocument/2006/relationships/hyperlink" Target="https://drive.google.com/open?id=15vjZkL7THsxejT5Gh6fA5HE3WbZfbeKo" TargetMode="External"/><Relationship Id="rId5338" Type="http://schemas.openxmlformats.org/officeDocument/2006/relationships/hyperlink" Target="https://www.linkedin.com/in/abhishek-mali-02879a241" TargetMode="External"/><Relationship Id="rId4009" Type="http://schemas.openxmlformats.org/officeDocument/2006/relationships/hyperlink" Target="https://drive.google.com/open?id=1ewOePwFpHX9GQPnw2WsZ7m-fdGfcsZ1i" TargetMode="External"/><Relationship Id="rId5339" Type="http://schemas.openxmlformats.org/officeDocument/2006/relationships/hyperlink" Target="https://drive.google.com/drive/folders/1zLLY45QAltHj8P_iNSnDzBWIJ5N-EIv8" TargetMode="External"/><Relationship Id="rId271" Type="http://schemas.openxmlformats.org/officeDocument/2006/relationships/hyperlink" Target="https://drive.google.com/open?id=16mfD7STKLAPHfNIfFUOif2LbyauYzLs_" TargetMode="External"/><Relationship Id="rId270" Type="http://schemas.openxmlformats.org/officeDocument/2006/relationships/hyperlink" Target="https://drive.google.com/open?id=1ezID7pF_GmSF7hQZXOsj5uQ0S57hdLPE" TargetMode="External"/><Relationship Id="rId269" Type="http://schemas.openxmlformats.org/officeDocument/2006/relationships/hyperlink" Target="https://drive.google.com/open?id=1wHJ1zgNnhMeyrtVewhauDnQlGJY9MH5Y" TargetMode="External"/><Relationship Id="rId264" Type="http://schemas.openxmlformats.org/officeDocument/2006/relationships/hyperlink" Target="https://drive.google.com/open?id=1sRSa1uwJ-RhTKgWRBvgm7EkNZFMqP8Vk" TargetMode="External"/><Relationship Id="rId4000" Type="http://schemas.openxmlformats.org/officeDocument/2006/relationships/hyperlink" Target="https://drive.google.com/open?id=1QUK0WN7dsOzhcsUDAyzHEPICOi3sbjlf" TargetMode="External"/><Relationship Id="rId5332" Type="http://schemas.openxmlformats.org/officeDocument/2006/relationships/hyperlink" Target="https://drive.google.com/open?id=1jw1q-N0Tp-GxHnsTjfuZzaxl9_usGMlv" TargetMode="External"/><Relationship Id="rId263" Type="http://schemas.openxmlformats.org/officeDocument/2006/relationships/hyperlink" Target="https://drive.google.com/open?id=13DQ8ZxqlFuTNlMTfQNWmx_P-UL9t3wgS" TargetMode="External"/><Relationship Id="rId5333" Type="http://schemas.openxmlformats.org/officeDocument/2006/relationships/hyperlink" Target="https://drive.google.com/open?id=1Q5071LLRoGr3yWTpvkXkQPR0eBv_3ZuW" TargetMode="External"/><Relationship Id="rId262" Type="http://schemas.openxmlformats.org/officeDocument/2006/relationships/hyperlink" Target="https://drive.google.com/open?id=1cyUXJ1JyR-8vSLbJ7TNOLyULgWhm46y2" TargetMode="External"/><Relationship Id="rId4002" Type="http://schemas.openxmlformats.org/officeDocument/2006/relationships/hyperlink" Target="https://drive.google.com/open?id=1At04PTiTeupuImHd5r-jdeIt-_WkBeSN" TargetMode="External"/><Relationship Id="rId5330" Type="http://schemas.openxmlformats.org/officeDocument/2006/relationships/hyperlink" Target="https://drive.google.com/open?id=1dzCKfLN7fExBUTEsTSq6--kPmiQoBerY" TargetMode="External"/><Relationship Id="rId261" Type="http://schemas.openxmlformats.org/officeDocument/2006/relationships/hyperlink" Target="https://drive.google.com/open?id=16EOMffyveMUsUt2jwofOQewW1DXLyW4Y" TargetMode="External"/><Relationship Id="rId4001" Type="http://schemas.openxmlformats.org/officeDocument/2006/relationships/hyperlink" Target="https://drive.google.com/open?id=1QnFnP0ksZC3qY9u7HzIWb-4RjzbmVl0p" TargetMode="External"/><Relationship Id="rId5331" Type="http://schemas.openxmlformats.org/officeDocument/2006/relationships/hyperlink" Target="https://drive.google.com/open?id=1EeuL8FbdAsFYg2ZgneQvi5BxNhPT91Fe" TargetMode="External"/><Relationship Id="rId268" Type="http://schemas.openxmlformats.org/officeDocument/2006/relationships/hyperlink" Target="https://drive.google.com/file/d/1uWPrSzLM7gKvGNN_EP14M73_0ffLWOiS/view?usp=sharing" TargetMode="External"/><Relationship Id="rId4004" Type="http://schemas.openxmlformats.org/officeDocument/2006/relationships/hyperlink" Target="https://drive.google.com/open?id=1WYOpbbS5Oee51eC90hICl9DBLTyV2x17" TargetMode="External"/><Relationship Id="rId5336" Type="http://schemas.openxmlformats.org/officeDocument/2006/relationships/hyperlink" Target="https://drive.google.com/open?id=1bCP6F5iOuMt-noQxVI00sppcB2CXPe9l" TargetMode="External"/><Relationship Id="rId267" Type="http://schemas.openxmlformats.org/officeDocument/2006/relationships/hyperlink" Target="http://linkedin.com/in/swapnil-pachkhande-4566031a7" TargetMode="External"/><Relationship Id="rId4003" Type="http://schemas.openxmlformats.org/officeDocument/2006/relationships/hyperlink" Target="https://drive.google.com/open?id=1nBmM318OjyGbjxc6irQ5AaXxrFJqk67Y" TargetMode="External"/><Relationship Id="rId5337" Type="http://schemas.openxmlformats.org/officeDocument/2006/relationships/hyperlink" Target="https://drive.google.com/open?id=1Wuz5VbouT-_5JBPO1mbdVp4xQb61E4ZX" TargetMode="External"/><Relationship Id="rId266" Type="http://schemas.openxmlformats.org/officeDocument/2006/relationships/hyperlink" Target="https://drive.google.com/open?id=1Q3cVBfGHdQVKClP9-yIrd9fYucWQgrTE" TargetMode="External"/><Relationship Id="rId4006" Type="http://schemas.openxmlformats.org/officeDocument/2006/relationships/hyperlink" Target="https://preskilet.com/watch?v=62bd79e19535010004fd25ee" TargetMode="External"/><Relationship Id="rId5334" Type="http://schemas.openxmlformats.org/officeDocument/2006/relationships/hyperlink" Target="https://www.linkedin.com/in/mayur-pawar-83r2001" TargetMode="External"/><Relationship Id="rId265" Type="http://schemas.openxmlformats.org/officeDocument/2006/relationships/hyperlink" Target="https://drive.google.com/open?id=1vRCR6HGRX9j2zpyVhRT7M6hRv5W_ua0s" TargetMode="External"/><Relationship Id="rId4005" Type="http://schemas.openxmlformats.org/officeDocument/2006/relationships/hyperlink" Target="https://www.linkedin.com/in/niraj-wadhe-720839193/" TargetMode="External"/><Relationship Id="rId5335" Type="http://schemas.openxmlformats.org/officeDocument/2006/relationships/hyperlink" Target="https://drive.google.com/drive/folders/1BoUxwe-zBE8DhK-4rxHXo_uZMucLXhLK?usp=sharing" TargetMode="External"/><Relationship Id="rId5329" Type="http://schemas.openxmlformats.org/officeDocument/2006/relationships/hyperlink" Target="https://drive.google.com/open?id=1jtvfvLkBmaxHHaXQGgIwi-vPOu7W2Lr8" TargetMode="External"/><Relationship Id="rId5327" Type="http://schemas.openxmlformats.org/officeDocument/2006/relationships/hyperlink" Target="https://drive.google.com/file/d/1Y1ue6-A-oHPt9LaUjFwnHchx4jslBWJ2/view?usp=sharing" TargetMode="External"/><Relationship Id="rId5328" Type="http://schemas.openxmlformats.org/officeDocument/2006/relationships/hyperlink" Target="https://drive.google.com/open?id=1i9T3rbD5Hrij5DJ_TW5ixow15L1xHCV5" TargetMode="External"/><Relationship Id="rId260" Type="http://schemas.openxmlformats.org/officeDocument/2006/relationships/hyperlink" Target="https://preskilet.com/watch?v=62bd3e289535010004fd241c" TargetMode="External"/><Relationship Id="rId259" Type="http://schemas.openxmlformats.org/officeDocument/2006/relationships/hyperlink" Target="https://www.linkedin.com/in/radha-nadar-68b07522a" TargetMode="External"/><Relationship Id="rId258" Type="http://schemas.openxmlformats.org/officeDocument/2006/relationships/hyperlink" Target="https://drive.google.com/open?id=1SWNQuzB0v18w82U0RHilqePXBl4GWCDC" TargetMode="External"/><Relationship Id="rId2290" Type="http://schemas.openxmlformats.org/officeDocument/2006/relationships/hyperlink" Target="https://drive.google.com/open?id=1ZrdGXbdwmJsNUZKS2FkaUejW8yAP9Lef" TargetMode="External"/><Relationship Id="rId2291" Type="http://schemas.openxmlformats.org/officeDocument/2006/relationships/hyperlink" Target="https://drive.google.com/open?id=14of9h1mEHXBNdv3_Y1pj4Vdk_t3awqBj" TargetMode="External"/><Relationship Id="rId2292" Type="http://schemas.openxmlformats.org/officeDocument/2006/relationships/hyperlink" Target="https://drive.google.com/open?id=1CiHxLTdCPYlbAJ1hXa6SzNwo7gKfzPEX" TargetMode="External"/><Relationship Id="rId2293" Type="http://schemas.openxmlformats.org/officeDocument/2006/relationships/hyperlink" Target="https://drive.google.com/open?id=1ZSJwlECfFp-BgJiL-4Y-cAmVOEBbdRx_" TargetMode="External"/><Relationship Id="rId253" Type="http://schemas.openxmlformats.org/officeDocument/2006/relationships/hyperlink" Target="https://www.linkedin.com/in/suraj-ingawale-26a79b241" TargetMode="External"/><Relationship Id="rId2294" Type="http://schemas.openxmlformats.org/officeDocument/2006/relationships/hyperlink" Target="https://drive.google.com/open?id=13IcywjwBLv7_jf4q5xWCjFyB71NCOvQY" TargetMode="External"/><Relationship Id="rId5321" Type="http://schemas.openxmlformats.org/officeDocument/2006/relationships/hyperlink" Target="https://drive.google.com/open?id=10jU6-o40_QVddS6EaMOP8N0cxgd347Wv" TargetMode="External"/><Relationship Id="rId252" Type="http://schemas.openxmlformats.org/officeDocument/2006/relationships/hyperlink" Target="https://drive.google.com/open?id=18WrTX4RNI7cbSRvyKzwjNaxQysBuo5J2" TargetMode="External"/><Relationship Id="rId2295" Type="http://schemas.openxmlformats.org/officeDocument/2006/relationships/hyperlink" Target="https://drive.google.com/open?id=1YR3fGPTvZ7GjUachPXdfz48L4FuIc2Nz" TargetMode="External"/><Relationship Id="rId5322" Type="http://schemas.openxmlformats.org/officeDocument/2006/relationships/hyperlink" Target="https://www.linkedin.com/in/abhishek-wagh-49b797241" TargetMode="External"/><Relationship Id="rId251" Type="http://schemas.openxmlformats.org/officeDocument/2006/relationships/hyperlink" Target="https://drive.google.com/open?id=1ZSqDHFsyZ2Qa3rMTJ2CWMQfKFKnWdA1K" TargetMode="External"/><Relationship Id="rId2296" Type="http://schemas.openxmlformats.org/officeDocument/2006/relationships/hyperlink" Target="https://www.linkdin.com/in/adityamukund" TargetMode="External"/><Relationship Id="rId250" Type="http://schemas.openxmlformats.org/officeDocument/2006/relationships/hyperlink" Target="https://drive.google.com/open?id=1gb8jJ9t2RSJb2WkXdnl7dICHIDmhE3-x" TargetMode="External"/><Relationship Id="rId2297" Type="http://schemas.openxmlformats.org/officeDocument/2006/relationships/hyperlink" Target="https://preskilet.com/avmukund@mitaoe.ac.in" TargetMode="External"/><Relationship Id="rId5320" Type="http://schemas.openxmlformats.org/officeDocument/2006/relationships/hyperlink" Target="https://drive.google.com/open?id=1aDfoC4fcZVzzu8H-da1jBRtu321x8p8X" TargetMode="External"/><Relationship Id="rId257" Type="http://schemas.openxmlformats.org/officeDocument/2006/relationships/hyperlink" Target="https://drive.google.com/open?id=1W_RKnJshCxoesHiGDUBW10ox_32vRY0t" TargetMode="External"/><Relationship Id="rId2298" Type="http://schemas.openxmlformats.org/officeDocument/2006/relationships/hyperlink" Target="https://drive.google.com/open?id=1xHDHC5MzohLbl4dvWjPK2vr1LVrPZ7HI" TargetMode="External"/><Relationship Id="rId5325" Type="http://schemas.openxmlformats.org/officeDocument/2006/relationships/hyperlink" Target="https://drive.google.com/open?id=1pjTICo1Wtq-iTomAI4HGBH2N2qghIHq2" TargetMode="External"/><Relationship Id="rId256" Type="http://schemas.openxmlformats.org/officeDocument/2006/relationships/hyperlink" Target="https://drive.google.com/open?id=19fEJ5Qjn3a1z0D-_a47XSct2pgL63DiN" TargetMode="External"/><Relationship Id="rId2299" Type="http://schemas.openxmlformats.org/officeDocument/2006/relationships/hyperlink" Target="https://drive.google.com/open?id=1gzyQIHA8Flk_EGlQt3uT2iExNSnfLG4d" TargetMode="External"/><Relationship Id="rId5326" Type="http://schemas.openxmlformats.org/officeDocument/2006/relationships/hyperlink" Target="http://www.linkedin.com/in/SaharshD" TargetMode="External"/><Relationship Id="rId255" Type="http://schemas.openxmlformats.org/officeDocument/2006/relationships/hyperlink" Target="https://drive.google.com/open?id=1BZ29b7Hk-pyI668MpJEB9ThiatVH8KoK" TargetMode="External"/><Relationship Id="rId5323" Type="http://schemas.openxmlformats.org/officeDocument/2006/relationships/hyperlink" Target="https://drive.google.com/file/d/1Cdgrsp4IVtRwVMUAcDyecZ33Vg5Jn91q/view?usp=drivesdk" TargetMode="External"/><Relationship Id="rId254" Type="http://schemas.openxmlformats.org/officeDocument/2006/relationships/hyperlink" Target="https://preskilet.com/swingawale@mitaoe.ac.in" TargetMode="External"/><Relationship Id="rId5324" Type="http://schemas.openxmlformats.org/officeDocument/2006/relationships/hyperlink" Target="https://drive.google.com/open?id=10GwXoOXQs9pQ43QMnqm8D49V3XACkIoU" TargetMode="External"/><Relationship Id="rId4029" Type="http://schemas.openxmlformats.org/officeDocument/2006/relationships/hyperlink" Target="https://drive.google.com/open?id=1YthCiBTlIMDjLBx3QZSmrK_DFMQWqotn" TargetMode="External"/><Relationship Id="rId293" Type="http://schemas.openxmlformats.org/officeDocument/2006/relationships/hyperlink" Target="https://drive.google.com/open?id=1qQyD1WXpI6arms7hUVcljz-m8M3jGaEc" TargetMode="External"/><Relationship Id="rId292" Type="http://schemas.openxmlformats.org/officeDocument/2006/relationships/hyperlink" Target="https://drive.google.com/open?id=1SoV0s9DX9kjVwicIKcOSx6d2F2xV8YVS" TargetMode="External"/><Relationship Id="rId291" Type="http://schemas.openxmlformats.org/officeDocument/2006/relationships/hyperlink" Target="https://drive.google.com/open?id=18dylfGEw2c1_WfRM4dgWj5O_rpug4sYw" TargetMode="External"/><Relationship Id="rId290" Type="http://schemas.openxmlformats.org/officeDocument/2006/relationships/hyperlink" Target="https://drive.google.com/open?id=1sgdJgU_rcXlTcuHNwtFDRw7J2jLvXxYZ" TargetMode="External"/><Relationship Id="rId5350" Type="http://schemas.openxmlformats.org/officeDocument/2006/relationships/hyperlink" Target="https://drive.google.com/open?id=1qmhVJyKXD_O1SwGZXVwcfl1rKjfM5-pQ" TargetMode="External"/><Relationship Id="rId5351" Type="http://schemas.openxmlformats.org/officeDocument/2006/relationships/hyperlink" Target="https://drive.google.com/open?id=1LjdPYsCs41kfrlRE9Czi4GfnFPQhhJ8i" TargetMode="External"/><Relationship Id="rId4020" Type="http://schemas.openxmlformats.org/officeDocument/2006/relationships/hyperlink" Target="https://drive.google.com/open?id=1Oz9nL7qdGCpB8MEjOZr107gfGE9RS_lO" TargetMode="External"/><Relationship Id="rId286" Type="http://schemas.openxmlformats.org/officeDocument/2006/relationships/hyperlink" Target="https://www.linkedin.com/public-profile/settings?lipi=urn%3Ali%3Apage%3Ad_flagship3_profile_self_edit_contact-info%3BwyA%2Bx4AnT5%2BxrmTHnhPxSA%3D%3D" TargetMode="External"/><Relationship Id="rId4022" Type="http://schemas.openxmlformats.org/officeDocument/2006/relationships/hyperlink" Target="https://drive.google.com/open?id=1i-dZTh58ZWY9Wg4jdawjBwMnzvJphIHZ" TargetMode="External"/><Relationship Id="rId5354" Type="http://schemas.openxmlformats.org/officeDocument/2006/relationships/hyperlink" Target="https://drive.google.com/open?id=1BWR1FAW3o1kISOzEu3JUEg0x4P22j4L_" TargetMode="External"/><Relationship Id="rId285" Type="http://schemas.openxmlformats.org/officeDocument/2006/relationships/hyperlink" Target="https://drive.google.com/open?id=1CM5GfYkIF0332z9_TPPX3ZudJnmPDBR2" TargetMode="External"/><Relationship Id="rId4021" Type="http://schemas.openxmlformats.org/officeDocument/2006/relationships/hyperlink" Target="https://drive.google.com/open?id=1CCO8MjgrtpIHCXiPAGfj87eCp2303Q97" TargetMode="External"/><Relationship Id="rId5355" Type="http://schemas.openxmlformats.org/officeDocument/2006/relationships/hyperlink" Target="https://www.linkedin.com/in/designer-mohit/" TargetMode="External"/><Relationship Id="rId284" Type="http://schemas.openxmlformats.org/officeDocument/2006/relationships/hyperlink" Target="https://drive.google.com/open?id=1lncqupY_-ujiqCFDliORrCMglD9KeFE8" TargetMode="External"/><Relationship Id="rId4024" Type="http://schemas.openxmlformats.org/officeDocument/2006/relationships/hyperlink" Target="https://www.linkedin.com/in/atul-sangolkar-189071213" TargetMode="External"/><Relationship Id="rId5352" Type="http://schemas.openxmlformats.org/officeDocument/2006/relationships/hyperlink" Target="https://drive.google.com/open?id=1AJ_gHkm3blhjyJdQIAnOuzvumB_hE_Q2" TargetMode="External"/><Relationship Id="rId283" Type="http://schemas.openxmlformats.org/officeDocument/2006/relationships/hyperlink" Target="https://drive.google.com/file/d/1bybuyUjDXErCGKYHWwDbieCUp3q99IqF/view?usp=drivesdk" TargetMode="External"/><Relationship Id="rId4023" Type="http://schemas.openxmlformats.org/officeDocument/2006/relationships/hyperlink" Target="https://drive.google.com/open?id=1cJ01vSQ0sY14JmfemTy3fAyulfSGA0-O" TargetMode="External"/><Relationship Id="rId5353" Type="http://schemas.openxmlformats.org/officeDocument/2006/relationships/hyperlink" Target="https://drive.google.com/open?id=17N2ya3mvJdakuSnOz2mrzZ9EIfzxJXu_" TargetMode="External"/><Relationship Id="rId4026" Type="http://schemas.openxmlformats.org/officeDocument/2006/relationships/hyperlink" Target="https://drive.google.com/open?id=1AK4RoAjU1YugIsNSN6llLZcyAY2iy8x7" TargetMode="External"/><Relationship Id="rId5358" Type="http://schemas.openxmlformats.org/officeDocument/2006/relationships/hyperlink" Target="https://drive.google.com/open?id=1EsKh6nAINYiaeZfgHwlr8EX2bwSLRbg3" TargetMode="External"/><Relationship Id="rId289" Type="http://schemas.openxmlformats.org/officeDocument/2006/relationships/hyperlink" Target="https://drive.google.com/open?id=1v8pVN4_FYi4pvIjaVO1aTitZCHW41aH0" TargetMode="External"/><Relationship Id="rId4025" Type="http://schemas.openxmlformats.org/officeDocument/2006/relationships/hyperlink" Target="https://preskilet.com/aasangolkar@mitaoe.ac.in" TargetMode="External"/><Relationship Id="rId5359" Type="http://schemas.openxmlformats.org/officeDocument/2006/relationships/hyperlink" Target="https://drive.google.com/open?id=1IWpDD2WdTO-Gga-ATUpKnoBZSfeAwi0n" TargetMode="External"/><Relationship Id="rId288" Type="http://schemas.openxmlformats.org/officeDocument/2006/relationships/hyperlink" Target="https://drive.google.com/open?id=1k1TX79Ek0EUoTYYeLd9P5aY-ud35C2lJ" TargetMode="External"/><Relationship Id="rId4028" Type="http://schemas.openxmlformats.org/officeDocument/2006/relationships/hyperlink" Target="https://drive.google.com/open?id=13QrBnjXBFzs6G0f2P_MLnWR59zNMvom7" TargetMode="External"/><Relationship Id="rId5356" Type="http://schemas.openxmlformats.org/officeDocument/2006/relationships/hyperlink" Target="https://drive.google.com/drive/folders/1xjGPFRSdmB5OotgoFKGQW7rvCtVRI1lE?usp=sharing" TargetMode="External"/><Relationship Id="rId287" Type="http://schemas.openxmlformats.org/officeDocument/2006/relationships/hyperlink" Target="https://preskilet.com/watch?v=62b857f5e89bf80004f23139" TargetMode="External"/><Relationship Id="rId4027" Type="http://schemas.openxmlformats.org/officeDocument/2006/relationships/hyperlink" Target="https://drive.google.com/open?id=1HYwxrgmsSOSImRb68dlDp16CBgNe4jx1" TargetMode="External"/><Relationship Id="rId5357" Type="http://schemas.openxmlformats.org/officeDocument/2006/relationships/hyperlink" Target="https://drive.google.com/open?id=1ahfxO1aOFOL9lSQjwqvK_lN0ht8rpCWV" TargetMode="External"/><Relationship Id="rId4019" Type="http://schemas.openxmlformats.org/officeDocument/2006/relationships/hyperlink" Target="https://drive.google.com/open?id=1d78IvU2vKTzggziYn41ZQJGJL0YQD_SV" TargetMode="External"/><Relationship Id="rId4018" Type="http://schemas.openxmlformats.org/officeDocument/2006/relationships/hyperlink" Target="https://drive.google.com/open?id=1linTnunzzOL3xuHwHnR7qQrhlgF0Bhox" TargetMode="External"/><Relationship Id="rId5349" Type="http://schemas.openxmlformats.org/officeDocument/2006/relationships/hyperlink" Target="https://drive.google.com/file/d/1aT3VZ6EdWkY68wQPoELzW4W-valbAxJq/view?usp=sharing" TargetMode="External"/><Relationship Id="rId282" Type="http://schemas.openxmlformats.org/officeDocument/2006/relationships/hyperlink" Target="https://www.linkedin.com/in/suraj-khartode-516501232" TargetMode="External"/><Relationship Id="rId281" Type="http://schemas.openxmlformats.org/officeDocument/2006/relationships/hyperlink" Target="https://drive.google.com/open?id=1oj0EwZ0O4DKe3J09d_pzfCyn24yaSfVK" TargetMode="External"/><Relationship Id="rId280" Type="http://schemas.openxmlformats.org/officeDocument/2006/relationships/hyperlink" Target="https://drive.google.com/open?id=1rP3se6Gs8YiHl0-tyoz6XiRMxjjRZzdj" TargetMode="External"/><Relationship Id="rId5340" Type="http://schemas.openxmlformats.org/officeDocument/2006/relationships/hyperlink" Target="https://drive.google.com/open?id=1r4PDAtfrjih_p6Vr7eUMktiOjj-NO5qV" TargetMode="External"/><Relationship Id="rId275" Type="http://schemas.openxmlformats.org/officeDocument/2006/relationships/hyperlink" Target="https://drive.google.com/open?id=1qtEa5zoQcUYvKy9eiPLWcrXQfeEghKPA" TargetMode="External"/><Relationship Id="rId4011" Type="http://schemas.openxmlformats.org/officeDocument/2006/relationships/hyperlink" Target="https://drive.google.com/open?id=1iuySGjKn_6xhmdJ1U8bTSsGGNl2Ly0w7" TargetMode="External"/><Relationship Id="rId5343" Type="http://schemas.openxmlformats.org/officeDocument/2006/relationships/hyperlink" Target="https://drive.google.com/drive/folders/1PI34fOIO-1gzuCXsXFANiGuoaAY4FtHt?usp=sharing" TargetMode="External"/><Relationship Id="rId274" Type="http://schemas.openxmlformats.org/officeDocument/2006/relationships/hyperlink" Target="https://docs.google.com/document/d/1HqmCc0sDFbyeZxUADwOKWdKL6M5HRcq2/edit" TargetMode="External"/><Relationship Id="rId4010" Type="http://schemas.openxmlformats.org/officeDocument/2006/relationships/hyperlink" Target="https://drive.google.com/open?id=1WtwnVwDm7m8D-K8epNP5vKmdCYx7tMb2" TargetMode="External"/><Relationship Id="rId5344" Type="http://schemas.openxmlformats.org/officeDocument/2006/relationships/hyperlink" Target="https://drive.google.com/open?id=1MJ0KSIG4RsQkv6h_jAqeY1iPCXn9XNlU" TargetMode="External"/><Relationship Id="rId273" Type="http://schemas.openxmlformats.org/officeDocument/2006/relationships/hyperlink" Target="https://www.linkedin.com/feed/" TargetMode="External"/><Relationship Id="rId4013" Type="http://schemas.openxmlformats.org/officeDocument/2006/relationships/hyperlink" Target="https://drive.google.com/open?id=1c1MDB9wDJryFSXvLGraANAq4VPMErIAG" TargetMode="External"/><Relationship Id="rId5341" Type="http://schemas.openxmlformats.org/officeDocument/2006/relationships/hyperlink" Target="https://drive.google.com/open?id=1nRNQoSWPytoeu3rDLFNYMOxKXOfEgsHf" TargetMode="External"/><Relationship Id="rId272" Type="http://schemas.openxmlformats.org/officeDocument/2006/relationships/hyperlink" Target="https://drive.google.com/open?id=1oobJ8NtzrZOmrXHJn_Ol86Y-_PKB1ohe" TargetMode="External"/><Relationship Id="rId4012" Type="http://schemas.openxmlformats.org/officeDocument/2006/relationships/hyperlink" Target="https://drive.google.com/open?id=1xFbcCbRnWfHBDNZwU1xKIVI2y_UoDHOk" TargetMode="External"/><Relationship Id="rId5342" Type="http://schemas.openxmlformats.org/officeDocument/2006/relationships/hyperlink" Target="https://www.linkedin.com/in/shreyash-thorat-46a4a21ab/" TargetMode="External"/><Relationship Id="rId279" Type="http://schemas.openxmlformats.org/officeDocument/2006/relationships/hyperlink" Target="https://drive.google.com/open?id=1ExPkBdEvnEYV7F5ejA0vYb2XUYTZXDP1" TargetMode="External"/><Relationship Id="rId4015" Type="http://schemas.openxmlformats.org/officeDocument/2006/relationships/hyperlink" Target="https://www.linkedin.com/in/dhiraj-gangurde-1369661ab/" TargetMode="External"/><Relationship Id="rId5347" Type="http://schemas.openxmlformats.org/officeDocument/2006/relationships/hyperlink" Target="https://drive.google.com/open?id=12gvH-bS28N3mbrqqx9zYIX9CEnZTN7v1" TargetMode="External"/><Relationship Id="rId278" Type="http://schemas.openxmlformats.org/officeDocument/2006/relationships/hyperlink" Target="https://drive.google.com/open?id=1Ex6BL8SJCe94QshYuDU9-FC_GRkJEfMq" TargetMode="External"/><Relationship Id="rId4014" Type="http://schemas.openxmlformats.org/officeDocument/2006/relationships/hyperlink" Target="https://drive.google.com/open?id=1EwiCp3UyXj65QjsIUN9PuBWAc5n5hI1J" TargetMode="External"/><Relationship Id="rId5348" Type="http://schemas.openxmlformats.org/officeDocument/2006/relationships/hyperlink" Target="https://www.linkedin.com/in/krushna-kolase-72406b1aa/" TargetMode="External"/><Relationship Id="rId277" Type="http://schemas.openxmlformats.org/officeDocument/2006/relationships/hyperlink" Target="https://drive.google.com/open?id=1Q87Xk0h-wIvnRKURmuYuC3r16P3qh6sq" TargetMode="External"/><Relationship Id="rId4017" Type="http://schemas.openxmlformats.org/officeDocument/2006/relationships/hyperlink" Target="https://drive.google.com/open?id=1awHCQqCsrsOhF8BnU9CnocFkna8tfsT9" TargetMode="External"/><Relationship Id="rId5345" Type="http://schemas.openxmlformats.org/officeDocument/2006/relationships/hyperlink" Target="https://drive.google.com/open?id=1I3amGzgiFHe_luXBJQjDTpYEoaf7-MxU" TargetMode="External"/><Relationship Id="rId276" Type="http://schemas.openxmlformats.org/officeDocument/2006/relationships/hyperlink" Target="https://drive.google.com/open?id=1pAUgu953sQ4svADn2zNaMfOo-0e7WXiV" TargetMode="External"/><Relationship Id="rId4016" Type="http://schemas.openxmlformats.org/officeDocument/2006/relationships/hyperlink" Target="https://preskilet.com/dpgangurde@mitaoe.ac.in" TargetMode="External"/><Relationship Id="rId5346" Type="http://schemas.openxmlformats.org/officeDocument/2006/relationships/hyperlink" Target="https://drive.google.com/open?id=119ZFce6J3LgnLJykJ9k0hW2egvIZcyBB" TargetMode="External"/><Relationship Id="rId1851" Type="http://schemas.openxmlformats.org/officeDocument/2006/relationships/hyperlink" Target="https://drive.google.com/open?id=1QlazEWNK39Ey-VPOKtg8pXLgtxmoUjAW" TargetMode="External"/><Relationship Id="rId1852" Type="http://schemas.openxmlformats.org/officeDocument/2006/relationships/hyperlink" Target="https://drive.google.com/open?id=1y2led8pY-XqbNaDOVCC1fN8BoyMUhoM9" TargetMode="External"/><Relationship Id="rId1853" Type="http://schemas.openxmlformats.org/officeDocument/2006/relationships/hyperlink" Target="https://drive.google.com/open?id=1iodbJcW4vUo8Ja8pjRlA2HZQ7C3R8KvX" TargetMode="External"/><Relationship Id="rId1854" Type="http://schemas.openxmlformats.org/officeDocument/2006/relationships/hyperlink" Target="https://drive.google.com/open?id=1lfhsaqIENQE-b540-BDC52-T6McaQ9Mv" TargetMode="External"/><Relationship Id="rId1855" Type="http://schemas.openxmlformats.org/officeDocument/2006/relationships/hyperlink" Target="https://drive.google.com/open?id=1S2AHGTZFYsHVj6QDxBij-IwE7FhrU_wb" TargetMode="External"/><Relationship Id="rId1856" Type="http://schemas.openxmlformats.org/officeDocument/2006/relationships/hyperlink" Target="https://drive.google.com/open?id=1vvp7yly8PuvpoLBf3705m4Bs_ml04Vm0" TargetMode="External"/><Relationship Id="rId1857" Type="http://schemas.openxmlformats.org/officeDocument/2006/relationships/hyperlink" Target="https://drive.google.com/open?id=17J_IYgttXj6P5SLTTCfL2EnJb78BBNFU" TargetMode="External"/><Relationship Id="rId1858" Type="http://schemas.openxmlformats.org/officeDocument/2006/relationships/hyperlink" Target="https://www.linkedin.com/in/pratik-saurkar-2b0309197/" TargetMode="External"/><Relationship Id="rId1859" Type="http://schemas.openxmlformats.org/officeDocument/2006/relationships/hyperlink" Target="https://drive.google.com/file/d/180eYXyFV3tgcAtugh_ocqWb89u-jGwSy/view?usp=sharing" TargetMode="External"/><Relationship Id="rId1850" Type="http://schemas.openxmlformats.org/officeDocument/2006/relationships/hyperlink" Target="https://preskilet.com/tanvishah@mitaoe.ac.in" TargetMode="External"/><Relationship Id="rId1840" Type="http://schemas.openxmlformats.org/officeDocument/2006/relationships/hyperlink" Target="https://drive.google.com/open?id=1vllIUva6NzdlEkTWoUQsgk5qhJOXoVxI" TargetMode="External"/><Relationship Id="rId1841" Type="http://schemas.openxmlformats.org/officeDocument/2006/relationships/hyperlink" Target="https://www.linkedin.com/in/apurva-pete-2a78911ab" TargetMode="External"/><Relationship Id="rId1842" Type="http://schemas.openxmlformats.org/officeDocument/2006/relationships/hyperlink" Target="https://preskilet.com/watch?v=629772765545ea0004a926e0" TargetMode="External"/><Relationship Id="rId1843" Type="http://schemas.openxmlformats.org/officeDocument/2006/relationships/hyperlink" Target="https://drive.google.com/open?id=1dtX79K53d-IzMrmfLT3qS5cO3wl2umqR" TargetMode="External"/><Relationship Id="rId1844" Type="http://schemas.openxmlformats.org/officeDocument/2006/relationships/hyperlink" Target="https://drive.google.com/open?id=1U04tokLrdtP4sC80pn8qd41RGmD9f-ZY" TargetMode="External"/><Relationship Id="rId1845" Type="http://schemas.openxmlformats.org/officeDocument/2006/relationships/hyperlink" Target="https://drive.google.com/open?id=1WAZK8DVJIF9EESjrnNBlscRn8T3O8zGk" TargetMode="External"/><Relationship Id="rId1846" Type="http://schemas.openxmlformats.org/officeDocument/2006/relationships/hyperlink" Target="https://drive.google.com/open?id=1KIFhpVRAOvtK2PIxpFNVeiCqMST2dXUJ" TargetMode="External"/><Relationship Id="rId1847" Type="http://schemas.openxmlformats.org/officeDocument/2006/relationships/hyperlink" Target="https://drive.google.com/open?id=1k120NzM3HNzV6KpQtXd_fVhFoT3wivcM" TargetMode="External"/><Relationship Id="rId1848" Type="http://schemas.openxmlformats.org/officeDocument/2006/relationships/hyperlink" Target="https://drive.google.com/open?id=1BBYsWQbFHHTIl-dNSElUy8YvbQhr750r" TargetMode="External"/><Relationship Id="rId1849" Type="http://schemas.openxmlformats.org/officeDocument/2006/relationships/hyperlink" Target="https://www.linkedin.com/in/tanvi-shah-7b893123a" TargetMode="External"/><Relationship Id="rId1873" Type="http://schemas.openxmlformats.org/officeDocument/2006/relationships/hyperlink" Target="https://www.linkedin.com/in/yashodhang/" TargetMode="External"/><Relationship Id="rId1874" Type="http://schemas.openxmlformats.org/officeDocument/2006/relationships/hyperlink" Target="https://preskilet.com/watch?v=62b40db230b2800004522f11" TargetMode="External"/><Relationship Id="rId1875" Type="http://schemas.openxmlformats.org/officeDocument/2006/relationships/hyperlink" Target="https://drive.google.com/open?id=1_vL18f5mLpjiDFNyuiLtBWl3Q5y0wIEm" TargetMode="External"/><Relationship Id="rId4901" Type="http://schemas.openxmlformats.org/officeDocument/2006/relationships/hyperlink" Target="https://drive.google.com/open?id=1LuML4w6mDYzjlODqY72Gn478S7ANmMM0" TargetMode="External"/><Relationship Id="rId1876" Type="http://schemas.openxmlformats.org/officeDocument/2006/relationships/hyperlink" Target="https://drive.google.com/open?id=1FMtc587C0A-qSpF_Y3WnWZQgvsYfU82G" TargetMode="External"/><Relationship Id="rId4900" Type="http://schemas.openxmlformats.org/officeDocument/2006/relationships/hyperlink" Target="https://drive.google.com/open?id=1qelq6aScaC3ObqlELnqAoDMtHwU62n3f" TargetMode="External"/><Relationship Id="rId1877" Type="http://schemas.openxmlformats.org/officeDocument/2006/relationships/hyperlink" Target="https://drive.google.com/open?id=1I9pZNPFtlCHFcyM1w6X5Mn_0qrrdW-hF" TargetMode="External"/><Relationship Id="rId4903" Type="http://schemas.openxmlformats.org/officeDocument/2006/relationships/hyperlink" Target="https://www.linkedin.com/in/adishwarsharma010/" TargetMode="External"/><Relationship Id="rId1878" Type="http://schemas.openxmlformats.org/officeDocument/2006/relationships/hyperlink" Target="https://drive.google.com/open?id=1hYuGv9Idh2im1EGdZ9elDIzuoZO5xOrY" TargetMode="External"/><Relationship Id="rId4902" Type="http://schemas.openxmlformats.org/officeDocument/2006/relationships/hyperlink" Target="https://drive.google.com/open?id=1b-Vb-NXyCo-mJi9kN_NKjuPXRK5cUhr9" TargetMode="External"/><Relationship Id="rId1879" Type="http://schemas.openxmlformats.org/officeDocument/2006/relationships/hyperlink" Target="https://drive.google.com/open?id=1u891BhhQMDzLUbASV-TXsPEzephV2xfg" TargetMode="External"/><Relationship Id="rId4905" Type="http://schemas.openxmlformats.org/officeDocument/2006/relationships/hyperlink" Target="https://drive.google.com/open?id=1LtrXJrG9Vx1ls1aTLQ_88EBVmqgPWx0y" TargetMode="External"/><Relationship Id="rId4904" Type="http://schemas.openxmlformats.org/officeDocument/2006/relationships/hyperlink" Target="https://preskilet.com/watch?v=62a36501a6956a00045fffe7" TargetMode="External"/><Relationship Id="rId4907" Type="http://schemas.openxmlformats.org/officeDocument/2006/relationships/hyperlink" Target="https://drive.google.com/open?id=1oUCOxf5R-F2N0rIV_Gpv3a3Ifl5yQRLH" TargetMode="External"/><Relationship Id="rId4906" Type="http://schemas.openxmlformats.org/officeDocument/2006/relationships/hyperlink" Target="https://drive.google.com/open?id=1BuUbYo86pNN06pEWb0AHDcGIUL8Gf57g" TargetMode="External"/><Relationship Id="rId4909" Type="http://schemas.openxmlformats.org/officeDocument/2006/relationships/hyperlink" Target="https://www.linkedin.com/in/vinayak-bhosle-2b32611a7/" TargetMode="External"/><Relationship Id="rId4908" Type="http://schemas.openxmlformats.org/officeDocument/2006/relationships/hyperlink" Target="https://drive.google.com/open?id=1dxbjMwtvqhlwGCydUVh-gcZn2l-ZsvUS" TargetMode="External"/><Relationship Id="rId1870" Type="http://schemas.openxmlformats.org/officeDocument/2006/relationships/hyperlink" Target="https://drive.google.com/open?id=12sZchePDZ_lRSI24PKgSwCg1YDsE9GaF" TargetMode="External"/><Relationship Id="rId1871" Type="http://schemas.openxmlformats.org/officeDocument/2006/relationships/hyperlink" Target="https://drive.google.com/open?id=1_OkYt69b1qEur6r-RQ5RvRmWZWnNTp-x" TargetMode="External"/><Relationship Id="rId1872" Type="http://schemas.openxmlformats.org/officeDocument/2006/relationships/hyperlink" Target="https://drive.google.com/open?id=1ErinA2Ih5wzQxpHFBmdhHl2OiOciI-i1" TargetMode="External"/><Relationship Id="rId1862" Type="http://schemas.openxmlformats.org/officeDocument/2006/relationships/hyperlink" Target="https://drive.google.com/open?id=1GGDU6OTm1CQj_6M3pNV638veAKpXSnve" TargetMode="External"/><Relationship Id="rId1863" Type="http://schemas.openxmlformats.org/officeDocument/2006/relationships/hyperlink" Target="https://drive.google.com/open?id=1hUbqSXFjRgC_T_kIRxGpo7Gp2LJMHtBC" TargetMode="External"/><Relationship Id="rId1864" Type="http://schemas.openxmlformats.org/officeDocument/2006/relationships/hyperlink" Target="https://drive.google.com/open?id=16zL_xs1LCn9PylIvSC8UiPrvW1YZNun9" TargetMode="External"/><Relationship Id="rId1865" Type="http://schemas.openxmlformats.org/officeDocument/2006/relationships/hyperlink" Target="https://drive.google.com/open?id=1BjGI9xEqmkIAV_eiKYip-60v0GfTEYvE" TargetMode="External"/><Relationship Id="rId1866" Type="http://schemas.openxmlformats.org/officeDocument/2006/relationships/hyperlink" Target="https://drive.google.com/open?id=1AkE4JUIMMJRFIltvTgB_XQR1OuXUzVKV" TargetMode="External"/><Relationship Id="rId1867" Type="http://schemas.openxmlformats.org/officeDocument/2006/relationships/hyperlink" Target="https://drive.google.com/open?id=1_7_B5b_OOZ-OJPKTSl-A8YQLjjgE7W_V" TargetMode="External"/><Relationship Id="rId1868" Type="http://schemas.openxmlformats.org/officeDocument/2006/relationships/hyperlink" Target="https://www.linkedin.com/in/vaishnavi-bhagwat-15878b241/" TargetMode="External"/><Relationship Id="rId1869" Type="http://schemas.openxmlformats.org/officeDocument/2006/relationships/hyperlink" Target="https://preskilet.com/watch?v=62978b425545ea0004a927fd" TargetMode="External"/><Relationship Id="rId1860" Type="http://schemas.openxmlformats.org/officeDocument/2006/relationships/hyperlink" Target="https://drive.google.com/open?id=1qWkaXk2dIyEjj1ejXQWIYi6NcoUFJdvi" TargetMode="External"/><Relationship Id="rId1861" Type="http://schemas.openxmlformats.org/officeDocument/2006/relationships/hyperlink" Target="https://drive.google.com/open?id=1ArLxkaxrDFxov2vb2u9xsnvj_MbbA86p" TargetMode="External"/><Relationship Id="rId1810" Type="http://schemas.openxmlformats.org/officeDocument/2006/relationships/hyperlink" Target="https://preskilet.com/watch?v=629761fd5545ea0004a92621" TargetMode="External"/><Relationship Id="rId1811" Type="http://schemas.openxmlformats.org/officeDocument/2006/relationships/hyperlink" Target="https://drive.google.com/open?id=103xZQCXIxFk-1jdaRvZMRZNWVNd8eoXt" TargetMode="External"/><Relationship Id="rId1812" Type="http://schemas.openxmlformats.org/officeDocument/2006/relationships/hyperlink" Target="https://drive.google.com/open?id=1Bd43thpVDmRo1S5gOATngo-tRtwsLp39" TargetMode="External"/><Relationship Id="rId1813" Type="http://schemas.openxmlformats.org/officeDocument/2006/relationships/hyperlink" Target="https://drive.google.com/open?id=13jTFatMyij2hzyyEvn0vOnrjAsBRQQvd" TargetMode="External"/><Relationship Id="rId1814" Type="http://schemas.openxmlformats.org/officeDocument/2006/relationships/hyperlink" Target="https://drive.google.com/open?id=1539vX-Mwyr5BI63AKIiva4_BMng6mpfK" TargetMode="External"/><Relationship Id="rId1815" Type="http://schemas.openxmlformats.org/officeDocument/2006/relationships/hyperlink" Target="https://drive.google.com/open?id=1o1YwhN8wn9AP9Epxm1Vc2__omcfyXuqu" TargetMode="External"/><Relationship Id="rId1816" Type="http://schemas.openxmlformats.org/officeDocument/2006/relationships/hyperlink" Target="https://drive.google.com/open?id=12cw-xBlBIJft2-EmNTmnmFP9jgAEiC45" TargetMode="External"/><Relationship Id="rId1817" Type="http://schemas.openxmlformats.org/officeDocument/2006/relationships/hyperlink" Target="https://drive.google.com/open?id=1f_aiinOGK3qIxbl6RSIflfrwuuVT1WvQ" TargetMode="External"/><Relationship Id="rId1818" Type="http://schemas.openxmlformats.org/officeDocument/2006/relationships/hyperlink" Target="https://www.linkedin.com/in/anagha-haral-3a5732229" TargetMode="External"/><Relationship Id="rId1819" Type="http://schemas.openxmlformats.org/officeDocument/2006/relationships/hyperlink" Target="https://preskilet.com/watch?v=62975a385545ea0004a92594" TargetMode="External"/><Relationship Id="rId4080" Type="http://schemas.openxmlformats.org/officeDocument/2006/relationships/hyperlink" Target="https://drive.google.com/open?id=1c3qeUiNw_LqJRWrC49GzC_3UiQf4wgBh" TargetMode="External"/><Relationship Id="rId4082" Type="http://schemas.openxmlformats.org/officeDocument/2006/relationships/hyperlink" Target="https://drive.google.com/open?id=1Uob9ruKTgYgfECJXZDNzc5jTOVZf6NPK" TargetMode="External"/><Relationship Id="rId4081" Type="http://schemas.openxmlformats.org/officeDocument/2006/relationships/hyperlink" Target="https://drive.google.com/open?id=1YICi77tUsT7Qa401lW_bmtPhfLrJ5vGY" TargetMode="External"/><Relationship Id="rId4084" Type="http://schemas.openxmlformats.org/officeDocument/2006/relationships/hyperlink" Target="https://drive.google.com/open?id=1XXAg-OTxQVGC_LJ09kQQRYC7S3mCWvvX" TargetMode="External"/><Relationship Id="rId4083" Type="http://schemas.openxmlformats.org/officeDocument/2006/relationships/hyperlink" Target="https://drive.google.com/open?id=1b5kdCH4BxLrbH9uC5Tv8TeH6HVXJXPoA" TargetMode="External"/><Relationship Id="rId4086" Type="http://schemas.openxmlformats.org/officeDocument/2006/relationships/hyperlink" Target="https://drive.google.com/open?id=1wIpZmlFgEmWZ8NSxtSo_G8o3tD1P0zAQ" TargetMode="External"/><Relationship Id="rId4085" Type="http://schemas.openxmlformats.org/officeDocument/2006/relationships/hyperlink" Target="https://drive.google.com/open?id=1VusC9sOHePJK294SEizCUE1B7CCLlBcZ" TargetMode="External"/><Relationship Id="rId4088" Type="http://schemas.openxmlformats.org/officeDocument/2006/relationships/hyperlink" Target="https://preskilet.com/svombale@mitaoe.ac.in" TargetMode="External"/><Relationship Id="rId4087" Type="http://schemas.openxmlformats.org/officeDocument/2006/relationships/hyperlink" Target="https://www.linkedin.com/in/suyash-ombale" TargetMode="External"/><Relationship Id="rId4089" Type="http://schemas.openxmlformats.org/officeDocument/2006/relationships/hyperlink" Target="https://drive.google.com/open?id=1deToqIGjLfBCuQeWYuR1fMI3vlYXTXVs" TargetMode="External"/><Relationship Id="rId1800" Type="http://schemas.openxmlformats.org/officeDocument/2006/relationships/hyperlink" Target="https://preskilet.com/watch?v=62975b635545ea0004a9259ehttps://drive.google.com/file/d/1lpz0mYdjkx2sz0_Ob4wvpliNXJi_jz8Y/view?usp=sharing" TargetMode="External"/><Relationship Id="rId1801" Type="http://schemas.openxmlformats.org/officeDocument/2006/relationships/hyperlink" Target="https://drive.google.com/open?id=1CD3UNVABlRkZhyunw97jOD802Ej311Y4" TargetMode="External"/><Relationship Id="rId1802" Type="http://schemas.openxmlformats.org/officeDocument/2006/relationships/hyperlink" Target="https://drive.google.com/open?id=1GIpOdTcN9h-d73hkXXORO9kht2pp8byU" TargetMode="External"/><Relationship Id="rId1803" Type="http://schemas.openxmlformats.org/officeDocument/2006/relationships/hyperlink" Target="https://drive.google.com/open?id=1ggzugRV61Uaz4qKAf_oeaTmtuylPDmq5" TargetMode="External"/><Relationship Id="rId1804" Type="http://schemas.openxmlformats.org/officeDocument/2006/relationships/hyperlink" Target="https://drive.google.com/open?id=1Q1FE7iSCL9uun3nUbY8spXXrimDm_HrQ" TargetMode="External"/><Relationship Id="rId1805" Type="http://schemas.openxmlformats.org/officeDocument/2006/relationships/hyperlink" Target="https://drive.google.com/open?id=1BMl8AbwpKPckocLZ_eyzoF8NmlxdV1LU" TargetMode="External"/><Relationship Id="rId1806" Type="http://schemas.openxmlformats.org/officeDocument/2006/relationships/hyperlink" Target="https://drive.google.com/open?id=1KkYnrikwFfJBqwOw8sEpi3dVo2ynEoF1" TargetMode="External"/><Relationship Id="rId1807" Type="http://schemas.openxmlformats.org/officeDocument/2006/relationships/hyperlink" Target="https://drive.google.com/open?id=1CLqk3eDgg1-M-UIZ8Zw2LLMjddaXVB8p" TargetMode="External"/><Relationship Id="rId1808" Type="http://schemas.openxmlformats.org/officeDocument/2006/relationships/hyperlink" Target="https://drive.google.com/open?id=1NVo1eJOn05Pf8_5ez5k5smoVR7N_2COA" TargetMode="External"/><Relationship Id="rId1809" Type="http://schemas.openxmlformats.org/officeDocument/2006/relationships/hyperlink" Target="https://www.linkedin.com/in/sanchit-agarkar-80b44b1aa/" TargetMode="External"/><Relationship Id="rId4071" Type="http://schemas.openxmlformats.org/officeDocument/2006/relationships/hyperlink" Target="https://drive.google.com/open?id=1NkV_4BscAxPbDbfLeIEoLOkNjRhL8_L4" TargetMode="External"/><Relationship Id="rId4070" Type="http://schemas.openxmlformats.org/officeDocument/2006/relationships/hyperlink" Target="https://drive.google.com/open?id=1weala2WP8mANyh17I72H7ESIfEHoefRw" TargetMode="External"/><Relationship Id="rId4073" Type="http://schemas.openxmlformats.org/officeDocument/2006/relationships/hyperlink" Target="https://drive.google.com/open?id=1_6-6e8TveodDce5Vn81YGknu9l58Up0B" TargetMode="External"/><Relationship Id="rId4072" Type="http://schemas.openxmlformats.org/officeDocument/2006/relationships/hyperlink" Target="https://drive.google.com/open?id=1wYp1c7NnLpffLusH_D3BMYS5GfeKxmKy" TargetMode="External"/><Relationship Id="rId4075" Type="http://schemas.openxmlformats.org/officeDocument/2006/relationships/hyperlink" Target="https://drive.google.com/open?id=1iP95kC2rIlGLWMjL0LuMOXkOSFNVlO_t" TargetMode="External"/><Relationship Id="rId4074" Type="http://schemas.openxmlformats.org/officeDocument/2006/relationships/hyperlink" Target="https://drive.google.com/open?id=1bxj39Us8uSF-j-mfUBgZBgaw5FoyQYQL" TargetMode="External"/><Relationship Id="rId4077" Type="http://schemas.openxmlformats.org/officeDocument/2006/relationships/hyperlink" Target="https://preskilet.com/watch?v=62bdf6639535010004fd2da4" TargetMode="External"/><Relationship Id="rId4076" Type="http://schemas.openxmlformats.org/officeDocument/2006/relationships/hyperlink" Target="https://www.linkedin.com/in/vaishnavi-gudaghe-661861241" TargetMode="External"/><Relationship Id="rId4079" Type="http://schemas.openxmlformats.org/officeDocument/2006/relationships/hyperlink" Target="https://drive.google.com/open?id=1stFIiEJDhQQhmkUR9_YgiTzn7EYmx1xE" TargetMode="External"/><Relationship Id="rId4078" Type="http://schemas.openxmlformats.org/officeDocument/2006/relationships/hyperlink" Target="https://drive.google.com/open?id=1hBlJlL_GoNB6pVtE_jHPpzDR755wnkj9" TargetMode="External"/><Relationship Id="rId1830" Type="http://schemas.openxmlformats.org/officeDocument/2006/relationships/hyperlink" Target="https://drive.google.com/open?id=1e2G5su6_MZpRWRy98LBs4jGGuVcxD8gU" TargetMode="External"/><Relationship Id="rId1831" Type="http://schemas.openxmlformats.org/officeDocument/2006/relationships/hyperlink" Target="https://www.linkedin.com/in/gaurav-aundkar-64754423b" TargetMode="External"/><Relationship Id="rId1832" Type="http://schemas.openxmlformats.org/officeDocument/2006/relationships/hyperlink" Target="https://preskilet.com/watch?v=629767095545ea0004a92646" TargetMode="External"/><Relationship Id="rId1833" Type="http://schemas.openxmlformats.org/officeDocument/2006/relationships/hyperlink" Target="https://drive.google.com/open?id=149aNNa2I8yQQtW4XEEVz51JKns7Sx2ZO" TargetMode="External"/><Relationship Id="rId1834" Type="http://schemas.openxmlformats.org/officeDocument/2006/relationships/hyperlink" Target="https://drive.google.com/open?id=11kO_B6vHrZMwUhKSJLs3BstzRV5m-Nza" TargetMode="External"/><Relationship Id="rId1835" Type="http://schemas.openxmlformats.org/officeDocument/2006/relationships/hyperlink" Target="https://drive.google.com/open?id=1KlmkMd-TOtMo2fomITfuJBgk94eoMczv" TargetMode="External"/><Relationship Id="rId1836" Type="http://schemas.openxmlformats.org/officeDocument/2006/relationships/hyperlink" Target="https://drive.google.com/open?id=1qHE_aEXWhyNr4gXE6iiVgJHYc34Ayj9d" TargetMode="External"/><Relationship Id="rId1837" Type="http://schemas.openxmlformats.org/officeDocument/2006/relationships/hyperlink" Target="https://drive.google.com/open?id=19OSWCQrGGf2xVd3oAtZNf2e5MnRYn51M" TargetMode="External"/><Relationship Id="rId1838" Type="http://schemas.openxmlformats.org/officeDocument/2006/relationships/hyperlink" Target="https://drive.google.com/open?id=1p_f_ei4fYYh0Im2ZhW5uV4peVQ6gzna3" TargetMode="External"/><Relationship Id="rId1839" Type="http://schemas.openxmlformats.org/officeDocument/2006/relationships/hyperlink" Target="https://drive.google.com/open?id=1oGzTN9XP4M1AeyvENQOjgqSz42kFVy-h" TargetMode="External"/><Relationship Id="rId1820" Type="http://schemas.openxmlformats.org/officeDocument/2006/relationships/hyperlink" Target="https://drive.google.com/open?id=1VxF61Tk3tvPPPBwmIHDuy6GE45BEfURe" TargetMode="External"/><Relationship Id="rId1821" Type="http://schemas.openxmlformats.org/officeDocument/2006/relationships/hyperlink" Target="https://drive.google.com/open?id=16EfUEe0RJ9QkQm5Gs-u58nwejauj963j" TargetMode="External"/><Relationship Id="rId1822" Type="http://schemas.openxmlformats.org/officeDocument/2006/relationships/hyperlink" Target="https://drive.google.com/open?id=1nI6W3_wgDrDBD8VsKFKY0yqqjGiOAvRc" TargetMode="External"/><Relationship Id="rId1823" Type="http://schemas.openxmlformats.org/officeDocument/2006/relationships/hyperlink" Target="https://drive.google.com/open?id=1gsG8JTTZLQOtif9bRdXLy1YNsyYRkvmJ" TargetMode="External"/><Relationship Id="rId1824" Type="http://schemas.openxmlformats.org/officeDocument/2006/relationships/hyperlink" Target="https://drive.google.com/open?id=1wucmyyrz0phQXaGYt_-QB_arfekf90Cc" TargetMode="External"/><Relationship Id="rId1825" Type="http://schemas.openxmlformats.org/officeDocument/2006/relationships/hyperlink" Target="https://drive.google.com/open?id=1PAUFuXMe5ZuTYoYCCRJibAcmdrXADpXz" TargetMode="External"/><Relationship Id="rId1826" Type="http://schemas.openxmlformats.org/officeDocument/2006/relationships/hyperlink" Target="https://drive.google.com/open?id=1mHkZw4obY5z6-uXwI5L_A498uMMQrXJH" TargetMode="External"/><Relationship Id="rId1827" Type="http://schemas.openxmlformats.org/officeDocument/2006/relationships/hyperlink" Target="https://drive.google.com/open?id=19XbYSt7bwjSp2SQ_nxuF1b3FzKRY_bfu" TargetMode="External"/><Relationship Id="rId1828" Type="http://schemas.openxmlformats.org/officeDocument/2006/relationships/hyperlink" Target="https://drive.google.com/open?id=15E9iDttNXwLejJQ0tTqh5FvWqpy6It5C" TargetMode="External"/><Relationship Id="rId1829" Type="http://schemas.openxmlformats.org/officeDocument/2006/relationships/hyperlink" Target="https://drive.google.com/open?id=1ZMRd9zVvmFnQgKK0hkq7-ljsM_FXkpRi" TargetMode="External"/><Relationship Id="rId4091" Type="http://schemas.openxmlformats.org/officeDocument/2006/relationships/hyperlink" Target="https://drive.google.com/open?id=1WNxkm9kREgwDOluygj7Eakhqc2b5mmg-" TargetMode="External"/><Relationship Id="rId4090" Type="http://schemas.openxmlformats.org/officeDocument/2006/relationships/hyperlink" Target="https://drive.google.com/open?id=1rgbh_PUZTOo4hezsx7FOCFUO5pVwXwQC" TargetMode="External"/><Relationship Id="rId4093" Type="http://schemas.openxmlformats.org/officeDocument/2006/relationships/hyperlink" Target="https://drive.google.com/open?id=1YS4Hevag5xBdxfbWPzCI05Y69yOY44bB" TargetMode="External"/><Relationship Id="rId4092" Type="http://schemas.openxmlformats.org/officeDocument/2006/relationships/hyperlink" Target="https://drive.google.com/open?id=1cTj2DY1Z71JcxCVVushprCKB-AMAZiOr" TargetMode="External"/><Relationship Id="rId4095" Type="http://schemas.openxmlformats.org/officeDocument/2006/relationships/hyperlink" Target="https://drive.google.com/drive/folders/1GCR3H4h4m9ZNhhIlIRyj61alhj0-E4-C" TargetMode="External"/><Relationship Id="rId4094" Type="http://schemas.openxmlformats.org/officeDocument/2006/relationships/hyperlink" Target="https://www.linkedin.com/mwlite/in/mangesh-bisen-548950218" TargetMode="External"/><Relationship Id="rId4097" Type="http://schemas.openxmlformats.org/officeDocument/2006/relationships/hyperlink" Target="https://drive.google.com/open?id=1JP1Xo5d_KFZQS1rEfhOL0iwe7p-03ydh" TargetMode="External"/><Relationship Id="rId4096" Type="http://schemas.openxmlformats.org/officeDocument/2006/relationships/hyperlink" Target="https://drive.google.com/open?id=1T0mpf027G7989gqrEqfgAlRZl-wt4BIa" TargetMode="External"/><Relationship Id="rId4099" Type="http://schemas.openxmlformats.org/officeDocument/2006/relationships/hyperlink" Target="https://www.linkedin.com/in/rohitwaykos" TargetMode="External"/><Relationship Id="rId4098" Type="http://schemas.openxmlformats.org/officeDocument/2006/relationships/hyperlink" Target="https://drive.google.com/open?id=106ekq6FqTgAsBBTjBaSsnOy0qo8SLzOS" TargetMode="External"/><Relationship Id="rId2302" Type="http://schemas.openxmlformats.org/officeDocument/2006/relationships/hyperlink" Target="https://drive.google.com/open?id=1yZ8hHJ1M57wzhGFpR2OReqH4c3jBtMJw" TargetMode="External"/><Relationship Id="rId3634" Type="http://schemas.openxmlformats.org/officeDocument/2006/relationships/hyperlink" Target="https://drive.google.com/open?id=1XhVjn1fTxQmVaDuLLKPoID9GGY3f862f" TargetMode="External"/><Relationship Id="rId4965" Type="http://schemas.openxmlformats.org/officeDocument/2006/relationships/hyperlink" Target="https://preskilet.com/watch?v=62a38e8ca6956a000460082b" TargetMode="External"/><Relationship Id="rId2303" Type="http://schemas.openxmlformats.org/officeDocument/2006/relationships/hyperlink" Target="https://www.linkedin.com/in/vaishnavi-gaikwad-51157a1bb" TargetMode="External"/><Relationship Id="rId3633" Type="http://schemas.openxmlformats.org/officeDocument/2006/relationships/hyperlink" Target="https://drive.google.com/open?id=1mT2aO2T9R9q-2S3RcC3JUGWOOTosvKgS" TargetMode="External"/><Relationship Id="rId4964" Type="http://schemas.openxmlformats.org/officeDocument/2006/relationships/hyperlink" Target="https://www.linkedin.com/in/pratik-kale135/" TargetMode="External"/><Relationship Id="rId2304" Type="http://schemas.openxmlformats.org/officeDocument/2006/relationships/hyperlink" Target="https://drive.google.com/drive/folders/1TD03k_l-2lw6yLAmZj2wmzq4-GK9FUsF?usp=sharing" TargetMode="External"/><Relationship Id="rId3636" Type="http://schemas.openxmlformats.org/officeDocument/2006/relationships/hyperlink" Target="https://drive.google.com/open?id=1BjY6Il74BIL6ah6J8jVZyjqRfd2MFkDr" TargetMode="External"/><Relationship Id="rId4967" Type="http://schemas.openxmlformats.org/officeDocument/2006/relationships/hyperlink" Target="https://drive.google.com/open?id=1DJyR1DeP005zfSJsNLlhX-OP-hiMbDaR" TargetMode="External"/><Relationship Id="rId2305" Type="http://schemas.openxmlformats.org/officeDocument/2006/relationships/hyperlink" Target="https://drive.google.com/open?id=1aYgMasRWiqV1PCWr8vp6OsNxk2cXyFWG" TargetMode="External"/><Relationship Id="rId3635" Type="http://schemas.openxmlformats.org/officeDocument/2006/relationships/hyperlink" Target="https://drive.google.com/open?id=1xRJiR_QWLwdAQJE6UcM5L1Vccygr49Qx" TargetMode="External"/><Relationship Id="rId4966" Type="http://schemas.openxmlformats.org/officeDocument/2006/relationships/hyperlink" Target="https://drive.google.com/open?id=163kVsPwIyFqreQ_V8qV-HVBvFM2HCTL8" TargetMode="External"/><Relationship Id="rId2306" Type="http://schemas.openxmlformats.org/officeDocument/2006/relationships/hyperlink" Target="https://drive.google.com/open?id=17q-7x9oos-6cNOEis6ofZdk44rhNkws0" TargetMode="External"/><Relationship Id="rId3638" Type="http://schemas.openxmlformats.org/officeDocument/2006/relationships/hyperlink" Target="http://www.linkedin.com/in/gourav-gupta-30b049210" TargetMode="External"/><Relationship Id="rId4969" Type="http://schemas.openxmlformats.org/officeDocument/2006/relationships/hyperlink" Target="https://drive.google.com/drive/folders/1rC81pp-eFMXaJCKySFA2ObhZp6ES7avR?usp=sharing" TargetMode="External"/><Relationship Id="rId2307" Type="http://schemas.openxmlformats.org/officeDocument/2006/relationships/hyperlink" Target="https://drive.google.com/open?id=1LiLmlqYaOiXQPNShiVH9qZ4m1eAAHhj7" TargetMode="External"/><Relationship Id="rId3637" Type="http://schemas.openxmlformats.org/officeDocument/2006/relationships/hyperlink" Target="https://drive.google.com/open?id=1C-04BRcBvE3B0-gsojWWc-qiU-INqdF4" TargetMode="External"/><Relationship Id="rId4968" Type="http://schemas.openxmlformats.org/officeDocument/2006/relationships/hyperlink" Target="https://www.linkedin.com/in/tejas-kalje-884795241/" TargetMode="External"/><Relationship Id="rId2308" Type="http://schemas.openxmlformats.org/officeDocument/2006/relationships/hyperlink" Target="https://drive.google.com/open?id=10aZBxjYiQrvwAAgQEuqkDwsWn_-3YGW2" TargetMode="External"/><Relationship Id="rId2309" Type="http://schemas.openxmlformats.org/officeDocument/2006/relationships/hyperlink" Target="https://www.linkedin.com/in/harsh-sharma81" TargetMode="External"/><Relationship Id="rId3639" Type="http://schemas.openxmlformats.org/officeDocument/2006/relationships/hyperlink" Target="https://preskilet.com/watch?v=6297995c5545ea0004a928d6" TargetMode="External"/><Relationship Id="rId3630" Type="http://schemas.openxmlformats.org/officeDocument/2006/relationships/hyperlink" Target="https://drive.google.com/open?id=1l_rR7xPEfPd1wnV7VfIC-X_osxFY9nWD" TargetMode="External"/><Relationship Id="rId4961" Type="http://schemas.openxmlformats.org/officeDocument/2006/relationships/hyperlink" Target="https://drive.google.com/drive/folders/1xEfOBLuJY4VZ8nOU23ipee8Id1dj3Y-7" TargetMode="External"/><Relationship Id="rId4960" Type="http://schemas.openxmlformats.org/officeDocument/2006/relationships/hyperlink" Target="https://drive.google.com/open?id=1kVhamZ6prniIA-H8ZEfe7E8QWTKFCRN8" TargetMode="External"/><Relationship Id="rId2300" Type="http://schemas.openxmlformats.org/officeDocument/2006/relationships/hyperlink" Target="https://drive.google.com/open?id=1fw-Ou5NfLmLhTOtuCprbmUKHiZnILA8u" TargetMode="External"/><Relationship Id="rId3632" Type="http://schemas.openxmlformats.org/officeDocument/2006/relationships/hyperlink" Target="https://preskilet.com/trupti.barkade@mitaoe.ac.in" TargetMode="External"/><Relationship Id="rId4963" Type="http://schemas.openxmlformats.org/officeDocument/2006/relationships/hyperlink" Target="https://drive.google.com/open?id=1MnLVaTxM40SNzVTHtL0_myS-j140wpHs" TargetMode="External"/><Relationship Id="rId2301" Type="http://schemas.openxmlformats.org/officeDocument/2006/relationships/hyperlink" Target="https://drive.google.com/open?id=1TAiw8vqjvF7HgpPz31kCTss19sviKT5c" TargetMode="External"/><Relationship Id="rId3631" Type="http://schemas.openxmlformats.org/officeDocument/2006/relationships/hyperlink" Target="https://www.linkedin.com/in/trupti-barkade-567789218" TargetMode="External"/><Relationship Id="rId4962" Type="http://schemas.openxmlformats.org/officeDocument/2006/relationships/hyperlink" Target="https://drive.google.com/open?id=1FV-l4nH8GpbrhfI8yGcCxcmu7Ye_Dv9G" TargetMode="External"/><Relationship Id="rId3623" Type="http://schemas.openxmlformats.org/officeDocument/2006/relationships/hyperlink" Target="https://drive.google.com/open?id=19pXXhQIHAkSblXOHp8ABzH3HMD5cbUlV" TargetMode="External"/><Relationship Id="rId4954" Type="http://schemas.openxmlformats.org/officeDocument/2006/relationships/hyperlink" Target="https://preskilet.com/watch?v=62a384f0a6956a00046005c0" TargetMode="External"/><Relationship Id="rId3622" Type="http://schemas.openxmlformats.org/officeDocument/2006/relationships/hyperlink" Target="https://drive.google.com/open?id=195X_WSh7n5rMcHzquyOBFqhzt5kX6WuQ" TargetMode="External"/><Relationship Id="rId4953" Type="http://schemas.openxmlformats.org/officeDocument/2006/relationships/hyperlink" Target="https://www.linkedin.com/in/pratham-bhardwaj-78766018a" TargetMode="External"/><Relationship Id="rId3625" Type="http://schemas.openxmlformats.org/officeDocument/2006/relationships/hyperlink" Target="https://www.linkedin.com/in/sainath-ayewar-08b51b1a6" TargetMode="External"/><Relationship Id="rId4956" Type="http://schemas.openxmlformats.org/officeDocument/2006/relationships/hyperlink" Target="https://drive.google.com/open?id=1L8FBMn4zzfboEbVFRP-aaeZtuII0k3kf" TargetMode="External"/><Relationship Id="rId3624" Type="http://schemas.openxmlformats.org/officeDocument/2006/relationships/hyperlink" Target="https://drive.google.com/open?id=168ZskhVmhs0UM_W1dSDdR3Pwid_n0I1p" TargetMode="External"/><Relationship Id="rId4955" Type="http://schemas.openxmlformats.org/officeDocument/2006/relationships/hyperlink" Target="https://drive.google.com/open?id=1dcr5JHm63yLhG7C7tmv6Bh00i3jCb7Lh" TargetMode="External"/><Relationship Id="rId3627" Type="http://schemas.openxmlformats.org/officeDocument/2006/relationships/hyperlink" Target="https://drive.google.com/open?id=1qAFolynYliZs1CM8iEG8QBO1EUrlDwHe" TargetMode="External"/><Relationship Id="rId4958" Type="http://schemas.openxmlformats.org/officeDocument/2006/relationships/hyperlink" Target="https://drive.google.com/drive/folders/1fLZCZnls0GK1Fie8CT6LAjVu4EL5Zg7b?usp=sharing" TargetMode="External"/><Relationship Id="rId3626" Type="http://schemas.openxmlformats.org/officeDocument/2006/relationships/hyperlink" Target="https://preskilet.com/watch?v=62a389eda6956a00046006d0" TargetMode="External"/><Relationship Id="rId4957" Type="http://schemas.openxmlformats.org/officeDocument/2006/relationships/hyperlink" Target="https://www.linkedin.com/in/nikhil-khune-269951241" TargetMode="External"/><Relationship Id="rId3629" Type="http://schemas.openxmlformats.org/officeDocument/2006/relationships/hyperlink" Target="https://drive.google.com/open?id=1P-TSEmorvTvLIpjnNMp5Mjo6SvCY-baD" TargetMode="External"/><Relationship Id="rId3628" Type="http://schemas.openxmlformats.org/officeDocument/2006/relationships/hyperlink" Target="https://drive.google.com/open?id=1Ards2BFluApy3bWBnanYwGGDHQAyzhSY" TargetMode="External"/><Relationship Id="rId4959" Type="http://schemas.openxmlformats.org/officeDocument/2006/relationships/hyperlink" Target="https://drive.google.com/open?id=1PoqY_eohWgVnKnOuj9MMIn5ZnrTUEKYL" TargetMode="External"/><Relationship Id="rId4950" Type="http://schemas.openxmlformats.org/officeDocument/2006/relationships/hyperlink" Target="https://drive.google.com/open?id=1v5jDHfz3gGdmusqV8BVpKtauP3qR1kcp" TargetMode="External"/><Relationship Id="rId3621" Type="http://schemas.openxmlformats.org/officeDocument/2006/relationships/hyperlink" Target="https://drive.google.com/open?id=18jGoFgm7DycltGyEX4C2lqOLVrKdgKqp" TargetMode="External"/><Relationship Id="rId4952" Type="http://schemas.openxmlformats.org/officeDocument/2006/relationships/hyperlink" Target="https://drive.google.com/open?id=1ZyXNHZ0qDVTlxZODLkFB-29CZwnaqxEf" TargetMode="External"/><Relationship Id="rId3620" Type="http://schemas.openxmlformats.org/officeDocument/2006/relationships/hyperlink" Target="https://drive.google.com/open?id=1-2Ou7xt6i5_pepyqnyXTW2xgKzJoqOHp" TargetMode="External"/><Relationship Id="rId4951" Type="http://schemas.openxmlformats.org/officeDocument/2006/relationships/hyperlink" Target="https://drive.google.com/open?id=1rFxnMFa_4kVTDMQBxxjcv1r6qxHH_ZF8" TargetMode="External"/><Relationship Id="rId2324" Type="http://schemas.openxmlformats.org/officeDocument/2006/relationships/hyperlink" Target="https://preskilet.com/watch?v=62a38857a6956a0004600683" TargetMode="External"/><Relationship Id="rId3656" Type="http://schemas.openxmlformats.org/officeDocument/2006/relationships/hyperlink" Target="https://drive.google.com/open?id=10EqkOLMUmv-CT53AP4taDpJURrlgPqx9" TargetMode="External"/><Relationship Id="rId4987" Type="http://schemas.openxmlformats.org/officeDocument/2006/relationships/hyperlink" Target="https://drive.google.com/open?id=1ayPwG4TZl37LwH6ltHjkCZMFIHSVj3Ft" TargetMode="External"/><Relationship Id="rId2325" Type="http://schemas.openxmlformats.org/officeDocument/2006/relationships/hyperlink" Target="https://drive.google.com/open?id=1tsZyBiPZfRwS_Q-i7wB_FbK06A93UCIg" TargetMode="External"/><Relationship Id="rId3655" Type="http://schemas.openxmlformats.org/officeDocument/2006/relationships/hyperlink" Target="https://drive.google.com/open?id=1DmSzRLHWFCRjGXTkV2AIbxvpAqHf4AlA" TargetMode="External"/><Relationship Id="rId4986" Type="http://schemas.openxmlformats.org/officeDocument/2006/relationships/hyperlink" Target="https://drive.google.com/open?id=1Y2xFZS5RKBkWdF55Dx9c6_lJgKe-tjJE" TargetMode="External"/><Relationship Id="rId2326" Type="http://schemas.openxmlformats.org/officeDocument/2006/relationships/hyperlink" Target="https://drive.google.com/open?id=1JgVhpcdY7Gb7pwF17vLcfAoiax5K6s8I" TargetMode="External"/><Relationship Id="rId3658" Type="http://schemas.openxmlformats.org/officeDocument/2006/relationships/hyperlink" Target="https://drive.google.com/open?id=1RU27K0zDUC3uB90zMJetw7Cxjiao7c6D" TargetMode="External"/><Relationship Id="rId4989" Type="http://schemas.openxmlformats.org/officeDocument/2006/relationships/hyperlink" Target="https://preskilet.com/watch?v=6287a14cf7627b000497217d" TargetMode="External"/><Relationship Id="rId2327" Type="http://schemas.openxmlformats.org/officeDocument/2006/relationships/hyperlink" Target="https://drive.google.com/open?id=1ObF4p3-w_HTSj2GfMvs0FG05gK9Lcmw4" TargetMode="External"/><Relationship Id="rId3657" Type="http://schemas.openxmlformats.org/officeDocument/2006/relationships/hyperlink" Target="https://drive.google.com/open?id=17WRsR7wlHlvU5TUQ2eUcAbnPuGQ5Q05y" TargetMode="External"/><Relationship Id="rId4988" Type="http://schemas.openxmlformats.org/officeDocument/2006/relationships/hyperlink" Target="https://www.linkedin.com/in/pranav-hatwar-437039215" TargetMode="External"/><Relationship Id="rId2328" Type="http://schemas.openxmlformats.org/officeDocument/2006/relationships/hyperlink" Target="https://drive.google.com/open?id=1ZWDrzove3alcCV5VxkgxZzXZ8tQ_y56M" TargetMode="External"/><Relationship Id="rId2329" Type="http://schemas.openxmlformats.org/officeDocument/2006/relationships/hyperlink" Target="https://drive.google.com/open?id=1u2sGsRlbdXfSZ7S4BHhun8kymYvhE-_O" TargetMode="External"/><Relationship Id="rId3659" Type="http://schemas.openxmlformats.org/officeDocument/2006/relationships/hyperlink" Target="https://drive.google.com/open?id=1F-J_nAMGtdDbZPgtRWcpuhwXY7ADka-y" TargetMode="External"/><Relationship Id="rId3650" Type="http://schemas.openxmlformats.org/officeDocument/2006/relationships/hyperlink" Target="https://drive.google.com/open?id=1vM5WL8ONlTQyXL3GtcwbWzz86471sp8K" TargetMode="External"/><Relationship Id="rId4981" Type="http://schemas.openxmlformats.org/officeDocument/2006/relationships/hyperlink" Target="https://drive.google.com/drive/folders/1IJ2Ql3cUNEBduhY9DZsWZzn4j_rkHTEj?usp=sharing" TargetMode="External"/><Relationship Id="rId4980" Type="http://schemas.openxmlformats.org/officeDocument/2006/relationships/hyperlink" Target="https://www.linkedin.com/in/niranjan-girhe/" TargetMode="External"/><Relationship Id="rId2320" Type="http://schemas.openxmlformats.org/officeDocument/2006/relationships/hyperlink" Target="https://drive.google.com/open?id=1F1SAjCYLVLsQE0u521imKnNpMwJxcyLc" TargetMode="External"/><Relationship Id="rId3652" Type="http://schemas.openxmlformats.org/officeDocument/2006/relationships/hyperlink" Target="https://drive.google.com/open?id=1Sqlvjiq8ErcpxPre4lztq4pgvbV08EQ-" TargetMode="External"/><Relationship Id="rId4983" Type="http://schemas.openxmlformats.org/officeDocument/2006/relationships/hyperlink" Target="https://drive.google.com/open?id=1P6gyoNlk5CkajHFDvHIn4ucx3dB0Qc4R" TargetMode="External"/><Relationship Id="rId2321" Type="http://schemas.openxmlformats.org/officeDocument/2006/relationships/hyperlink" Target="https://drive.google.com/open?id=1c63XUdX_MGckYNAIGMBNINkk9CZgiqkx" TargetMode="External"/><Relationship Id="rId3651" Type="http://schemas.openxmlformats.org/officeDocument/2006/relationships/hyperlink" Target="https://drive.google.com/open?id=1ZqSrElQDYnI2qqFzttfHxR4P_zVOSe9l" TargetMode="External"/><Relationship Id="rId4982" Type="http://schemas.openxmlformats.org/officeDocument/2006/relationships/hyperlink" Target="https://drive.google.com/open?id=11Xo4s2VyWLiV4F46yUI-cHNRzmQDP7wY" TargetMode="External"/><Relationship Id="rId2322" Type="http://schemas.openxmlformats.org/officeDocument/2006/relationships/hyperlink" Target="https://drive.google.com/open?id=1KEbxNSNtcE2k-4lcIupbIrhAOVh8EmYg" TargetMode="External"/><Relationship Id="rId3654" Type="http://schemas.openxmlformats.org/officeDocument/2006/relationships/hyperlink" Target="https://preskilet.com/watch?v=62b4639130b28000045232b4" TargetMode="External"/><Relationship Id="rId4985" Type="http://schemas.openxmlformats.org/officeDocument/2006/relationships/hyperlink" Target="https://drive.google.com/open?id=1ooUN61b_tM8eCRuDRBWjIXz9JAW0HbSf" TargetMode="External"/><Relationship Id="rId2323" Type="http://schemas.openxmlformats.org/officeDocument/2006/relationships/hyperlink" Target="http://www.linkedin.com/in/shrihari-eknathe-5902861a7" TargetMode="External"/><Relationship Id="rId3653" Type="http://schemas.openxmlformats.org/officeDocument/2006/relationships/hyperlink" Target="http://www.linkedin.com/in/anansh-gupta-ab9882212" TargetMode="External"/><Relationship Id="rId4984" Type="http://schemas.openxmlformats.org/officeDocument/2006/relationships/hyperlink" Target="https://drive.google.com/open?id=1SmQRQYZ1lNgQ4EPHqHMIoTnVAlEspTaS" TargetMode="External"/><Relationship Id="rId2313" Type="http://schemas.openxmlformats.org/officeDocument/2006/relationships/hyperlink" Target="https://drive.google.com/open?id=1qSXmFLyvi2xm27OKD6nnS4n4U1ZAedew" TargetMode="External"/><Relationship Id="rId3645" Type="http://schemas.openxmlformats.org/officeDocument/2006/relationships/hyperlink" Target="https://drive.google.com/open?id=1NX7iJsdQu9uMptYz9JxG6dM-0HGQSdKy" TargetMode="External"/><Relationship Id="rId4976" Type="http://schemas.openxmlformats.org/officeDocument/2006/relationships/hyperlink" Target="https://drive.google.com/open?id=1EJblnOGIy0NgR88O1FZlPOb4mK1CrpzL" TargetMode="External"/><Relationship Id="rId2314" Type="http://schemas.openxmlformats.org/officeDocument/2006/relationships/hyperlink" Target="https://drive.google.com/open?id=1ZfBjFSA8SWzB_bGFYlvSy8iNkapCbZDj" TargetMode="External"/><Relationship Id="rId3644" Type="http://schemas.openxmlformats.org/officeDocument/2006/relationships/hyperlink" Target="https://drive.google.com/open?id=1o7rwpdXmDKbr76PwlqVLUWK2EK5jzUnB" TargetMode="External"/><Relationship Id="rId4975" Type="http://schemas.openxmlformats.org/officeDocument/2006/relationships/hyperlink" Target="https://drive.google.com/open?id=1NNuiXfwQM-VpeT2HrBaGVZ38zFZoPdvN" TargetMode="External"/><Relationship Id="rId2315" Type="http://schemas.openxmlformats.org/officeDocument/2006/relationships/hyperlink" Target="https://drive.google.com/open?id=1m-4ZWBQ5oJ6pJlM8gK8541Tp5Pi90Ffs" TargetMode="External"/><Relationship Id="rId3647" Type="http://schemas.openxmlformats.org/officeDocument/2006/relationships/hyperlink" Target="https://drive.google.com/open?id=1F8s4QgZsnvBT7L8K01rurcwoslafQZPB" TargetMode="External"/><Relationship Id="rId4978" Type="http://schemas.openxmlformats.org/officeDocument/2006/relationships/hyperlink" Target="https://drive.google.com/open?id=1EIbxPu4UoOJHlQC3FKEZ2x9LuAcX6hrE" TargetMode="External"/><Relationship Id="rId2316" Type="http://schemas.openxmlformats.org/officeDocument/2006/relationships/hyperlink" Target="https://www.linkedin.com/in/omkar-jagadale-639599197" TargetMode="External"/><Relationship Id="rId3646" Type="http://schemas.openxmlformats.org/officeDocument/2006/relationships/hyperlink" Target="https://www.linkedin.com/in/pramodini-patil-89b629241/" TargetMode="External"/><Relationship Id="rId4977" Type="http://schemas.openxmlformats.org/officeDocument/2006/relationships/hyperlink" Target="https://drive.google.com/open?id=1xRJTIQyUnOi36bE3cMsW8EQV8k38uWBp" TargetMode="External"/><Relationship Id="rId2317" Type="http://schemas.openxmlformats.org/officeDocument/2006/relationships/hyperlink" Target="https://drive.google.com/drive/folders/1Cmmj2nD4Hm_S40_aewbZ1Zmhi6c-eQec?usp=sharing" TargetMode="External"/><Relationship Id="rId3649" Type="http://schemas.openxmlformats.org/officeDocument/2006/relationships/hyperlink" Target="https://drive.google.com/open?id=1l4ZBVBKvw0ccLIiJaY9XkO9ohiSsrOo-" TargetMode="External"/><Relationship Id="rId2318" Type="http://schemas.openxmlformats.org/officeDocument/2006/relationships/hyperlink" Target="https://drive.google.com/open?id=1jr6uiKnMgWC5YdZG23TscWhUxMdXhIMB" TargetMode="External"/><Relationship Id="rId3648" Type="http://schemas.openxmlformats.org/officeDocument/2006/relationships/hyperlink" Target="https://drive.google.com/open?id=1XHiJCud---8H4AMlrUKM7Ppz-PKfXsp1" TargetMode="External"/><Relationship Id="rId4979" Type="http://schemas.openxmlformats.org/officeDocument/2006/relationships/hyperlink" Target="https://drive.google.com/open?id=1-6zOKW9EcflfcqZjf4gvEmt39NzvU9nz" TargetMode="External"/><Relationship Id="rId2319" Type="http://schemas.openxmlformats.org/officeDocument/2006/relationships/hyperlink" Target="https://drive.google.com/open?id=1REGDJGlt3U8I14Ty664bf9W0VTG-YM2Y" TargetMode="External"/><Relationship Id="rId4970" Type="http://schemas.openxmlformats.org/officeDocument/2006/relationships/hyperlink" Target="https://drive.google.com/open?id=1HNyutNTEeUZXztfjHaRkUPzLTr3oQT3P" TargetMode="External"/><Relationship Id="rId3641" Type="http://schemas.openxmlformats.org/officeDocument/2006/relationships/hyperlink" Target="https://drive.google.com/open?id=11ykhSCGrBxVI3FZgyWTBXfxqVkJgWLpu" TargetMode="External"/><Relationship Id="rId4972" Type="http://schemas.openxmlformats.org/officeDocument/2006/relationships/hyperlink" Target="https://drive.google.com/open?id=1rQp9ZmsV2eDiVQ_OoGYuwfqyUV2eQMP2" TargetMode="External"/><Relationship Id="rId2310" Type="http://schemas.openxmlformats.org/officeDocument/2006/relationships/hyperlink" Target="https://preskilet.com/watch?v=62a3835ca6956a000460055b" TargetMode="External"/><Relationship Id="rId3640" Type="http://schemas.openxmlformats.org/officeDocument/2006/relationships/hyperlink" Target="https://drive.google.com/open?id=14B4VadGcYbW4K6HbQujVLx15E3FzTXlj" TargetMode="External"/><Relationship Id="rId4971" Type="http://schemas.openxmlformats.org/officeDocument/2006/relationships/hyperlink" Target="https://drive.google.com/open?id=1uSwVQyZx60oY5sCPq5u54VijXMBnsrRa" TargetMode="External"/><Relationship Id="rId2311" Type="http://schemas.openxmlformats.org/officeDocument/2006/relationships/hyperlink" Target="https://drive.google.com/open?id=1Y68WwE-PtK1oFDqUN3pWARFoLoR9cPaI" TargetMode="External"/><Relationship Id="rId3643" Type="http://schemas.openxmlformats.org/officeDocument/2006/relationships/hyperlink" Target="https://drive.google.com/open?id=1M6OrbDZGfI_Osx0Ro9-o7gc_y9Ydxzwy" TargetMode="External"/><Relationship Id="rId4974" Type="http://schemas.openxmlformats.org/officeDocument/2006/relationships/hyperlink" Target="https://drive.google.com/open?id=1TqfLhBQeqbCFw3A8lEfmu3BAkSR0h9IE" TargetMode="External"/><Relationship Id="rId2312" Type="http://schemas.openxmlformats.org/officeDocument/2006/relationships/hyperlink" Target="https://drive.google.com/open?id=16zYO2aMoMT5fZKYjCjdHIuFtqlo1-18M" TargetMode="External"/><Relationship Id="rId3642" Type="http://schemas.openxmlformats.org/officeDocument/2006/relationships/hyperlink" Target="https://drive.google.com/open?id=12V_DPmIY07FX-lhtk9zZwHWpBEyZH_b9" TargetMode="External"/><Relationship Id="rId4973" Type="http://schemas.openxmlformats.org/officeDocument/2006/relationships/hyperlink" Target="https://drive.google.com/file/d/16sDc459W9uJRpwaAqwWEkhM910Xy6y7Z/view?usp=drivesdk" TargetMode="External"/><Relationship Id="rId1895" Type="http://schemas.openxmlformats.org/officeDocument/2006/relationships/hyperlink" Target="https://drive.google.com/open?id=1PadVKFmMI2sVo6OUAzoLZZ9FLZNoiazl" TargetMode="External"/><Relationship Id="rId4921" Type="http://schemas.openxmlformats.org/officeDocument/2006/relationships/hyperlink" Target="https://drive.google.com/open?id=1EtDmh2pm1POu-fOhFC2_Hlr9JDMppwgp" TargetMode="External"/><Relationship Id="rId1896" Type="http://schemas.openxmlformats.org/officeDocument/2006/relationships/hyperlink" Target="https://drive.google.com/open?id=1kCkghpytPmB7PTy3lcmVQnRNj6Q3-dgg" TargetMode="External"/><Relationship Id="rId4920" Type="http://schemas.openxmlformats.org/officeDocument/2006/relationships/hyperlink" Target="https://drive.google.com/open?id=1gcCHUvpmx_vXZkeFXhpo0uJClSqzfIBn" TargetMode="External"/><Relationship Id="rId1897" Type="http://schemas.openxmlformats.org/officeDocument/2006/relationships/hyperlink" Target="https://drive.google.com/open?id=1WooSIhiVGkCxPcrwaqbfDv6AnxXPI7ox" TargetMode="External"/><Relationship Id="rId4923" Type="http://schemas.openxmlformats.org/officeDocument/2006/relationships/hyperlink" Target="http://www.linkedin.com/in/yadnesh-vidyasagar-b3588a218" TargetMode="External"/><Relationship Id="rId1898" Type="http://schemas.openxmlformats.org/officeDocument/2006/relationships/hyperlink" Target="https://drive.google.com/open?id=1U630HA3z3JUTA_cr1rVJoukcjQbAtG6t" TargetMode="External"/><Relationship Id="rId4922" Type="http://schemas.openxmlformats.org/officeDocument/2006/relationships/hyperlink" Target="https://drive.google.com/open?id=1S6GlPdQle5mO9GIpOMOD8rBr0yeKRhio" TargetMode="External"/><Relationship Id="rId1899" Type="http://schemas.openxmlformats.org/officeDocument/2006/relationships/hyperlink" Target="http://www.linkedin.com/in/atharvawadpelli" TargetMode="External"/><Relationship Id="rId4925" Type="http://schemas.openxmlformats.org/officeDocument/2006/relationships/hyperlink" Target="https://drive.google.com/open?id=1hn0hKACbGmdbh0IJDTo7rovJyvK3wbp0" TargetMode="External"/><Relationship Id="rId4924" Type="http://schemas.openxmlformats.org/officeDocument/2006/relationships/hyperlink" Target="https://drive.google.com/file/d/1P1KF6cWeKxknWO20LMhHHmZTd0UrHltQ/view?usp=sharing" TargetMode="External"/><Relationship Id="rId4927" Type="http://schemas.openxmlformats.org/officeDocument/2006/relationships/hyperlink" Target="https://drive.google.com/open?id=17xFYfyTMN92CBXr-6nZYQO0nUpdM1dVW" TargetMode="External"/><Relationship Id="rId4926" Type="http://schemas.openxmlformats.org/officeDocument/2006/relationships/hyperlink" Target="https://drive.google.com/open?id=1uRgSwSW3FHh5eP6B4aUclo7P9bce7rOj" TargetMode="External"/><Relationship Id="rId4929" Type="http://schemas.openxmlformats.org/officeDocument/2006/relationships/hyperlink" Target="https://drive.google.com/open?id=1oOOgq3sxKIGFWBX_7_XPbMv8OJxriHTN" TargetMode="External"/><Relationship Id="rId4928" Type="http://schemas.openxmlformats.org/officeDocument/2006/relationships/hyperlink" Target="https://drive.google.com/open?id=1j-KR9AZZhXEDMCrTZ_cDtfWfPm5YdZDI" TargetMode="External"/><Relationship Id="rId1890" Type="http://schemas.openxmlformats.org/officeDocument/2006/relationships/hyperlink" Target="https://drive.google.com/open?id=1TE_QOdpyhwp43kt2bUJ39krJ6RWYq1w5" TargetMode="External"/><Relationship Id="rId1891" Type="http://schemas.openxmlformats.org/officeDocument/2006/relationships/hyperlink" Target="https://www.linkedin.com/in/pratyoosh-anand-559633190/" TargetMode="External"/><Relationship Id="rId1892" Type="http://schemas.openxmlformats.org/officeDocument/2006/relationships/hyperlink" Target="https://preskilet.com/watch?v=62979a625545ea0004a928e3" TargetMode="External"/><Relationship Id="rId1893" Type="http://schemas.openxmlformats.org/officeDocument/2006/relationships/hyperlink" Target="https://drive.google.com/open?id=1LRtukt3X9IHdpYg3O0-It9lvqQ3--PhI" TargetMode="External"/><Relationship Id="rId1894" Type="http://schemas.openxmlformats.org/officeDocument/2006/relationships/hyperlink" Target="https://drive.google.com/open?id=1sgXl71WGOvAlLiwhpo5RZ45fgolR7zh7" TargetMode="External"/><Relationship Id="rId1884" Type="http://schemas.openxmlformats.org/officeDocument/2006/relationships/hyperlink" Target="https://www.linkedin.com/in/shivashish-roy-05a058212/" TargetMode="External"/><Relationship Id="rId4910" Type="http://schemas.openxmlformats.org/officeDocument/2006/relationships/hyperlink" Target="https://preskilet.com/watch?v=62a242bdfed70c00042b6972" TargetMode="External"/><Relationship Id="rId1885" Type="http://schemas.openxmlformats.org/officeDocument/2006/relationships/hyperlink" Target="https://preskilet.com/watch?v=62b2bea3cd590700045fb2a2" TargetMode="External"/><Relationship Id="rId1886" Type="http://schemas.openxmlformats.org/officeDocument/2006/relationships/hyperlink" Target="https://drive.google.com/open?id=1mfgjwLk2_zJe9COrqGm-B3fGPMdJtxhN" TargetMode="External"/><Relationship Id="rId4912" Type="http://schemas.openxmlformats.org/officeDocument/2006/relationships/hyperlink" Target="https://drive.google.com/open?id=1BN0Ml2lxePewX40VSnMfxkVa756AMtnM" TargetMode="External"/><Relationship Id="rId1887" Type="http://schemas.openxmlformats.org/officeDocument/2006/relationships/hyperlink" Target="https://drive.google.com/open?id=1jZ8uw_o3VakHp6GFQKdVD4tWNKBxSC-v" TargetMode="External"/><Relationship Id="rId4911" Type="http://schemas.openxmlformats.org/officeDocument/2006/relationships/hyperlink" Target="https://drive.google.com/open?id=1LmirdEGvX1Aav8ZGR3uCFTxTvNlmBEiW" TargetMode="External"/><Relationship Id="rId1888" Type="http://schemas.openxmlformats.org/officeDocument/2006/relationships/hyperlink" Target="https://drive.google.com/open?id=1o4etIlm6a_PnfJ7E0Ix42zXf_zXMml30" TargetMode="External"/><Relationship Id="rId4914" Type="http://schemas.openxmlformats.org/officeDocument/2006/relationships/hyperlink" Target="https://drive.google.com/open?id=1pDuq1DzwU2hlWviukxbC9uEElDXmGItp" TargetMode="External"/><Relationship Id="rId1889" Type="http://schemas.openxmlformats.org/officeDocument/2006/relationships/hyperlink" Target="https://drive.google.com/open?id=1PW4dSygLoZw4dR5Cqv6HxDsZ59jAhh3q" TargetMode="External"/><Relationship Id="rId4913" Type="http://schemas.openxmlformats.org/officeDocument/2006/relationships/hyperlink" Target="https://drive.google.com/open?id=1kUH_mF72pvnXexZbR0SbU_3UeQo2LNt7" TargetMode="External"/><Relationship Id="rId4916" Type="http://schemas.openxmlformats.org/officeDocument/2006/relationships/hyperlink" Target="https://drive.google.com/open?id=1-n64TQh3VejppV9Ngra3tHa5XZCMP53L" TargetMode="External"/><Relationship Id="rId4915" Type="http://schemas.openxmlformats.org/officeDocument/2006/relationships/hyperlink" Target="https://drive.google.com/open?id=16Hjd_TQhw3HW1f-av_3Q_9kMTOs3vuxY" TargetMode="External"/><Relationship Id="rId4918" Type="http://schemas.openxmlformats.org/officeDocument/2006/relationships/hyperlink" Target="https://preskilet.com/watch?v=62a37038a6956a0004600168" TargetMode="External"/><Relationship Id="rId4917" Type="http://schemas.openxmlformats.org/officeDocument/2006/relationships/hyperlink" Target="https://www.linkedin.com/in/yash-charpe/" TargetMode="External"/><Relationship Id="rId4919" Type="http://schemas.openxmlformats.org/officeDocument/2006/relationships/hyperlink" Target="https://drive.google.com/open?id=1xd89JVXy5GKm8iQS6JHdmoOAbFnEolrK" TargetMode="External"/><Relationship Id="rId1880" Type="http://schemas.openxmlformats.org/officeDocument/2006/relationships/hyperlink" Target="https://drive.google.com/open?id=1KVfLMRJJ6s9Q6fiMJRMMTpHfkY-zHVVz" TargetMode="External"/><Relationship Id="rId1881" Type="http://schemas.openxmlformats.org/officeDocument/2006/relationships/hyperlink" Target="https://drive.google.com/open?id=1J9gAaENsmzmTrYQii11YV1FUG6T07qAF" TargetMode="External"/><Relationship Id="rId1882" Type="http://schemas.openxmlformats.org/officeDocument/2006/relationships/hyperlink" Target="https://drive.google.com/open?id=18Ma25dlgd2zTdB5AVxjRVh7D-VgL8C9Y" TargetMode="External"/><Relationship Id="rId1883" Type="http://schemas.openxmlformats.org/officeDocument/2006/relationships/hyperlink" Target="https://drive.google.com/open?id=1L0A5VcLSHPhhWzJ77-fhIWAzhVLNkDS8" TargetMode="External"/><Relationship Id="rId3612" Type="http://schemas.openxmlformats.org/officeDocument/2006/relationships/hyperlink" Target="https://drive.google.com/drive/folders/1udG2x1ZTy_vQtZnlf-FWriHcvRFOyzP-" TargetMode="External"/><Relationship Id="rId4943" Type="http://schemas.openxmlformats.org/officeDocument/2006/relationships/hyperlink" Target="https://drive.google.com/open?id=17qISm4ATMvWEw24jTOXjSvCauWeMlT-V" TargetMode="External"/><Relationship Id="rId3611" Type="http://schemas.openxmlformats.org/officeDocument/2006/relationships/hyperlink" Target="https://www.linkedin.com/in/arjun-pardeshi-powertrain" TargetMode="External"/><Relationship Id="rId4942" Type="http://schemas.openxmlformats.org/officeDocument/2006/relationships/hyperlink" Target="https://drive.google.com/open?id=10E29lIWgPzQPExo292u1j-ZMi6HShiAs" TargetMode="External"/><Relationship Id="rId3614" Type="http://schemas.openxmlformats.org/officeDocument/2006/relationships/hyperlink" Target="https://drive.google.com/open?id=1gOEvAwWL0-9SxCjgJkr_cUQcjg2GDYmz" TargetMode="External"/><Relationship Id="rId4945" Type="http://schemas.openxmlformats.org/officeDocument/2006/relationships/hyperlink" Target="http://www.linkedin.com/in/kapilkhairkar" TargetMode="External"/><Relationship Id="rId3613" Type="http://schemas.openxmlformats.org/officeDocument/2006/relationships/hyperlink" Target="https://drive.google.com/open?id=11NNuC-xxZ3QSEtjhFQh8HalGhVgCBnTy" TargetMode="External"/><Relationship Id="rId4944" Type="http://schemas.openxmlformats.org/officeDocument/2006/relationships/hyperlink" Target="https://drive.google.com/open?id=1tEqPZhVbQlcya_LsHm4jKSOrrVaG1Jg9" TargetMode="External"/><Relationship Id="rId3616" Type="http://schemas.openxmlformats.org/officeDocument/2006/relationships/hyperlink" Target="https://www.linkedin.com/in/prathamesh-sadakal" TargetMode="External"/><Relationship Id="rId4947" Type="http://schemas.openxmlformats.org/officeDocument/2006/relationships/hyperlink" Target="https://drive.google.com/open?id=1-QXnQCKMjfm_h2gZwRMgS5i4xaTVbAb3" TargetMode="External"/><Relationship Id="rId3615" Type="http://schemas.openxmlformats.org/officeDocument/2006/relationships/hyperlink" Target="https://drive.google.com/open?id=1n07ZTWzLUyiEHJY8SfkCGZDeFm6z7iGo" TargetMode="External"/><Relationship Id="rId4946" Type="http://schemas.openxmlformats.org/officeDocument/2006/relationships/hyperlink" Target="https://drive.google.com/drive/folders/1MiRE8uHdpJ57i9WSW0UQFqpydJccUuy0?usp=sharing" TargetMode="External"/><Relationship Id="rId3618" Type="http://schemas.openxmlformats.org/officeDocument/2006/relationships/hyperlink" Target="https://drive.google.com/open?id=1b5xW-Ts50HVl3kxO5Nhq8jQhJLya0WFx" TargetMode="External"/><Relationship Id="rId4949" Type="http://schemas.openxmlformats.org/officeDocument/2006/relationships/hyperlink" Target="https://drive.google.com/open?id=1rRAxFIPoewERl3-_4MkeqkAR6H-1bxtl" TargetMode="External"/><Relationship Id="rId3617" Type="http://schemas.openxmlformats.org/officeDocument/2006/relationships/hyperlink" Target="https://drive.google.com/file/d/1wArOyerV0wjxjoUiPgy5_-VAQ1YFXgsJ/view?usp=drivesdk" TargetMode="External"/><Relationship Id="rId4948" Type="http://schemas.openxmlformats.org/officeDocument/2006/relationships/hyperlink" Target="https://drive.google.com/open?id=17L7-gIJfdw_-nheavT2ehMWUMyfmFnEK" TargetMode="External"/><Relationship Id="rId3619" Type="http://schemas.openxmlformats.org/officeDocument/2006/relationships/hyperlink" Target="https://drive.google.com/open?id=1Pc3mDASwYPqVTs5uKaTsoQjdfB7TReUa" TargetMode="External"/><Relationship Id="rId3610" Type="http://schemas.openxmlformats.org/officeDocument/2006/relationships/hyperlink" Target="https://drive.google.com/open?id=17XV_OPtvgINP06Q-UThPvfKfB3UpXoAL" TargetMode="External"/><Relationship Id="rId4941" Type="http://schemas.openxmlformats.org/officeDocument/2006/relationships/hyperlink" Target="https://drive.google.com/open?id=1Od6fiQA8axxcEWsQRiyjxLZeGCDiS-Ng" TargetMode="External"/><Relationship Id="rId4940" Type="http://schemas.openxmlformats.org/officeDocument/2006/relationships/hyperlink" Target="https://drive.google.com/open?id=1BZhGjGGleUxNJot2BxlrnHrvbgf0nlhi" TargetMode="External"/><Relationship Id="rId3601" Type="http://schemas.openxmlformats.org/officeDocument/2006/relationships/hyperlink" Target="https://drive.google.com/open?id=1RsxXnkKoPHDET4GkQ-48tmWnOp989XNT" TargetMode="External"/><Relationship Id="rId4932" Type="http://schemas.openxmlformats.org/officeDocument/2006/relationships/hyperlink" Target="https://drive.google.com/open?id=1hKFvyxfIcsBoPD8TQ6zOKDmTU-jx_BnO" TargetMode="External"/><Relationship Id="rId3600" Type="http://schemas.openxmlformats.org/officeDocument/2006/relationships/hyperlink" Target="https://drive.google.com/open?id=1GhUFFPyjMjTy_jS3sSTZyAL2E7oomQrq" TargetMode="External"/><Relationship Id="rId4931" Type="http://schemas.openxmlformats.org/officeDocument/2006/relationships/hyperlink" Target="https://preskilet.com/watch?v=629dcea04866700004412986" TargetMode="External"/><Relationship Id="rId3603" Type="http://schemas.openxmlformats.org/officeDocument/2006/relationships/hyperlink" Target="https://drive.google.com/open?id=1WgpmnnC-W_ZQgNesiBQViPVdhnUv3rog" TargetMode="External"/><Relationship Id="rId4934" Type="http://schemas.openxmlformats.org/officeDocument/2006/relationships/hyperlink" Target="https://drive.google.com/open?id=1VlHY7GU-XO3lkc6dmQglS1kS1GDc9Ti2" TargetMode="External"/><Relationship Id="rId3602" Type="http://schemas.openxmlformats.org/officeDocument/2006/relationships/hyperlink" Target="https://drive.google.com/open?id=1pgow6mPk4hmaSkhc83EAu7jwS-Sgnyzl" TargetMode="External"/><Relationship Id="rId4933" Type="http://schemas.openxmlformats.org/officeDocument/2006/relationships/hyperlink" Target="https://drive.google.com/open?id=10whI8cYExcwq67gignH4rylBOkr8N2tu" TargetMode="External"/><Relationship Id="rId3605" Type="http://schemas.openxmlformats.org/officeDocument/2006/relationships/hyperlink" Target="https://www.linkedin.com/in/mayur-sarode-5bb4b5232" TargetMode="External"/><Relationship Id="rId4936" Type="http://schemas.openxmlformats.org/officeDocument/2006/relationships/hyperlink" Target="https://drive.google.com/open?id=1g3_Vjd2lyK6XL_4on-msSKAJ_9o19wX2" TargetMode="External"/><Relationship Id="rId3604" Type="http://schemas.openxmlformats.org/officeDocument/2006/relationships/hyperlink" Target="https://drive.google.com/open?id=1nkP1es4D4GjWDU1vsHcCwAm_ytb-p0zs" TargetMode="External"/><Relationship Id="rId4935" Type="http://schemas.openxmlformats.org/officeDocument/2006/relationships/hyperlink" Target="https://drive.google.com/open?id=1MD8l7XffkAPp7Il1N9roiFfn2qa513CX" TargetMode="External"/><Relationship Id="rId3607" Type="http://schemas.openxmlformats.org/officeDocument/2006/relationships/hyperlink" Target="https://drive.google.com/open?id=19NXEVRUxugaZMKy-qzBwaIuTfAYEU04x" TargetMode="External"/><Relationship Id="rId4938" Type="http://schemas.openxmlformats.org/officeDocument/2006/relationships/hyperlink" Target="https://www.linkedin.com/in/ritiket-dukare-669239230" TargetMode="External"/><Relationship Id="rId3606" Type="http://schemas.openxmlformats.org/officeDocument/2006/relationships/hyperlink" Target="https://drive.google.com/file/d/1hF-eBZ7hEyYWIas-fkz4zoxWJFQshULz/view?usp=drivesdk" TargetMode="External"/><Relationship Id="rId4937" Type="http://schemas.openxmlformats.org/officeDocument/2006/relationships/hyperlink" Target="https://drive.google.com/open?id=19ewsg9v1-oy5Djl_bzCDXqlSCH0XmQlb" TargetMode="External"/><Relationship Id="rId3609" Type="http://schemas.openxmlformats.org/officeDocument/2006/relationships/hyperlink" Target="https://drive.google.com/open?id=1KG-9IrpSb4yEwBPaxgU-ic_rUAoH3eqf" TargetMode="External"/><Relationship Id="rId3608" Type="http://schemas.openxmlformats.org/officeDocument/2006/relationships/hyperlink" Target="https://drive.google.com/open?id=1YnWBczO6ov06hOSILw_RBV1IAKI6M-xG" TargetMode="External"/><Relationship Id="rId4939" Type="http://schemas.openxmlformats.org/officeDocument/2006/relationships/hyperlink" Target="https://preskilet.com/watch?v=62a3778ca6956a00046002fc" TargetMode="External"/><Relationship Id="rId4930" Type="http://schemas.openxmlformats.org/officeDocument/2006/relationships/hyperlink" Target="https://www.linkedin.com/in/tushar-gavkhare-243ab5203" TargetMode="External"/><Relationship Id="rId1059" Type="http://schemas.openxmlformats.org/officeDocument/2006/relationships/hyperlink" Target="https://drive.google.com/open?id=1uVGYutUj6B6pEIJcDyDXlvEwkncv4uze" TargetMode="External"/><Relationship Id="rId228" Type="http://schemas.openxmlformats.org/officeDocument/2006/relationships/hyperlink" Target="https://drive.google.com/drive/folders/16WijIwLW-knhj0ducl426pxHp95S228B" TargetMode="External"/><Relationship Id="rId227" Type="http://schemas.openxmlformats.org/officeDocument/2006/relationships/hyperlink" Target="https://www.linkedin.com/in/tejaswini-wadhave" TargetMode="External"/><Relationship Id="rId226" Type="http://schemas.openxmlformats.org/officeDocument/2006/relationships/hyperlink" Target="https://drive.google.com/open?id=1dsqOlwE1VKwNkKGhha14nxysjjWIdEYL" TargetMode="External"/><Relationship Id="rId225" Type="http://schemas.openxmlformats.org/officeDocument/2006/relationships/hyperlink" Target="https://drive.google.com/open?id=1DCJ-JcXvaz6pqmKfBKXOGFGTgsNj5CCg" TargetMode="External"/><Relationship Id="rId2380" Type="http://schemas.openxmlformats.org/officeDocument/2006/relationships/hyperlink" Target="https://drive.google.com/open?id=1PJ67BTiX6IGlhhDENSasa4da0u5Yt9cI" TargetMode="External"/><Relationship Id="rId229" Type="http://schemas.openxmlformats.org/officeDocument/2006/relationships/hyperlink" Target="https://drive.google.com/open?id=1AGH_SIW2IXVCt0hJFg0FhOdHJoLU0Dle" TargetMode="External"/><Relationship Id="rId1050" Type="http://schemas.openxmlformats.org/officeDocument/2006/relationships/hyperlink" Target="https://drive.google.com/open?id=1X3fpVPPmJEH36-ikOumVhCtq-t6gwbN0" TargetMode="External"/><Relationship Id="rId2381" Type="http://schemas.openxmlformats.org/officeDocument/2006/relationships/hyperlink" Target="https://drive.google.com/open?id=1zmUyB_MmSUjVenkLqBVbmKmRnvsbtUWF" TargetMode="External"/><Relationship Id="rId220" Type="http://schemas.openxmlformats.org/officeDocument/2006/relationships/hyperlink" Target="https://drive.google.com/open?id=1f-70dN7BX-Jc2XhHiVLgsoq89E2XD66j" TargetMode="External"/><Relationship Id="rId1051" Type="http://schemas.openxmlformats.org/officeDocument/2006/relationships/hyperlink" Target="https://drive.google.com/open?id=1B3VeRokfrjjTMC-lCWoFP8jBik-x0LPs" TargetMode="External"/><Relationship Id="rId2382" Type="http://schemas.openxmlformats.org/officeDocument/2006/relationships/hyperlink" Target="https://drive.google.com/open?id=1iHwdMfqCQ6r-6VayRUX4BJFyHuIUk6UN" TargetMode="External"/><Relationship Id="rId1052" Type="http://schemas.openxmlformats.org/officeDocument/2006/relationships/hyperlink" Target="https://drive.google.com/open?id=17x6VoeJxny2imCYCLmWCYPRdQ-_-UWUy" TargetMode="External"/><Relationship Id="rId2383" Type="http://schemas.openxmlformats.org/officeDocument/2006/relationships/hyperlink" Target="https://drive.google.com/open?id=1T9YehY40795_trVAqdR-fZG_47OaYH3m" TargetMode="External"/><Relationship Id="rId1053" Type="http://schemas.openxmlformats.org/officeDocument/2006/relationships/hyperlink" Target="https://www.linkedin.com/in/tejas-zope-1377211b6/" TargetMode="External"/><Relationship Id="rId2384" Type="http://schemas.openxmlformats.org/officeDocument/2006/relationships/hyperlink" Target="https://drive.google.com/open?id=1Wf7fXCJ1yq91XfPnTKYOHwT6KsUIvs_T" TargetMode="External"/><Relationship Id="rId1054" Type="http://schemas.openxmlformats.org/officeDocument/2006/relationships/hyperlink" Target="https://drive.google.com/drive/folders/1qRmHFZBTIMQux_Kq1_Uc4KDNWt5mjZAB?usp=sharing" TargetMode="External"/><Relationship Id="rId2385" Type="http://schemas.openxmlformats.org/officeDocument/2006/relationships/hyperlink" Target="http://linkedin.com/in/ashwini-chavan-9ba617234" TargetMode="External"/><Relationship Id="rId224" Type="http://schemas.openxmlformats.org/officeDocument/2006/relationships/hyperlink" Target="https://drive.google.com/open?id=1piFXKcuU7oiXFuBT4qe5gyV49fPzzyJJ" TargetMode="External"/><Relationship Id="rId1055" Type="http://schemas.openxmlformats.org/officeDocument/2006/relationships/hyperlink" Target="https://drive.google.com/open?id=1mYY-7JMadPHLGD2ESJi8IgDPQg6jo61Q" TargetMode="External"/><Relationship Id="rId2386" Type="http://schemas.openxmlformats.org/officeDocument/2006/relationships/hyperlink" Target="https://preskilet.com/watch?v=62a38e30a6956a0004600809" TargetMode="External"/><Relationship Id="rId223" Type="http://schemas.openxmlformats.org/officeDocument/2006/relationships/hyperlink" Target="https://drive.google.com/open?id=1svvydjygoR7Y8HTgaPexVD9IYH00KzlR" TargetMode="External"/><Relationship Id="rId1056" Type="http://schemas.openxmlformats.org/officeDocument/2006/relationships/hyperlink" Target="https://drive.google.com/open?id=1kLusJSKpW9BG9StNcZxoqYL_9C0KBPay" TargetMode="External"/><Relationship Id="rId2387" Type="http://schemas.openxmlformats.org/officeDocument/2006/relationships/hyperlink" Target="https://drive.google.com/open?id=19BDRJIRyuHrmjdJOPMsS_6WW6a9winxZ" TargetMode="External"/><Relationship Id="rId222" Type="http://schemas.openxmlformats.org/officeDocument/2006/relationships/hyperlink" Target="https://drive.google.com/open?id=1iCbP7QRINYzo4yztvgp14rWyZiQIL0LI" TargetMode="External"/><Relationship Id="rId1057" Type="http://schemas.openxmlformats.org/officeDocument/2006/relationships/hyperlink" Target="https://drive.google.com/open?id=13TCbtPS9GebGQZoVYKj__mAS0Bdxvi7G" TargetMode="External"/><Relationship Id="rId2388" Type="http://schemas.openxmlformats.org/officeDocument/2006/relationships/hyperlink" Target="https://drive.google.com/open?id=1dgbUy6FZgrNUvR0QRRtuNXLKbCD9cz9F" TargetMode="External"/><Relationship Id="rId221" Type="http://schemas.openxmlformats.org/officeDocument/2006/relationships/hyperlink" Target="https://drive.google.com/open?id=1rTGPWtVW50q3nWIJ1gxURFSXtuBwGDFi" TargetMode="External"/><Relationship Id="rId1058" Type="http://schemas.openxmlformats.org/officeDocument/2006/relationships/hyperlink" Target="https://drive.google.com/open?id=1PB2OCejVDiyKNbuc02CzkI4aOKy93a1C" TargetMode="External"/><Relationship Id="rId2389" Type="http://schemas.openxmlformats.org/officeDocument/2006/relationships/hyperlink" Target="https://drive.google.com/open?id=1KiXLWCmDmiBPAu8nBB3SbGY0dllCoVXE" TargetMode="External"/><Relationship Id="rId1048" Type="http://schemas.openxmlformats.org/officeDocument/2006/relationships/hyperlink" Target="https://drive.google.com/open?id=19AOBtl17No6qbsZQNOdDVp74LYvAi2Mr" TargetMode="External"/><Relationship Id="rId2379" Type="http://schemas.openxmlformats.org/officeDocument/2006/relationships/hyperlink" Target="https://drive.google.com/open?id=12t_GvimuV9k6Od4jZQlpiGmwOX-dOL84" TargetMode="External"/><Relationship Id="rId1049" Type="http://schemas.openxmlformats.org/officeDocument/2006/relationships/hyperlink" Target="https://drive.google.com/open?id=1cNK7Rrbz_5dFzujrcvAdJZU3uv5E64Xe" TargetMode="External"/><Relationship Id="rId217" Type="http://schemas.openxmlformats.org/officeDocument/2006/relationships/hyperlink" Target="https://preskilet.com/watch?v=62b2f102cd590700045fb46e" TargetMode="External"/><Relationship Id="rId216" Type="http://schemas.openxmlformats.org/officeDocument/2006/relationships/hyperlink" Target="http://linkedin.com/in/aditi-bobade-88a5321b9" TargetMode="External"/><Relationship Id="rId215" Type="http://schemas.openxmlformats.org/officeDocument/2006/relationships/hyperlink" Target="https://drive.google.com/open?id=1fADerOnXlHgmEqlZuHTDhOKbmrSdUasE" TargetMode="External"/><Relationship Id="rId214" Type="http://schemas.openxmlformats.org/officeDocument/2006/relationships/hyperlink" Target="https://drive.google.com/open?id=184qPuMDaH-0jHLtqZOtk7eDkzoat-IZU" TargetMode="External"/><Relationship Id="rId219" Type="http://schemas.openxmlformats.org/officeDocument/2006/relationships/hyperlink" Target="https://drive.google.com/open?id=1UiVPql7CR_OtD9VsUrTAurcczZhZUkOt" TargetMode="External"/><Relationship Id="rId218" Type="http://schemas.openxmlformats.org/officeDocument/2006/relationships/hyperlink" Target="https://drive.google.com/open?id=1KCfSFVRDeJV4zk7vDc7wY1HCx253hTTF" TargetMode="External"/><Relationship Id="rId2370" Type="http://schemas.openxmlformats.org/officeDocument/2006/relationships/hyperlink" Target="https://drive.google.com/open?id=1oXX7DgLhOwKD5h87dZKh_Zm4bPd8VOk9" TargetMode="External"/><Relationship Id="rId1040" Type="http://schemas.openxmlformats.org/officeDocument/2006/relationships/hyperlink" Target="https://www.linkedin.com/in/divyanshu-mamidwar-998835238/" TargetMode="External"/><Relationship Id="rId2371" Type="http://schemas.openxmlformats.org/officeDocument/2006/relationships/hyperlink" Target="https://drive.google.com/open?id=1WTBFoREeuxVlmNPqycjJYPzLfWLXsLp6" TargetMode="External"/><Relationship Id="rId1041" Type="http://schemas.openxmlformats.org/officeDocument/2006/relationships/hyperlink" Target="https://preskilet.com/watch?v=62b55ae1af4f2700045cdd6b" TargetMode="External"/><Relationship Id="rId2372" Type="http://schemas.openxmlformats.org/officeDocument/2006/relationships/hyperlink" Target="https://drive.google.com/open?id=1jAOhOchRmjbtp1Q3r2xT1W2z-cfJZxcj" TargetMode="External"/><Relationship Id="rId1042" Type="http://schemas.openxmlformats.org/officeDocument/2006/relationships/hyperlink" Target="https://drive.google.com/open?id=1m362hK0SdSWHdxuZ6Yeg3eR_oplvakyV" TargetMode="External"/><Relationship Id="rId2373" Type="http://schemas.openxmlformats.org/officeDocument/2006/relationships/hyperlink" Target="https://drive.google.com/open?id=1JkG7krQoKxBs2g_vMu7UJBiVk8l2SSeT" TargetMode="External"/><Relationship Id="rId1043" Type="http://schemas.openxmlformats.org/officeDocument/2006/relationships/hyperlink" Target="https://drive.google.com/open?id=1rtCA7xOKOo8Dj8QEd2WyBiKjJAcL3wng" TargetMode="External"/><Relationship Id="rId2374" Type="http://schemas.openxmlformats.org/officeDocument/2006/relationships/hyperlink" Target="https://drive.google.com/open?id=1dc3RCh8qybyBZaFpgnnWgrbhJbV8bQxk" TargetMode="External"/><Relationship Id="rId213" Type="http://schemas.openxmlformats.org/officeDocument/2006/relationships/hyperlink" Target="https://drive.google.com/open?id=1q5H0nwL5WfTjg5sRuiqgJpV3C23Keti-" TargetMode="External"/><Relationship Id="rId1044" Type="http://schemas.openxmlformats.org/officeDocument/2006/relationships/hyperlink" Target="https://drive.google.com/open?id=1oi1LXu1KZOV0tx9XZojLzQg2oQi8hTau" TargetMode="External"/><Relationship Id="rId2375" Type="http://schemas.openxmlformats.org/officeDocument/2006/relationships/hyperlink" Target="https://www.linkedin.com/in/dhiraj-mandal-573950241" TargetMode="External"/><Relationship Id="rId212" Type="http://schemas.openxmlformats.org/officeDocument/2006/relationships/hyperlink" Target="https://drive.google.com/open?id=1qBwPvWeNncPUG-iW5KLLcaruFYyyXqLP" TargetMode="External"/><Relationship Id="rId1045" Type="http://schemas.openxmlformats.org/officeDocument/2006/relationships/hyperlink" Target="https://www.linkedin.com/in/ajay-mahajan-56a025221" TargetMode="External"/><Relationship Id="rId2376" Type="http://schemas.openxmlformats.org/officeDocument/2006/relationships/hyperlink" Target="https://preskilet.com/watch?v=62a4be11589aee0004d985cf" TargetMode="External"/><Relationship Id="rId211" Type="http://schemas.openxmlformats.org/officeDocument/2006/relationships/hyperlink" Target="https://drive.google.com/open?id=1ceoPcyoAt9f-wb_1cwIJRpuJzIpp6fuV" TargetMode="External"/><Relationship Id="rId1046" Type="http://schemas.openxmlformats.org/officeDocument/2006/relationships/hyperlink" Target="https://drive.google.com/file/d/1CQxTSlHY32NlsihX2BadZUVkwcYyDS5p/view?usp=drivesdk" TargetMode="External"/><Relationship Id="rId2377" Type="http://schemas.openxmlformats.org/officeDocument/2006/relationships/hyperlink" Target="https://drive.google.com/open?id=1SQRk2tf1W-4QgcKueMIdm0H9kORNr5DY" TargetMode="External"/><Relationship Id="rId210" Type="http://schemas.openxmlformats.org/officeDocument/2006/relationships/hyperlink" Target="https://drive.google.com/open?id=1Xqg_h2LfhesJpsOxJqdopEuIErH-9cRZ" TargetMode="External"/><Relationship Id="rId1047" Type="http://schemas.openxmlformats.org/officeDocument/2006/relationships/hyperlink" Target="https://drive.google.com/open?id=1SQNGwnnV5fWplknnnTopseKXyekTI6F_" TargetMode="External"/><Relationship Id="rId2378" Type="http://schemas.openxmlformats.org/officeDocument/2006/relationships/hyperlink" Target="https://drive.google.com/open?id=1X2Py4P1M0J67KxzLyek26n0kt8aE0nIz" TargetMode="External"/><Relationship Id="rId4107" Type="http://schemas.openxmlformats.org/officeDocument/2006/relationships/hyperlink" Target="https://preskilet.com/watch?v=62b55cc2af4f2700045cdda6" TargetMode="External"/><Relationship Id="rId4106" Type="http://schemas.openxmlformats.org/officeDocument/2006/relationships/hyperlink" Target="http://www.linkedin.com/in/saumitra-nashikkar-573689211" TargetMode="External"/><Relationship Id="rId4109" Type="http://schemas.openxmlformats.org/officeDocument/2006/relationships/hyperlink" Target="https://drive.google.com/open?id=1FQnvtCxfNowL98vzsgsSr9L7oD-_aNbr" TargetMode="External"/><Relationship Id="rId4108" Type="http://schemas.openxmlformats.org/officeDocument/2006/relationships/hyperlink" Target="https://drive.google.com/open?id=1skMuXCykaX0ozBaLB_VFCA_V5he-nw9S" TargetMode="External"/><Relationship Id="rId249" Type="http://schemas.openxmlformats.org/officeDocument/2006/relationships/hyperlink" Target="https://drive.google.com/open?id=1L4j7Lx36DgQVc9U1lAixJzhgHiwmrM_5" TargetMode="External"/><Relationship Id="rId248" Type="http://schemas.openxmlformats.org/officeDocument/2006/relationships/hyperlink" Target="https://preskilet.com/watch?v=62b448c730b28000045231e2" TargetMode="External"/><Relationship Id="rId247" Type="http://schemas.openxmlformats.org/officeDocument/2006/relationships/hyperlink" Target="https://www.linkedin.com/in/sakshi-chakkarwar-408b4522b" TargetMode="External"/><Relationship Id="rId1070" Type="http://schemas.openxmlformats.org/officeDocument/2006/relationships/hyperlink" Target="https://drive.google.com/open?id=16cix1BilchxVlkInSzQMSdZmgx5F8jwp" TargetMode="External"/><Relationship Id="rId1071" Type="http://schemas.openxmlformats.org/officeDocument/2006/relationships/hyperlink" Target="https://drive.google.com/open?id=1uHCpqasW2ge17sj49KnqkRmSMPwiAuyG" TargetMode="External"/><Relationship Id="rId1072" Type="http://schemas.openxmlformats.org/officeDocument/2006/relationships/hyperlink" Target="https://drive.google.com/open?id=1K92Oa8bqLQuFpqSdzcAqdm7Jf8XkFOli" TargetMode="External"/><Relationship Id="rId242" Type="http://schemas.openxmlformats.org/officeDocument/2006/relationships/hyperlink" Target="https://drive.google.com/open?id=1-214O-BrUIJ66Le9ItL4Uiuudjd2u24i" TargetMode="External"/><Relationship Id="rId1073" Type="http://schemas.openxmlformats.org/officeDocument/2006/relationships/hyperlink" Target="https://www.linkedin.com/in/shivam-shinde-5428831a8/" TargetMode="External"/><Relationship Id="rId241" Type="http://schemas.openxmlformats.org/officeDocument/2006/relationships/hyperlink" Target="https://drive.google.com/open?id=16dmK5LkwSWtZdvyhFWmya86plKbxb1eT" TargetMode="External"/><Relationship Id="rId1074" Type="http://schemas.openxmlformats.org/officeDocument/2006/relationships/hyperlink" Target="https://preskilet.com/watch?v=62a43908589aee0004d983b6" TargetMode="External"/><Relationship Id="rId240" Type="http://schemas.openxmlformats.org/officeDocument/2006/relationships/hyperlink" Target="https://drive.google.com/open?id=1ethVUoZi89Xx5gtzzsCLmdKrJdvM6-6r" TargetMode="External"/><Relationship Id="rId1075" Type="http://schemas.openxmlformats.org/officeDocument/2006/relationships/hyperlink" Target="https://drive.google.com/open?id=12OFU5i7maKbfihzDKNM0--oPYKW7UcwH" TargetMode="External"/><Relationship Id="rId4101" Type="http://schemas.openxmlformats.org/officeDocument/2006/relationships/hyperlink" Target="https://drive.google.com/open?id=1vd1wbC1FM3ePmCMHvbRxUNuAYzZde5FJ" TargetMode="External"/><Relationship Id="rId1076" Type="http://schemas.openxmlformats.org/officeDocument/2006/relationships/hyperlink" Target="https://drive.google.com/open?id=12tJTpTYrZtGmtqESZrmdd7MwZhWWQYEa" TargetMode="External"/><Relationship Id="rId4100" Type="http://schemas.openxmlformats.org/officeDocument/2006/relationships/hyperlink" Target="https://preskilet.com/rohitwaykos8788@gmail.com" TargetMode="External"/><Relationship Id="rId246" Type="http://schemas.openxmlformats.org/officeDocument/2006/relationships/hyperlink" Target="https://drive.google.com/open?id=1fFtW-87KCbrqYducN_W0_zNhUVl3oIeB" TargetMode="External"/><Relationship Id="rId1077" Type="http://schemas.openxmlformats.org/officeDocument/2006/relationships/hyperlink" Target="https://drive.google.com/open?id=1Rqm4qcWgIYtO9sEEc0kwbAebfc5I4M9M" TargetMode="External"/><Relationship Id="rId4103" Type="http://schemas.openxmlformats.org/officeDocument/2006/relationships/hyperlink" Target="https://drive.google.com/open?id=1vCNdT6ophAGE5XBtbY37zbacV2VEGBsR" TargetMode="External"/><Relationship Id="rId245" Type="http://schemas.openxmlformats.org/officeDocument/2006/relationships/hyperlink" Target="https://drive.google.com/open?id=1Y6BFE0SGSF6Gpb-AA-xBl7DT9FN7GoE4" TargetMode="External"/><Relationship Id="rId1078" Type="http://schemas.openxmlformats.org/officeDocument/2006/relationships/hyperlink" Target="https://drive.google.com/open?id=1GSadcR-LcQyZdsKVw5UAdaPQybvhVbUn" TargetMode="External"/><Relationship Id="rId4102" Type="http://schemas.openxmlformats.org/officeDocument/2006/relationships/hyperlink" Target="https://drive.google.com/open?id=1Xspw5MXg-zuhxM8sxFwNSAC8nijDVPO9" TargetMode="External"/><Relationship Id="rId244" Type="http://schemas.openxmlformats.org/officeDocument/2006/relationships/hyperlink" Target="https://drive.google.com/drive/folders/11yQJi0nEJpZp_JaD8AzOmKtZ2Y7-4D9_?usp=sharing" TargetMode="External"/><Relationship Id="rId1079" Type="http://schemas.openxmlformats.org/officeDocument/2006/relationships/hyperlink" Target="https://drive.google.com/open?id=1BoN895wct7IZq8f9NmTneq9dt9ZEQVoh" TargetMode="External"/><Relationship Id="rId4105" Type="http://schemas.openxmlformats.org/officeDocument/2006/relationships/hyperlink" Target="https://drive.google.com/open?id=1cbHL_kRBqJ4F2rR-kai39eob9lgE3Tsw" TargetMode="External"/><Relationship Id="rId243" Type="http://schemas.openxmlformats.org/officeDocument/2006/relationships/hyperlink" Target="https://www.linkedin.com/in/nanasaheb-dudhal-66b386206/" TargetMode="External"/><Relationship Id="rId4104" Type="http://schemas.openxmlformats.org/officeDocument/2006/relationships/hyperlink" Target="https://drive.google.com/open?id=1XVqZZRsNn7SW9gKL_sJUs0-EocCpyLVE" TargetMode="External"/><Relationship Id="rId239" Type="http://schemas.openxmlformats.org/officeDocument/2006/relationships/hyperlink" Target="https://drive.google.com/open?id=1zO6cvezL7S99QxyQMtTqONMlKYfkeiK7" TargetMode="External"/><Relationship Id="rId238" Type="http://schemas.openxmlformats.org/officeDocument/2006/relationships/hyperlink" Target="https://drive.google.com/open?id=1pDxDPXzfbTU5MGK1l3E2-FsoqGjyy3p1" TargetMode="External"/><Relationship Id="rId237" Type="http://schemas.openxmlformats.org/officeDocument/2006/relationships/hyperlink" Target="https://drive.google.com/open?id=1OOmybMpyJcVCDwAhLaTNoURzhSe8GGC1" TargetMode="External"/><Relationship Id="rId236" Type="http://schemas.openxmlformats.org/officeDocument/2006/relationships/hyperlink" Target="https://preskilet.com/watch?v=62a362b1a6956a00045fff9d" TargetMode="External"/><Relationship Id="rId2390" Type="http://schemas.openxmlformats.org/officeDocument/2006/relationships/hyperlink" Target="https://drive.google.com/open?id=1-5GTBX-Lr5inQXisPPBDpMoGFcGWcaMa" TargetMode="External"/><Relationship Id="rId1060" Type="http://schemas.openxmlformats.org/officeDocument/2006/relationships/hyperlink" Target="https://www.linkedin.com/in/vedant-dawange/" TargetMode="External"/><Relationship Id="rId2391" Type="http://schemas.openxmlformats.org/officeDocument/2006/relationships/hyperlink" Target="https://drive.google.com/open?id=14wnVt359GFRx3z46vbA6_VO788lrU7Al" TargetMode="External"/><Relationship Id="rId1061" Type="http://schemas.openxmlformats.org/officeDocument/2006/relationships/hyperlink" Target="https://preskilet.com/watch?v=6294ba596dfec6000459101b" TargetMode="External"/><Relationship Id="rId2392" Type="http://schemas.openxmlformats.org/officeDocument/2006/relationships/hyperlink" Target="https://drive.google.com/open?id=1kLlEwax-Rx0u_OSU42Lb7oH7W93kPH9s" TargetMode="External"/><Relationship Id="rId231" Type="http://schemas.openxmlformats.org/officeDocument/2006/relationships/hyperlink" Target="https://drive.google.com/open?id=1DPhrxWd-AbSz82WnxOrlHr9KvFF23FD4" TargetMode="External"/><Relationship Id="rId1062" Type="http://schemas.openxmlformats.org/officeDocument/2006/relationships/hyperlink" Target="https://drive.google.com/open?id=1W1kO8NCtrOlKKBm8nkLbHHAn4CpPesSo" TargetMode="External"/><Relationship Id="rId2393" Type="http://schemas.openxmlformats.org/officeDocument/2006/relationships/hyperlink" Target="https://drive.google.com/open?id=13h7jrTo-rcgQIvPoVdGBWVVPCieq-oMc" TargetMode="External"/><Relationship Id="rId230" Type="http://schemas.openxmlformats.org/officeDocument/2006/relationships/hyperlink" Target="https://drive.google.com/open?id=1Y5RDl5fcWjmmCM1qfMHPbHg0HJ0CsOnX" TargetMode="External"/><Relationship Id="rId1063" Type="http://schemas.openxmlformats.org/officeDocument/2006/relationships/hyperlink" Target="https://drive.google.com/open?id=1yUOWywkK78NqNbenwb-vK8ZopAnsI7Pj" TargetMode="External"/><Relationship Id="rId2394" Type="http://schemas.openxmlformats.org/officeDocument/2006/relationships/hyperlink" Target="https://drive.google.com/open?id=1OwMIR_YnllhUMZk-8cTQfxP17a6NnF-F" TargetMode="External"/><Relationship Id="rId1064" Type="http://schemas.openxmlformats.org/officeDocument/2006/relationships/hyperlink" Target="https://drive.google.com/open?id=1Px4t1FMiUW7gPEGyz1tJ3MeOF6kWtcaM" TargetMode="External"/><Relationship Id="rId2395" Type="http://schemas.openxmlformats.org/officeDocument/2006/relationships/hyperlink" Target="https://drive.google.com/open?id=1e1qvJrqVI8M-bafXMpVtuSye4WVXE4pX" TargetMode="External"/><Relationship Id="rId1065" Type="http://schemas.openxmlformats.org/officeDocument/2006/relationships/hyperlink" Target="http://www.linkedin.com/in/sanket-houde-7122b0220" TargetMode="External"/><Relationship Id="rId2396" Type="http://schemas.openxmlformats.org/officeDocument/2006/relationships/hyperlink" Target="https://www.linkedin.com/in/ayush-choudhary-5445081b8" TargetMode="External"/><Relationship Id="rId235" Type="http://schemas.openxmlformats.org/officeDocument/2006/relationships/hyperlink" Target="https://www.linkedin.com/in/mohsin-mansuri-320158173" TargetMode="External"/><Relationship Id="rId1066" Type="http://schemas.openxmlformats.org/officeDocument/2006/relationships/hyperlink" Target="https://preskilet.com/watch?v=62b30288cd590700045fb4ed" TargetMode="External"/><Relationship Id="rId2397" Type="http://schemas.openxmlformats.org/officeDocument/2006/relationships/hyperlink" Target="https://preskilet.com/watch?v=62a387fea6956a000460065c" TargetMode="External"/><Relationship Id="rId234" Type="http://schemas.openxmlformats.org/officeDocument/2006/relationships/hyperlink" Target="https://drive.google.com/open?id=1Oixbv-2MskggiY9auU-I9Punxuv4iKK0" TargetMode="External"/><Relationship Id="rId1067" Type="http://schemas.openxmlformats.org/officeDocument/2006/relationships/hyperlink" Target="https://drive.google.com/open?id=1h_0AI9P59ezm7R2EysuyPVbuPUpaLfRV" TargetMode="External"/><Relationship Id="rId2398" Type="http://schemas.openxmlformats.org/officeDocument/2006/relationships/hyperlink" Target="https://drive.google.com/open?id=1zQn8xOosmPdB1PyQD6pa95qp8wcqc1ko" TargetMode="External"/><Relationship Id="rId233" Type="http://schemas.openxmlformats.org/officeDocument/2006/relationships/hyperlink" Target="https://drive.google.com/open?id=101uxXgzm45UHLy14Z2kMzJYtGDAAuhg_" TargetMode="External"/><Relationship Id="rId1068" Type="http://schemas.openxmlformats.org/officeDocument/2006/relationships/hyperlink" Target="https://drive.google.com/open?id=1Um6tcnGtrHWQE41syUy5DdOm3OMGyMe2" TargetMode="External"/><Relationship Id="rId2399" Type="http://schemas.openxmlformats.org/officeDocument/2006/relationships/hyperlink" Target="https://drive.google.com/open?id=1brW6B44Qh84h6GCdihmmoMJEynSjdv_I" TargetMode="External"/><Relationship Id="rId232" Type="http://schemas.openxmlformats.org/officeDocument/2006/relationships/hyperlink" Target="https://drive.google.com/open?id=1ApHWN4-qjV-wcerRpzHTrx4X_jGghkZT" TargetMode="External"/><Relationship Id="rId1069" Type="http://schemas.openxmlformats.org/officeDocument/2006/relationships/hyperlink" Target="https://drive.google.com/open?id=1vB97LJSOF_EmrcIHU5rc2iKvzYX-4z7X" TargetMode="External"/><Relationship Id="rId1015" Type="http://schemas.openxmlformats.org/officeDocument/2006/relationships/hyperlink" Target="https://drive.google.com/open?id=1_KHv4GM_bmS7aY46G0Ej4HlhdggLImNJ" TargetMode="External"/><Relationship Id="rId2346" Type="http://schemas.openxmlformats.org/officeDocument/2006/relationships/hyperlink" Target="https://drive.google.com/open?id=1Zfu37x-LJC1mj6l84Lzz0mC-fa26WrwT" TargetMode="External"/><Relationship Id="rId3678" Type="http://schemas.openxmlformats.org/officeDocument/2006/relationships/hyperlink" Target="https://drive.google.com/file/d/1g7GL9OS_LcWylxlDzx3NdUDb16l7Y4zG/view?usp=sharing" TargetMode="External"/><Relationship Id="rId1016" Type="http://schemas.openxmlformats.org/officeDocument/2006/relationships/hyperlink" Target="https://drive.google.com/open?id=1u1v3luMiOu-V7FqpPP3VTKXeRCmpUcux" TargetMode="External"/><Relationship Id="rId2347" Type="http://schemas.openxmlformats.org/officeDocument/2006/relationships/hyperlink" Target="https://drive.google.com/open?id=1YLmxoEzOlaEcjFNMZxenmfm5bZtOmHj_" TargetMode="External"/><Relationship Id="rId3677" Type="http://schemas.openxmlformats.org/officeDocument/2006/relationships/hyperlink" Target="https://www.linkedin.com/in/sneha-athawale-19a7a0241" TargetMode="External"/><Relationship Id="rId1017" Type="http://schemas.openxmlformats.org/officeDocument/2006/relationships/hyperlink" Target="https://drive.google.com/open?id=1H37sv-d9N6oBkqnry-cE_140Yq4vPDHa" TargetMode="External"/><Relationship Id="rId2348" Type="http://schemas.openxmlformats.org/officeDocument/2006/relationships/hyperlink" Target="https://drive.google.com/open?id=1W3QfP7sUjknPjcZ3GjTphjkBHMb0pUgn" TargetMode="External"/><Relationship Id="rId1018" Type="http://schemas.openxmlformats.org/officeDocument/2006/relationships/hyperlink" Target="https://drive.google.com/open?id=1-fVtdj7kNrc0pq9gUq_j3sxcVLoDifoS" TargetMode="External"/><Relationship Id="rId2349" Type="http://schemas.openxmlformats.org/officeDocument/2006/relationships/hyperlink" Target="https://drive.google.com/open?id=1xS9hNVNAA9186EuB5fIK_9q1BdTadBBE" TargetMode="External"/><Relationship Id="rId3679" Type="http://schemas.openxmlformats.org/officeDocument/2006/relationships/hyperlink" Target="https://drive.google.com/file/d/1udxNCvSv5zgkEL9pXKdujFzPemxJ57Bt/view?usp=sharing" TargetMode="External"/><Relationship Id="rId1019" Type="http://schemas.openxmlformats.org/officeDocument/2006/relationships/hyperlink" Target="https://drive.google.com/open?id=1djmPLjgMtqJc1N5zI_rq_zkLRCjjB40-" TargetMode="External"/><Relationship Id="rId3670" Type="http://schemas.openxmlformats.org/officeDocument/2006/relationships/hyperlink" Target="https://www.linkedin.com/in/pratiksha-waghamode-39784a241" TargetMode="External"/><Relationship Id="rId2340" Type="http://schemas.openxmlformats.org/officeDocument/2006/relationships/hyperlink" Target="https://drive.google.com/open?id=1twnFz2hSu6GE5UJ6ohiKCXEu056fxZTm" TargetMode="External"/><Relationship Id="rId3672" Type="http://schemas.openxmlformats.org/officeDocument/2006/relationships/hyperlink" Target="https://drive.google.com/open?id=1oKviAtvv6CoCD9ysza9StJ99k8LEL9Se" TargetMode="External"/><Relationship Id="rId1010" Type="http://schemas.openxmlformats.org/officeDocument/2006/relationships/hyperlink" Target="https://www.linkedin.com/in/vaishnavi-13/" TargetMode="External"/><Relationship Id="rId2341" Type="http://schemas.openxmlformats.org/officeDocument/2006/relationships/hyperlink" Target="https://drive.google.com/open?id=1Xhp-Dd3ffE6DmCj5tSRNsDZPXnkt3CLN" TargetMode="External"/><Relationship Id="rId3671" Type="http://schemas.openxmlformats.org/officeDocument/2006/relationships/hyperlink" Target="https://preskilet.com/prwaghamode@mitaoe.ac.in" TargetMode="External"/><Relationship Id="rId1011" Type="http://schemas.openxmlformats.org/officeDocument/2006/relationships/hyperlink" Target="https://preskilet.com/watch?v=62a36f86a6956a000460014f" TargetMode="External"/><Relationship Id="rId2342" Type="http://schemas.openxmlformats.org/officeDocument/2006/relationships/hyperlink" Target="https://drive.google.com/open?id=1ufEn9csr3gE_QbUBvYmzaKDKNdvs-vTG" TargetMode="External"/><Relationship Id="rId3674" Type="http://schemas.openxmlformats.org/officeDocument/2006/relationships/hyperlink" Target="https://drive.google.com/open?id=1lBxnhPQGR8dsQLgfWZO0816axG5vnci7" TargetMode="External"/><Relationship Id="rId1012" Type="http://schemas.openxmlformats.org/officeDocument/2006/relationships/hyperlink" Target="https://drive.google.com/open?id=1_0gcMAb5ZHWzy8eE316PUbBTQo8GfNC5" TargetMode="External"/><Relationship Id="rId2343" Type="http://schemas.openxmlformats.org/officeDocument/2006/relationships/hyperlink" Target="https://drive.google.com/open?id=1Qadvw5ZSlDXMsmkLkuMcavrxQNbXLV8M" TargetMode="External"/><Relationship Id="rId3673" Type="http://schemas.openxmlformats.org/officeDocument/2006/relationships/hyperlink" Target="https://drive.google.com/open?id=1-4r0We4Z4y7AIDd7jSV3iEc1zeAWN8-Q" TargetMode="External"/><Relationship Id="rId1013" Type="http://schemas.openxmlformats.org/officeDocument/2006/relationships/hyperlink" Target="https://drive.google.com/open?id=1uE_ggcx6MFGwKYdSL11Ik_kYz3va03We" TargetMode="External"/><Relationship Id="rId2344" Type="http://schemas.openxmlformats.org/officeDocument/2006/relationships/hyperlink" Target="https://drive.google.com/open?id=10HeXKNEWMHui2gOYekqTBTcnKyBnLYRu" TargetMode="External"/><Relationship Id="rId3676" Type="http://schemas.openxmlformats.org/officeDocument/2006/relationships/hyperlink" Target="https://drive.google.com/open?id=1_FA8zDGHdN50O5fZqzkaQRA0ubA7o1bN" TargetMode="External"/><Relationship Id="rId1014" Type="http://schemas.openxmlformats.org/officeDocument/2006/relationships/hyperlink" Target="https://drive.google.com/open?id=1nyTSoJKyCTC6DabFxhWvbeVfWREpMyTB" TargetMode="External"/><Relationship Id="rId2345" Type="http://schemas.openxmlformats.org/officeDocument/2006/relationships/hyperlink" Target="https://drive.google.com/open?id=1RAuVoGDYuC-TDWc21iw1BgRuhep9pdly" TargetMode="External"/><Relationship Id="rId3675" Type="http://schemas.openxmlformats.org/officeDocument/2006/relationships/hyperlink" Target="https://drive.google.com/open?id=1T_kEPaDQh2KOFmi8_KHgXHTUFeQcxm5h" TargetMode="External"/><Relationship Id="rId1004" Type="http://schemas.openxmlformats.org/officeDocument/2006/relationships/hyperlink" Target="https://drive.google.com/drive/folders/1Mr4wbbpKM0eb_QzPBMGSWSl4dFYWxp6w?usp=sharing" TargetMode="External"/><Relationship Id="rId2335" Type="http://schemas.openxmlformats.org/officeDocument/2006/relationships/hyperlink" Target="https://drive.google.com/open?id=1vbI7EJj7YNosbc9pM9Lev1Rq7Oj8DBbR" TargetMode="External"/><Relationship Id="rId3667" Type="http://schemas.openxmlformats.org/officeDocument/2006/relationships/hyperlink" Target="https://drive.google.com/open?id=1N0JwXu_zW84xgCr0bVoLVvCOoz9OYCul" TargetMode="External"/><Relationship Id="rId4998" Type="http://schemas.openxmlformats.org/officeDocument/2006/relationships/hyperlink" Target="https://www.linkedin.com/in/sushant-gawde-2a0b0120a" TargetMode="External"/><Relationship Id="rId1005" Type="http://schemas.openxmlformats.org/officeDocument/2006/relationships/hyperlink" Target="https://drive.google.com/open?id=13Dzj1-5Oozqk6bgEY2nxA5gwkpz24OQL" TargetMode="External"/><Relationship Id="rId2336" Type="http://schemas.openxmlformats.org/officeDocument/2006/relationships/hyperlink" Target="https://drive.google.com/open?id=1TjGKuUG9eczVQVcfqARidO9KO7730lLk" TargetMode="External"/><Relationship Id="rId3666" Type="http://schemas.openxmlformats.org/officeDocument/2006/relationships/hyperlink" Target="https://drive.google.com/open?id=1wKw_wi3fmfB9RR2vIxfxkM5MNxTalO3s" TargetMode="External"/><Relationship Id="rId4997" Type="http://schemas.openxmlformats.org/officeDocument/2006/relationships/hyperlink" Target="https://drive.google.com/open?id=1inHMco2ghCaZdmvLt_PrPBPOU_aLlSsO" TargetMode="External"/><Relationship Id="rId1006" Type="http://schemas.openxmlformats.org/officeDocument/2006/relationships/hyperlink" Target="https://drive.google.com/open?id=1OjPH2u5oE5C2IFTEaJGC2w124bdRhvY5" TargetMode="External"/><Relationship Id="rId2337" Type="http://schemas.openxmlformats.org/officeDocument/2006/relationships/hyperlink" Target="https://www.linkedin.com/in/piyush-walde-429850241" TargetMode="External"/><Relationship Id="rId3669" Type="http://schemas.openxmlformats.org/officeDocument/2006/relationships/hyperlink" Target="https://drive.google.com/open?id=13IKpYYNWNR8AWaf3GEK6Bz82fvclG6jg" TargetMode="External"/><Relationship Id="rId1007" Type="http://schemas.openxmlformats.org/officeDocument/2006/relationships/hyperlink" Target="https://drive.google.com/open?id=1XXXkMigQbrACFazAWXjLRG6VcsQnEYCu" TargetMode="External"/><Relationship Id="rId2338" Type="http://schemas.openxmlformats.org/officeDocument/2006/relationships/hyperlink" Target="https://preskilet.com/watch?v=62a38acba6956a000460070e" TargetMode="External"/><Relationship Id="rId3668" Type="http://schemas.openxmlformats.org/officeDocument/2006/relationships/hyperlink" Target="https://drive.google.com/open?id=1KStqlz0qqXZR1H9gCIbFnijWo8chduWa" TargetMode="External"/><Relationship Id="rId4999" Type="http://schemas.openxmlformats.org/officeDocument/2006/relationships/hyperlink" Target="https://www.linkedin.com/in/sushant-gawde-2a0b0120a" TargetMode="External"/><Relationship Id="rId1008" Type="http://schemas.openxmlformats.org/officeDocument/2006/relationships/hyperlink" Target="https://drive.google.com/open?id=183RMsyJygjlBAv5NLPh-hlNp74HGzNrF" TargetMode="External"/><Relationship Id="rId2339" Type="http://schemas.openxmlformats.org/officeDocument/2006/relationships/hyperlink" Target="https://drive.google.com/open?id=1I-RVvKLZeGh24bf-1fuiWY3VLzUNkLdh" TargetMode="External"/><Relationship Id="rId1009" Type="http://schemas.openxmlformats.org/officeDocument/2006/relationships/hyperlink" Target="https://drive.google.com/open?id=1DWmRHBZOPcY2O4uJpMdaAUg4Tun-eg7V" TargetMode="External"/><Relationship Id="rId4990" Type="http://schemas.openxmlformats.org/officeDocument/2006/relationships/hyperlink" Target="https://drive.google.com/open?id=1mXlF0MD4JOMSb8hCrv8Gs6U-aI7nhhyC" TargetMode="External"/><Relationship Id="rId3661" Type="http://schemas.openxmlformats.org/officeDocument/2006/relationships/hyperlink" Target="https://drive.google.com/open?id=1zH4MVPHXaW6h1Q4itkozdoXP4PHVUUhu" TargetMode="External"/><Relationship Id="rId4992" Type="http://schemas.openxmlformats.org/officeDocument/2006/relationships/hyperlink" Target="https://www.linkedin.com/in/shreya-gaikwad-aai14" TargetMode="External"/><Relationship Id="rId2330" Type="http://schemas.openxmlformats.org/officeDocument/2006/relationships/hyperlink" Target="http://www.linkedin.com/in/akshata-bhosle-a82a52235" TargetMode="External"/><Relationship Id="rId3660" Type="http://schemas.openxmlformats.org/officeDocument/2006/relationships/hyperlink" Target="https://drive.google.com/open?id=1DEBkQ9boziDY7iX3kW6fQqromOS3uJgY" TargetMode="External"/><Relationship Id="rId4991" Type="http://schemas.openxmlformats.org/officeDocument/2006/relationships/hyperlink" Target="https://drive.google.com/open?id=1GdLMYsAAqdtffnwuQPrElck2ZZ0H-jHd" TargetMode="External"/><Relationship Id="rId1000" Type="http://schemas.openxmlformats.org/officeDocument/2006/relationships/hyperlink" Target="https://drive.google.com/open?id=1VC7woE0zXIUHLx2pLuIrpGaL7j15goLD" TargetMode="External"/><Relationship Id="rId2331" Type="http://schemas.openxmlformats.org/officeDocument/2006/relationships/hyperlink" Target="https://preskilet.com/watch?v=62b540edaf4f2700045cda15" TargetMode="External"/><Relationship Id="rId3663" Type="http://schemas.openxmlformats.org/officeDocument/2006/relationships/hyperlink" Target="https://drive.google.com/file/d/1pTg3w3GK3J3eQCPpJijWPajOj9kpg2oJ/view?usp=sharing" TargetMode="External"/><Relationship Id="rId4994" Type="http://schemas.openxmlformats.org/officeDocument/2006/relationships/hyperlink" Target="https://drive.google.com/open?id=1evO7sz656VbKEY1Fm48ZAt20g2Mphe0U" TargetMode="External"/><Relationship Id="rId1001" Type="http://schemas.openxmlformats.org/officeDocument/2006/relationships/hyperlink" Target="https://drive.google.com/open?id=10gm1EZCmzopMZPaZoD__Bt2BRYaageVc" TargetMode="External"/><Relationship Id="rId2332" Type="http://schemas.openxmlformats.org/officeDocument/2006/relationships/hyperlink" Target="https://drive.google.com/open?id=1R6QREU_1oG0nmZCpvj2Fs_bWwpfnfNQf" TargetMode="External"/><Relationship Id="rId3662" Type="http://schemas.openxmlformats.org/officeDocument/2006/relationships/hyperlink" Target="https://www.linkedin.com/in/manikumar-chavhan-1565041b4" TargetMode="External"/><Relationship Id="rId4993" Type="http://schemas.openxmlformats.org/officeDocument/2006/relationships/hyperlink" Target="https://drive.google.com/drive/folders/1FaaVeKws0VK4skXsbwleIIOkpZawXhoY" TargetMode="External"/><Relationship Id="rId1002" Type="http://schemas.openxmlformats.org/officeDocument/2006/relationships/hyperlink" Target="https://drive.google.com/open?id=1f71IA10rJGhpgB1oQHf0cSr8pT3J0PsL" TargetMode="External"/><Relationship Id="rId2333" Type="http://schemas.openxmlformats.org/officeDocument/2006/relationships/hyperlink" Target="https://drive.google.com/open?id=1hPnee9mZKN8EZbdR_Cm41QScN-9tdFsJ" TargetMode="External"/><Relationship Id="rId3665" Type="http://schemas.openxmlformats.org/officeDocument/2006/relationships/hyperlink" Target="https://drive.google.com/open?id=1sUsyT0pei9ZGHkAO930yw3ojYnLmCP25" TargetMode="External"/><Relationship Id="rId4996" Type="http://schemas.openxmlformats.org/officeDocument/2006/relationships/hyperlink" Target="https://drive.google.com/open?id=1-qeCMignZLz3Ua3NXTm9edMsD9yaRqwe" TargetMode="External"/><Relationship Id="rId1003" Type="http://schemas.openxmlformats.org/officeDocument/2006/relationships/hyperlink" Target="https://www.linkedin.com/in/dhiraj-komb-725329157" TargetMode="External"/><Relationship Id="rId2334" Type="http://schemas.openxmlformats.org/officeDocument/2006/relationships/hyperlink" Target="https://drive.google.com/open?id=19OGhrrsN12-sjG4M8BgL6OhPvmzyb-Y4" TargetMode="External"/><Relationship Id="rId3664" Type="http://schemas.openxmlformats.org/officeDocument/2006/relationships/hyperlink" Target="https://drive.google.com/open?id=1CSsBM7XVS5lMjdeb4DEeRQjSpINC4mcu" TargetMode="External"/><Relationship Id="rId4995" Type="http://schemas.openxmlformats.org/officeDocument/2006/relationships/hyperlink" Target="https://drive.google.com/open?id=1b3nTjJf6OR6vBB2exTWCHDq_T4Qu1rsl" TargetMode="External"/><Relationship Id="rId1037" Type="http://schemas.openxmlformats.org/officeDocument/2006/relationships/hyperlink" Target="https://drive.google.com/open?id=1BaHdAqbDN5boHXixqHkMqkkwCM7MkS7a" TargetMode="External"/><Relationship Id="rId2368" Type="http://schemas.openxmlformats.org/officeDocument/2006/relationships/hyperlink" Target="https://www.linkedin.com/in/anup-narkhede-3291211ab/" TargetMode="External"/><Relationship Id="rId1038" Type="http://schemas.openxmlformats.org/officeDocument/2006/relationships/hyperlink" Target="https://drive.google.com/open?id=1ujzHZ_pnFnmvaZxFeohGN6GVVTf7q8BU" TargetMode="External"/><Relationship Id="rId2369" Type="http://schemas.openxmlformats.org/officeDocument/2006/relationships/hyperlink" Target="https://preskilet.com/watch?v=62a38eb1a6956a0004600835" TargetMode="External"/><Relationship Id="rId3699" Type="http://schemas.openxmlformats.org/officeDocument/2006/relationships/hyperlink" Target="https://drive.google.com/open?id=12jsNZ-z1nfc5IB9_BI6IBxVSbQdlijW1" TargetMode="External"/><Relationship Id="rId1039" Type="http://schemas.openxmlformats.org/officeDocument/2006/relationships/hyperlink" Target="https://drive.google.com/open?id=1TzSgLR17RON3RASWUhMe1mkBQw3BzCjA" TargetMode="External"/><Relationship Id="rId206" Type="http://schemas.openxmlformats.org/officeDocument/2006/relationships/hyperlink" Target="https://drive.google.com/open?id=1nTiluRPy-cFwvWH2MYsZDzeQCDtASUXv" TargetMode="External"/><Relationship Id="rId205" Type="http://schemas.openxmlformats.org/officeDocument/2006/relationships/hyperlink" Target="https://drive.google.com/open?id=1SSGUgEmMSpp4HG7jeP2MJLhxS3yPyKdp" TargetMode="External"/><Relationship Id="rId204" Type="http://schemas.openxmlformats.org/officeDocument/2006/relationships/hyperlink" Target="https://drive.google.com/open?id=1LDXL77oHMOzI71Fa5ucwEMdfk8oDxa9-" TargetMode="External"/><Relationship Id="rId203" Type="http://schemas.openxmlformats.org/officeDocument/2006/relationships/hyperlink" Target="https://drive.google.com/open?id=1owPTUNZGwJh4uyyJQc9BpXi6givWw2cC" TargetMode="External"/><Relationship Id="rId209" Type="http://schemas.openxmlformats.org/officeDocument/2006/relationships/hyperlink" Target="https://drive.google.com/open?id=1mCEFKu7KhE-TwdCjcXbB2KkeyNCXAFjY" TargetMode="External"/><Relationship Id="rId208" Type="http://schemas.openxmlformats.org/officeDocument/2006/relationships/hyperlink" Target="https://preskilet.com/watch?v=62bd2fa89535010004fd238b" TargetMode="External"/><Relationship Id="rId3690" Type="http://schemas.openxmlformats.org/officeDocument/2006/relationships/hyperlink" Target="https://drive.google.com/open?id=1dUKn3E-2EpTDmT2UPF6pXMmfhLLAScjl" TargetMode="External"/><Relationship Id="rId207" Type="http://schemas.openxmlformats.org/officeDocument/2006/relationships/hyperlink" Target="https://www.linkedin.com/in/sharad-chavhan-98a728235" TargetMode="External"/><Relationship Id="rId2360" Type="http://schemas.openxmlformats.org/officeDocument/2006/relationships/hyperlink" Target="https://preskilet.com/watch?v=62a398bca6956a00046009c2" TargetMode="External"/><Relationship Id="rId3692" Type="http://schemas.openxmlformats.org/officeDocument/2006/relationships/hyperlink" Target="https://drive.google.com/open?id=12Yr9lWosKuDy3AidmwTzOYylv7Vys5oA" TargetMode="External"/><Relationship Id="rId1030" Type="http://schemas.openxmlformats.org/officeDocument/2006/relationships/hyperlink" Target="https://drive.google.com/open?id=1FJtAoO3KE4JlL5npYn_tbFpO-5-hU3lY" TargetMode="External"/><Relationship Id="rId2361" Type="http://schemas.openxmlformats.org/officeDocument/2006/relationships/hyperlink" Target="https://drive.google.com/open?id=1vM1ArhMelZ9bYtAhR64JcytYuMkhq0gU" TargetMode="External"/><Relationship Id="rId3691" Type="http://schemas.openxmlformats.org/officeDocument/2006/relationships/hyperlink" Target="https://drive.google.com/open?id=1nZiWaXMMPvSDW35ZrQeoZHmXtfZRZ8um" TargetMode="External"/><Relationship Id="rId1031" Type="http://schemas.openxmlformats.org/officeDocument/2006/relationships/hyperlink" Target="https://drive.google.com/open?id=1AH9CpHe4P0EQS13VuNOZLxgtJLf61SMJ" TargetMode="External"/><Relationship Id="rId2362" Type="http://schemas.openxmlformats.org/officeDocument/2006/relationships/hyperlink" Target="https://drive.google.com/open?id=1WvhbjeO1RNP2ap527D1Z4uQHrElK3AHq" TargetMode="External"/><Relationship Id="rId3694" Type="http://schemas.openxmlformats.org/officeDocument/2006/relationships/hyperlink" Target="https://drive.google.com/open?id=12TTNH2Y1F7X6JVjxG3vPEVyTuEW53job" TargetMode="External"/><Relationship Id="rId1032" Type="http://schemas.openxmlformats.org/officeDocument/2006/relationships/hyperlink" Target="https://www.linkedin.com/in/aditya-bedre-54084b241" TargetMode="External"/><Relationship Id="rId2363" Type="http://schemas.openxmlformats.org/officeDocument/2006/relationships/hyperlink" Target="https://drive.google.com/open?id=1sBaQ2I6jPXEVjDye17qe_xvOm60gdDTh" TargetMode="External"/><Relationship Id="rId3693" Type="http://schemas.openxmlformats.org/officeDocument/2006/relationships/hyperlink" Target="https://drive.google.com/open?id=187cSpAyndV5rYitNzedLsyoxLoNQWzUy" TargetMode="External"/><Relationship Id="rId202" Type="http://schemas.openxmlformats.org/officeDocument/2006/relationships/hyperlink" Target="https://drive.google.com/open?id=1vacXklrt7A4iytL8EQMXst6MLl6TdNkT" TargetMode="External"/><Relationship Id="rId1033" Type="http://schemas.openxmlformats.org/officeDocument/2006/relationships/hyperlink" Target="https://preskilet.com/watch?v=62a3849da6956a00046005af" TargetMode="External"/><Relationship Id="rId2364" Type="http://schemas.openxmlformats.org/officeDocument/2006/relationships/hyperlink" Target="https://drive.google.com/open?id=17HsrJj-QkD7g-HQeKQA5PvGXt4gpNt6F" TargetMode="External"/><Relationship Id="rId3696" Type="http://schemas.openxmlformats.org/officeDocument/2006/relationships/hyperlink" Target="https://preskilet.com/watch?v=62a3183da6956a00045ff8c3" TargetMode="External"/><Relationship Id="rId201" Type="http://schemas.openxmlformats.org/officeDocument/2006/relationships/hyperlink" Target="https://preskilet.com/62bbf38437f0b4000476cfea" TargetMode="External"/><Relationship Id="rId1034" Type="http://schemas.openxmlformats.org/officeDocument/2006/relationships/hyperlink" Target="https://drive.google.com/open?id=1edP4NWhpLwhTrxT6ypPksoiwEGeTam39" TargetMode="External"/><Relationship Id="rId2365" Type="http://schemas.openxmlformats.org/officeDocument/2006/relationships/hyperlink" Target="https://drive.google.com/open?id=1DWcQxkZqJG83-dPa3_X0za4RV9QwvFlg" TargetMode="External"/><Relationship Id="rId3695" Type="http://schemas.openxmlformats.org/officeDocument/2006/relationships/hyperlink" Target="http://www.linkedin.com/in/kalyani-shirode-9a431b235" TargetMode="External"/><Relationship Id="rId200" Type="http://schemas.openxmlformats.org/officeDocument/2006/relationships/hyperlink" Target="https://www.linkedin.com/in/omkar-mahale-a207a21b5/" TargetMode="External"/><Relationship Id="rId1035" Type="http://schemas.openxmlformats.org/officeDocument/2006/relationships/hyperlink" Target="https://drive.google.com/open?id=1ntTcN5jNWA_5LOgaijWPXXA0kcJa0_I5" TargetMode="External"/><Relationship Id="rId2366" Type="http://schemas.openxmlformats.org/officeDocument/2006/relationships/hyperlink" Target="https://drive.google.com/open?id=1z2mwAkAGqPL83Akj3YpAq7xoiKRLVPpb" TargetMode="External"/><Relationship Id="rId3698" Type="http://schemas.openxmlformats.org/officeDocument/2006/relationships/hyperlink" Target="https://drive.google.com/open?id=1eLvafh8GUl_2kZj4mqF2ULLNMniOb08J" TargetMode="External"/><Relationship Id="rId1036" Type="http://schemas.openxmlformats.org/officeDocument/2006/relationships/hyperlink" Target="https://drive.google.com/open?id=1geudoPJCQRKIbF74z6wx6AFLRn31myRJ" TargetMode="External"/><Relationship Id="rId2367" Type="http://schemas.openxmlformats.org/officeDocument/2006/relationships/hyperlink" Target="https://drive.google.com/open?id=1fCR8CiwfS_LU8ZnVafEE1pzNM8f_ArYx" TargetMode="External"/><Relationship Id="rId3697" Type="http://schemas.openxmlformats.org/officeDocument/2006/relationships/hyperlink" Target="https://drive.google.com/open?id=1-PaxjBEUOUA4qWHZ-j38tRsuEAzMybzr" TargetMode="External"/><Relationship Id="rId1026" Type="http://schemas.openxmlformats.org/officeDocument/2006/relationships/hyperlink" Target="https://drive.google.com/open?id=1Ir_b17PvmLVxfS7tLYUv4azSN3bYs5qP" TargetMode="External"/><Relationship Id="rId2357" Type="http://schemas.openxmlformats.org/officeDocument/2006/relationships/hyperlink" Target="https://drive.google.com/open?id=1I6OchFodM88EV3JrDAdeqYQMAtlsdX-k" TargetMode="External"/><Relationship Id="rId3689" Type="http://schemas.openxmlformats.org/officeDocument/2006/relationships/hyperlink" Target="https://drive.google.com/open?id=1PSzO1RN_NIqweL4KSvB1ydKYD7BZuLmi" TargetMode="External"/><Relationship Id="rId1027" Type="http://schemas.openxmlformats.org/officeDocument/2006/relationships/hyperlink" Target="https://drive.google.com/open?id=1_VWXXFP9ye31iqC3KmIe1t9kdslP5RYn" TargetMode="External"/><Relationship Id="rId2358" Type="http://schemas.openxmlformats.org/officeDocument/2006/relationships/hyperlink" Target="https://drive.google.com/open?id=1TvErzqSoCKX_rIVTFWYJOAm8T0r_CzK3" TargetMode="External"/><Relationship Id="rId3688" Type="http://schemas.openxmlformats.org/officeDocument/2006/relationships/hyperlink" Target="https://preskilet.com/watch?v=62a2ff44a6956a00045ff633" TargetMode="External"/><Relationship Id="rId1028" Type="http://schemas.openxmlformats.org/officeDocument/2006/relationships/hyperlink" Target="https://drive.google.com/open?id=1OqVeS_aA0X4CzRTmcwrBxpCFrkCW0aT1" TargetMode="External"/><Relationship Id="rId2359" Type="http://schemas.openxmlformats.org/officeDocument/2006/relationships/hyperlink" Target="https://www.linkedin.com/in/tejas-sangale-9b735b1a6" TargetMode="External"/><Relationship Id="rId1029" Type="http://schemas.openxmlformats.org/officeDocument/2006/relationships/hyperlink" Target="https://drive.google.com/open?id=1pdEaK3A4g_6R46Q1eYdVr4p9MNpkLgTm" TargetMode="External"/><Relationship Id="rId3681" Type="http://schemas.openxmlformats.org/officeDocument/2006/relationships/hyperlink" Target="https://drive.google.com/open?id=1wQoaNHaf-F6yE0-EqqJLiQqAVSkgaR9-" TargetMode="External"/><Relationship Id="rId2350" Type="http://schemas.openxmlformats.org/officeDocument/2006/relationships/hyperlink" Target="https://www.linkedin.com/in/aniket-dhote-5067a1241" TargetMode="External"/><Relationship Id="rId3680" Type="http://schemas.openxmlformats.org/officeDocument/2006/relationships/hyperlink" Target="https://drive.google.com/file/d/1Ynm3zMTH6Jaa1SpoqstiEBsL70OitoV_/view?usp=sharing" TargetMode="External"/><Relationship Id="rId1020" Type="http://schemas.openxmlformats.org/officeDocument/2006/relationships/hyperlink" Target="https://drive.google.com/open?id=15IeAA1pDlCIdesj2rghCt9yC3_Dl3mrZ" TargetMode="External"/><Relationship Id="rId2351" Type="http://schemas.openxmlformats.org/officeDocument/2006/relationships/hyperlink" Target="https://preskilet.com/watch?v=62a38c7fa6956a00046007b1" TargetMode="External"/><Relationship Id="rId3683" Type="http://schemas.openxmlformats.org/officeDocument/2006/relationships/hyperlink" Target="https://drive.google.com/open?id=1dhhloASTwV6cfZcbljIodi1l7J1gkv6F" TargetMode="External"/><Relationship Id="rId1021" Type="http://schemas.openxmlformats.org/officeDocument/2006/relationships/hyperlink" Target="https://drive.google.com/open?id=1bOj3DiQD8aRC4ZBgoFepGTD3Yy08akJS" TargetMode="External"/><Relationship Id="rId2352" Type="http://schemas.openxmlformats.org/officeDocument/2006/relationships/hyperlink" Target="https://drive.google.com/open?id=1CmcFpAmccfQ0iJpDBuy0H_UQQODLwO2p" TargetMode="External"/><Relationship Id="rId3682" Type="http://schemas.openxmlformats.org/officeDocument/2006/relationships/hyperlink" Target="https://drive.google.com/open?id=1gSNe2tnQcJYdbq2SlKqfZS6dt6L8Y0py" TargetMode="External"/><Relationship Id="rId1022" Type="http://schemas.openxmlformats.org/officeDocument/2006/relationships/hyperlink" Target="https://drive.google.com/open?id=1mj2icE06liuDFuXUOOPjanxvma49YNaG" TargetMode="External"/><Relationship Id="rId2353" Type="http://schemas.openxmlformats.org/officeDocument/2006/relationships/hyperlink" Target="https://drive.google.com/open?id=1hl9QQ0cKPgQjv-RPhgK96VYMhtPmovEk" TargetMode="External"/><Relationship Id="rId3685" Type="http://schemas.openxmlformats.org/officeDocument/2006/relationships/hyperlink" Target="https://drive.google.com/open?id=1eSMLRWpR4ra8bZrRRdWbM0Q-Ltjj1BHY" TargetMode="External"/><Relationship Id="rId1023" Type="http://schemas.openxmlformats.org/officeDocument/2006/relationships/hyperlink" Target="http://www.linkedin.com/in/kaushikbhadane-724283211" TargetMode="External"/><Relationship Id="rId2354" Type="http://schemas.openxmlformats.org/officeDocument/2006/relationships/hyperlink" Target="https://drive.google.com/open?id=1CJZJR-0PBE3-GAhZnc6A8KxntfBp2nXN" TargetMode="External"/><Relationship Id="rId3684" Type="http://schemas.openxmlformats.org/officeDocument/2006/relationships/hyperlink" Target="https://drive.google.com/open?id=1tj_YsKtKuzy-lviHYHy0T1LR0I26yJqF" TargetMode="External"/><Relationship Id="rId1024" Type="http://schemas.openxmlformats.org/officeDocument/2006/relationships/hyperlink" Target="https://preskilet.com/krbhadane@mitaoe.ac.in" TargetMode="External"/><Relationship Id="rId2355" Type="http://schemas.openxmlformats.org/officeDocument/2006/relationships/hyperlink" Target="https://drive.google.com/open?id=1clHmXA83Mnzxt2pT7n3sZLvO5iHx2ZJ3" TargetMode="External"/><Relationship Id="rId3687" Type="http://schemas.openxmlformats.org/officeDocument/2006/relationships/hyperlink" Target="https://www.linkedin.com/in/yogesh-metkari-846b43234" TargetMode="External"/><Relationship Id="rId1025" Type="http://schemas.openxmlformats.org/officeDocument/2006/relationships/hyperlink" Target="https://drive.google.com/open?id=1Iea8V1mZDeydMt3nm6SQ_khsYVIAPFtA" TargetMode="External"/><Relationship Id="rId2356" Type="http://schemas.openxmlformats.org/officeDocument/2006/relationships/hyperlink" Target="https://drive.google.com/open?id=1y6jmcwbAVzrj7RXXDK7et65eVwQLE8f7" TargetMode="External"/><Relationship Id="rId3686" Type="http://schemas.openxmlformats.org/officeDocument/2006/relationships/hyperlink" Target="https://drive.google.com/open?id=1DlZt1IZ2fpyrUFw9pckObxBJlWHONUul" TargetMode="External"/><Relationship Id="rId4161" Type="http://schemas.openxmlformats.org/officeDocument/2006/relationships/hyperlink" Target="https://preskilet.com/watch?v=62a3477ea6956a00045ffd93" TargetMode="External"/><Relationship Id="rId4160" Type="http://schemas.openxmlformats.org/officeDocument/2006/relationships/hyperlink" Target="https://www.linkedin.com/in/soham77/" TargetMode="External"/><Relationship Id="rId4163" Type="http://schemas.openxmlformats.org/officeDocument/2006/relationships/hyperlink" Target="https://drive.google.com/open?id=1sr5CXrMclONZ2E5v6rnafu7oJNCnFyXC" TargetMode="External"/><Relationship Id="rId4162" Type="http://schemas.openxmlformats.org/officeDocument/2006/relationships/hyperlink" Target="https://drive.google.com/open?id=1Ep9uIdvq_AGbuW6J7vgXLM03cu4bfNKY" TargetMode="External"/><Relationship Id="rId4165" Type="http://schemas.openxmlformats.org/officeDocument/2006/relationships/hyperlink" Target="https://drive.google.com/open?id=1cB6qd5oQtBvCgp43mtZYvqFr1To4Rj76" TargetMode="External"/><Relationship Id="rId4164" Type="http://schemas.openxmlformats.org/officeDocument/2006/relationships/hyperlink" Target="https://drive.google.com/open?id=1_9wn5epCXkfmuRKnCL3wyJ8H-puOZq5P" TargetMode="External"/><Relationship Id="rId4167" Type="http://schemas.openxmlformats.org/officeDocument/2006/relationships/hyperlink" Target="https://www.linkedin.com/public-profile/settings" TargetMode="External"/><Relationship Id="rId4166" Type="http://schemas.openxmlformats.org/officeDocument/2006/relationships/hyperlink" Target="https://drive.google.com/open?id=1EiUxVXex4qQZjUpvDyAPDRtqNabfLqM3" TargetMode="External"/><Relationship Id="rId4169" Type="http://schemas.openxmlformats.org/officeDocument/2006/relationships/hyperlink" Target="https://drive.google.com/open?id=10Qp-DPvREPCeQy5s3m-156vDkvr0UhBG" TargetMode="External"/><Relationship Id="rId4168" Type="http://schemas.openxmlformats.org/officeDocument/2006/relationships/hyperlink" Target="https://preskilet.com/mschavan@mitaoe.ac.in" TargetMode="External"/><Relationship Id="rId4150" Type="http://schemas.openxmlformats.org/officeDocument/2006/relationships/hyperlink" Target="https://drive.google.com/open?id=1Y2pr8RvzCR8VHgRo_vapPQZHP8g_jNvR" TargetMode="External"/><Relationship Id="rId4152" Type="http://schemas.openxmlformats.org/officeDocument/2006/relationships/hyperlink" Target="https://drive.google.com/open?id=1BBRhpQ6dtdjzKMeWPWzHoh3QoOhbUB3l" TargetMode="External"/><Relationship Id="rId4151" Type="http://schemas.openxmlformats.org/officeDocument/2006/relationships/hyperlink" Target="https://drive.google.com/open?id=122b5RedvQn0Ud0QqCOvqLbThGDYTaYoz" TargetMode="External"/><Relationship Id="rId4154" Type="http://schemas.openxmlformats.org/officeDocument/2006/relationships/hyperlink" Target="https://drive.google.com/open?id=1s70IMmq2Z7nYgpCTix9cqDgPu7FG4Umf" TargetMode="External"/><Relationship Id="rId4153" Type="http://schemas.openxmlformats.org/officeDocument/2006/relationships/hyperlink" Target="https://drive.google.com/open?id=1RhZUmlHxn6ay-bPRdq5p741JEJVN_XO4" TargetMode="External"/><Relationship Id="rId4156" Type="http://schemas.openxmlformats.org/officeDocument/2006/relationships/hyperlink" Target="https://preskilet.com/watch?v=62bdeac79535010004fd2ca8" TargetMode="External"/><Relationship Id="rId4155" Type="http://schemas.openxmlformats.org/officeDocument/2006/relationships/hyperlink" Target="https://www.linkedin.com/in/rohan-nikam-973045214" TargetMode="External"/><Relationship Id="rId4158" Type="http://schemas.openxmlformats.org/officeDocument/2006/relationships/hyperlink" Target="https://drive.google.com/open?id=1fs-gD99GIAFXTzCm3O5mto2hx0nSdFFn" TargetMode="External"/><Relationship Id="rId4157" Type="http://schemas.openxmlformats.org/officeDocument/2006/relationships/hyperlink" Target="https://drive.google.com/open?id=1iIptalo1rqBoImoJDtqoML9J2NfpiqHW" TargetMode="External"/><Relationship Id="rId4159" Type="http://schemas.openxmlformats.org/officeDocument/2006/relationships/hyperlink" Target="https://drive.google.com/open?id=1s1Jqfgf8Boh9F4DArM3RWwzy53hFRiFu" TargetMode="External"/><Relationship Id="rId1910" Type="http://schemas.openxmlformats.org/officeDocument/2006/relationships/hyperlink" Target="https://drive.google.com/open?id=12bPEMaD59pFPS-WApiltUP-HqiC-Mhyz" TargetMode="External"/><Relationship Id="rId1911" Type="http://schemas.openxmlformats.org/officeDocument/2006/relationships/hyperlink" Target="https://drive.google.com/open?id=1S1RSU0iwS1oaOYFMlmtJdyUKHOwHSJux" TargetMode="External"/><Relationship Id="rId1912" Type="http://schemas.openxmlformats.org/officeDocument/2006/relationships/hyperlink" Target="https://www.linkedin.com/in/saumy-band-1aa29a219/" TargetMode="External"/><Relationship Id="rId1913" Type="http://schemas.openxmlformats.org/officeDocument/2006/relationships/hyperlink" Target="https://preskilet.com/watch?v=62b4318230b280000452312a" TargetMode="External"/><Relationship Id="rId1914" Type="http://schemas.openxmlformats.org/officeDocument/2006/relationships/hyperlink" Target="https://drive.google.com/open?id=11c35ZaPkrYq9_e8vTIvWdpxWxyCRgi17" TargetMode="External"/><Relationship Id="rId1915" Type="http://schemas.openxmlformats.org/officeDocument/2006/relationships/hyperlink" Target="https://drive.google.com/open?id=1jzL_He5vxng2XvukxV5Ac_c7yLrn53Ln" TargetMode="External"/><Relationship Id="rId1916" Type="http://schemas.openxmlformats.org/officeDocument/2006/relationships/hyperlink" Target="https://drive.google.com/open?id=1yGxmi9aUX0TouCCOkh1tvrqMZjoUxvMz" TargetMode="External"/><Relationship Id="rId1917" Type="http://schemas.openxmlformats.org/officeDocument/2006/relationships/hyperlink" Target="https://drive.google.com/open?id=1E7yikK9M1MtADW5UR5i16SAAftRgh-zH" TargetMode="External"/><Relationship Id="rId1918" Type="http://schemas.openxmlformats.org/officeDocument/2006/relationships/hyperlink" Target="https://www.linkedin.com/in/ganesh-naik-7b59271ba/" TargetMode="External"/><Relationship Id="rId1919" Type="http://schemas.openxmlformats.org/officeDocument/2006/relationships/hyperlink" Target="https://preskilet.com/watch?v=6297b0635545ea0004a92a29" TargetMode="External"/><Relationship Id="rId4181" Type="http://schemas.openxmlformats.org/officeDocument/2006/relationships/hyperlink" Target="https://drive.google.com/open?id=13Gynt0J48YTZy0ZX7zSipNs4tr6zcBki" TargetMode="External"/><Relationship Id="rId4180" Type="http://schemas.openxmlformats.org/officeDocument/2006/relationships/hyperlink" Target="https://drive.google.com/open?id=1Aj7K6ZbXbU8B2B__MwLiwxa9-Pz1lnGZ" TargetMode="External"/><Relationship Id="rId4183" Type="http://schemas.openxmlformats.org/officeDocument/2006/relationships/hyperlink" Target="https://drive.google.com/open?id=1jqWiX5eN1tb7qbfYUKnigDZjYVADfSr3" TargetMode="External"/><Relationship Id="rId4182" Type="http://schemas.openxmlformats.org/officeDocument/2006/relationships/hyperlink" Target="https://drive.google.com/open?id=18EQjwl_eeZuWmSLbqsnvqjdObh0_k_jx" TargetMode="External"/><Relationship Id="rId4185" Type="http://schemas.openxmlformats.org/officeDocument/2006/relationships/hyperlink" Target="https://preskilet.com/dntelang@mitaoe.ac.in" TargetMode="External"/><Relationship Id="rId4184" Type="http://schemas.openxmlformats.org/officeDocument/2006/relationships/hyperlink" Target="https://www.linkedin.com/in/dhanashree-telang-2331a0223" TargetMode="External"/><Relationship Id="rId4187" Type="http://schemas.openxmlformats.org/officeDocument/2006/relationships/hyperlink" Target="https://drive.google.com/open?id=1tiCds-E7DM1wehhgYU6FZjXrM7e-5yX7" TargetMode="External"/><Relationship Id="rId4186" Type="http://schemas.openxmlformats.org/officeDocument/2006/relationships/hyperlink" Target="https://drive.google.com/open?id=13dJf9BkXWARsX_hOru1o4KL0DQGAB6mr" TargetMode="External"/><Relationship Id="rId4189" Type="http://schemas.openxmlformats.org/officeDocument/2006/relationships/hyperlink" Target="https://preskilet.com/watch?v=62b95ebf39d9950004b93039" TargetMode="External"/><Relationship Id="rId4188" Type="http://schemas.openxmlformats.org/officeDocument/2006/relationships/hyperlink" Target="https://www.linkedin.com/in/prasad-wakchaure-282b4823a" TargetMode="External"/><Relationship Id="rId1900" Type="http://schemas.openxmlformats.org/officeDocument/2006/relationships/hyperlink" Target="https://preskilet.com/62977c175545ea0004a92740" TargetMode="External"/><Relationship Id="rId1901" Type="http://schemas.openxmlformats.org/officeDocument/2006/relationships/hyperlink" Target="https://drive.google.com/open?id=1O6fB0lZ9bJ-8KlqwWuL8I7texYh8Fyp8" TargetMode="External"/><Relationship Id="rId1902" Type="http://schemas.openxmlformats.org/officeDocument/2006/relationships/hyperlink" Target="https://drive.google.com/open?id=1rxwV2zfFUhY91pkj1loawD8ESbtG7Eqr" TargetMode="External"/><Relationship Id="rId1903" Type="http://schemas.openxmlformats.org/officeDocument/2006/relationships/hyperlink" Target="https://drive.google.com/open?id=1CTyVrvVSDw6V-34z7qX5kojVi8CG70IS" TargetMode="External"/><Relationship Id="rId1904" Type="http://schemas.openxmlformats.org/officeDocument/2006/relationships/hyperlink" Target="https://www.linkedin.com/in/chandan-yadav-88b006234" TargetMode="External"/><Relationship Id="rId1905" Type="http://schemas.openxmlformats.org/officeDocument/2006/relationships/hyperlink" Target="https://preskilet.com/watch?v=62976ace5545ea0004a92691" TargetMode="External"/><Relationship Id="rId1906" Type="http://schemas.openxmlformats.org/officeDocument/2006/relationships/hyperlink" Target="https://drive.google.com/open?id=10ZTyF5AYNlMTvedJIz5JrkPzui4vNeVW" TargetMode="External"/><Relationship Id="rId1907" Type="http://schemas.openxmlformats.org/officeDocument/2006/relationships/hyperlink" Target="https://drive.google.com/open?id=1znfvSsThOJ2WxTBnQybBOGoTqkMyH4-3" TargetMode="External"/><Relationship Id="rId1908" Type="http://schemas.openxmlformats.org/officeDocument/2006/relationships/hyperlink" Target="https://drive.google.com/open?id=1TJtFXLcePxXdRrmSnCSzxjKKdoyF1fVX" TargetMode="External"/><Relationship Id="rId1909" Type="http://schemas.openxmlformats.org/officeDocument/2006/relationships/hyperlink" Target="https://drive.google.com/open?id=1PQOROynMoAx26MIAghiEiRDt1uTHcZzU" TargetMode="External"/><Relationship Id="rId4170" Type="http://schemas.openxmlformats.org/officeDocument/2006/relationships/hyperlink" Target="https://drive.google.com/open?id=18x9MibD30ZZZIDeEzhTgCxlaVyEajXdh" TargetMode="External"/><Relationship Id="rId4172" Type="http://schemas.openxmlformats.org/officeDocument/2006/relationships/hyperlink" Target="https://drive.google.com/open?id=1503hs1DcX3wJGvcGZqm23w9zv-_6K4k5" TargetMode="External"/><Relationship Id="rId4171" Type="http://schemas.openxmlformats.org/officeDocument/2006/relationships/hyperlink" Target="https://drive.google.com/open?id=1KpWeDEY3LFjd-BPa38St62-08IfTj2CY" TargetMode="External"/><Relationship Id="rId4174" Type="http://schemas.openxmlformats.org/officeDocument/2006/relationships/hyperlink" Target="https://drive.google.com/open?id=15eD3mHeuKAwg7YC0Mk0Dzr13Jqn82Kp9" TargetMode="External"/><Relationship Id="rId4173" Type="http://schemas.openxmlformats.org/officeDocument/2006/relationships/hyperlink" Target="https://drive.google.com/open?id=1jb4d6mJd42ovHz5_OwhM0B8d9j_JQ_hC" TargetMode="External"/><Relationship Id="rId4176" Type="http://schemas.openxmlformats.org/officeDocument/2006/relationships/hyperlink" Target="https://www.linkedin.com/in/vishal-patil-b745a9220" TargetMode="External"/><Relationship Id="rId4175" Type="http://schemas.openxmlformats.org/officeDocument/2006/relationships/hyperlink" Target="https://drive.google.com/open?id=1GeVudKjIPUasGKc0QpYTtqeFIV_YI0df" TargetMode="External"/><Relationship Id="rId4178" Type="http://schemas.openxmlformats.org/officeDocument/2006/relationships/hyperlink" Target="https://drive.google.com/open?id=1ThfU2VoxatoxrYiJgZeX7b6qwHcgr0cW" TargetMode="External"/><Relationship Id="rId4177" Type="http://schemas.openxmlformats.org/officeDocument/2006/relationships/hyperlink" Target="https://preskilet.com/vtpatil@mitaoe.ac.in" TargetMode="External"/><Relationship Id="rId4179" Type="http://schemas.openxmlformats.org/officeDocument/2006/relationships/hyperlink" Target="https://drive.google.com/open?id=1rkb0kwT5Q7NR7005AqnyK04lQWlVQRNo" TargetMode="External"/><Relationship Id="rId4129" Type="http://schemas.openxmlformats.org/officeDocument/2006/relationships/hyperlink" Target="https://drive.google.com/open?id=11xQPLjL6ir4marwRxJh3hICNdpyXYx8n" TargetMode="External"/><Relationship Id="rId4128" Type="http://schemas.openxmlformats.org/officeDocument/2006/relationships/hyperlink" Target="https://drive.google.com/open?id=1NquK8Xxq8GErf-XUTeO14RY4B9Bn7RBk" TargetMode="External"/><Relationship Id="rId1090" Type="http://schemas.openxmlformats.org/officeDocument/2006/relationships/hyperlink" Target="https://drive.google.com/open?id=1Q0AbExoSi12DpKG6qF7nPxbZmPSN88Wd" TargetMode="External"/><Relationship Id="rId1091" Type="http://schemas.openxmlformats.org/officeDocument/2006/relationships/hyperlink" Target="https://drive.google.com/open?id=17vYWEZ2eytN_zR8toiMGsLcnbJH-74lC" TargetMode="External"/><Relationship Id="rId1092" Type="http://schemas.openxmlformats.org/officeDocument/2006/relationships/hyperlink" Target="https://drive.google.com/open?id=1zUIbJ8kkUYSVhU9TWqVKACEuIGigi3FJ" TargetMode="External"/><Relationship Id="rId1093" Type="http://schemas.openxmlformats.org/officeDocument/2006/relationships/hyperlink" Target="https://www.linkedin.com/in/yanushka/" TargetMode="External"/><Relationship Id="rId1094" Type="http://schemas.openxmlformats.org/officeDocument/2006/relationships/hyperlink" Target="https://preskilet.com/watch?v=62a367afa6956a000460005c" TargetMode="External"/><Relationship Id="rId1095" Type="http://schemas.openxmlformats.org/officeDocument/2006/relationships/hyperlink" Target="https://drive.google.com/open?id=1hNLdTTLghtcMXGljGrhgjoruOyRJyCej" TargetMode="External"/><Relationship Id="rId4121" Type="http://schemas.openxmlformats.org/officeDocument/2006/relationships/hyperlink" Target="https://drive.google.com/open?id=19gvzsb-cIGALbWyZ3fQuSmLwnCwDjOfF" TargetMode="External"/><Relationship Id="rId1096" Type="http://schemas.openxmlformats.org/officeDocument/2006/relationships/hyperlink" Target="https://drive.google.com/open?id=1XlEBdkfdBCsReNuHYJj-9hbrQeCen21I" TargetMode="External"/><Relationship Id="rId4120" Type="http://schemas.openxmlformats.org/officeDocument/2006/relationships/hyperlink" Target="https://drive.google.com/open?id=1LdmXqcX6BsQgenPrkWyHRz96KG4eDegb" TargetMode="External"/><Relationship Id="rId1097" Type="http://schemas.openxmlformats.org/officeDocument/2006/relationships/hyperlink" Target="https://drive.google.com/open?id=1kgkWSLJCxQOcSD5H4YOu88vM5fGTFCdQ" TargetMode="External"/><Relationship Id="rId4123" Type="http://schemas.openxmlformats.org/officeDocument/2006/relationships/hyperlink" Target="https://www.linkedin.com/in/omkar-gatlewar-a06b65222" TargetMode="External"/><Relationship Id="rId1098" Type="http://schemas.openxmlformats.org/officeDocument/2006/relationships/hyperlink" Target="https://drive.google.com/open?id=10pzR6NWzaFFf4bid-P1tc8hY3GHoQt0q" TargetMode="External"/><Relationship Id="rId4122" Type="http://schemas.openxmlformats.org/officeDocument/2006/relationships/hyperlink" Target="https://drive.google.com/open?id=1fPJzGZA7kc7HLoHKqLU2sYuvglPx6jWt" TargetMode="External"/><Relationship Id="rId1099" Type="http://schemas.openxmlformats.org/officeDocument/2006/relationships/hyperlink" Target="https://drive.google.com/open?id=1CnRyVsyGdblDaZfxmkMVhSHuwiDN9rXy" TargetMode="External"/><Relationship Id="rId4125" Type="http://schemas.openxmlformats.org/officeDocument/2006/relationships/hyperlink" Target="https://drive.google.com/open?id=1tA3L5Y2V5JredMLSI3zq1HHi_3_E620S" TargetMode="External"/><Relationship Id="rId4124" Type="http://schemas.openxmlformats.org/officeDocument/2006/relationships/hyperlink" Target="https://preskilet.com/watch?v=62bdde9f9535010004fd2b5e" TargetMode="External"/><Relationship Id="rId4127" Type="http://schemas.openxmlformats.org/officeDocument/2006/relationships/hyperlink" Target="https://drive.google.com/open?id=1kqLFdEhbRnZLQUBzoyVlLzekqUmdQFFP" TargetMode="External"/><Relationship Id="rId4126" Type="http://schemas.openxmlformats.org/officeDocument/2006/relationships/hyperlink" Target="https://drive.google.com/open?id=1g7ywEE_KK75YOno5xcSIeY9a_8t3knWR" TargetMode="External"/><Relationship Id="rId4118" Type="http://schemas.openxmlformats.org/officeDocument/2006/relationships/hyperlink" Target="https://drive.google.com/open?id=1z55-zENiMbWb69l_XMyzyQ8mnOdH1Di6" TargetMode="External"/><Relationship Id="rId4117" Type="http://schemas.openxmlformats.org/officeDocument/2006/relationships/hyperlink" Target="https://drive.google.com/open?id=11qMxFZEe9kUVTYs8g9U_0DjWbgwIHW5-" TargetMode="External"/><Relationship Id="rId4119" Type="http://schemas.openxmlformats.org/officeDocument/2006/relationships/hyperlink" Target="https://drive.google.com/open?id=1erTsjEklpxh9QAHCkpQNL09ndrxICxbF" TargetMode="External"/><Relationship Id="rId1080" Type="http://schemas.openxmlformats.org/officeDocument/2006/relationships/hyperlink" Target="http://www.linkedin.com/in/suparna-das-b46333232" TargetMode="External"/><Relationship Id="rId1081" Type="http://schemas.openxmlformats.org/officeDocument/2006/relationships/hyperlink" Target="https://preskilet.com/spdas@mitaoe.ac.in" TargetMode="External"/><Relationship Id="rId1082" Type="http://schemas.openxmlformats.org/officeDocument/2006/relationships/hyperlink" Target="https://drive.google.com/open?id=1R_KhekUHSu6XU-VECTuwbgn3eK2dPB_S" TargetMode="External"/><Relationship Id="rId1083" Type="http://schemas.openxmlformats.org/officeDocument/2006/relationships/hyperlink" Target="https://drive.google.com/open?id=1JlUsPUwwIfUirLYDhWwnd4__hgBgmsXY" TargetMode="External"/><Relationship Id="rId1084" Type="http://schemas.openxmlformats.org/officeDocument/2006/relationships/hyperlink" Target="https://drive.google.com/open?id=1tRQMdP4rmmHb9G-uvczgKwKl8HqK3hW6" TargetMode="External"/><Relationship Id="rId4110" Type="http://schemas.openxmlformats.org/officeDocument/2006/relationships/hyperlink" Target="https://drive.google.com/open?id=1PWbq6Pi0gyw2YPJ_tRFQVvB1WapiyBtk" TargetMode="External"/><Relationship Id="rId1085" Type="http://schemas.openxmlformats.org/officeDocument/2006/relationships/hyperlink" Target="https://drive.google.com/open?id=1EnaLBzPLrAYsXOqEVoZdAcQKI6gWcITQ" TargetMode="External"/><Relationship Id="rId1086" Type="http://schemas.openxmlformats.org/officeDocument/2006/relationships/hyperlink" Target="https://drive.google.com/open?id=1WECopsaKMLVj5wBvNf6j0QwzXv_o9FJ7" TargetMode="External"/><Relationship Id="rId4112" Type="http://schemas.openxmlformats.org/officeDocument/2006/relationships/hyperlink" Target="https://drive.google.com/open?id=1ejxaS66ZamYB5NQS7PO6P9uh919gcbAj" TargetMode="External"/><Relationship Id="rId1087" Type="http://schemas.openxmlformats.org/officeDocument/2006/relationships/hyperlink" Target="https://www.linkedin.com/in/pankaj-singh-989579202" TargetMode="External"/><Relationship Id="rId4111" Type="http://schemas.openxmlformats.org/officeDocument/2006/relationships/hyperlink" Target="https://drive.google.com/open?id=1H1hlJj-Q-zWrBPq23dCaHfbjM8Mdem3o" TargetMode="External"/><Relationship Id="rId1088" Type="http://schemas.openxmlformats.org/officeDocument/2006/relationships/hyperlink" Target="https://preskilet.com/watch?v=62975ca95545ea0004a925c1" TargetMode="External"/><Relationship Id="rId4114" Type="http://schemas.openxmlformats.org/officeDocument/2006/relationships/hyperlink" Target="https://drive.google.com/open?id=1MbBc3oMa3WRWkzGenDxtobmU-x05V3gm" TargetMode="External"/><Relationship Id="rId1089" Type="http://schemas.openxmlformats.org/officeDocument/2006/relationships/hyperlink" Target="https://drive.google.com/open?id=1FVYf7VkRZxvmIK-nSMwThfWxCfgciYzr" TargetMode="External"/><Relationship Id="rId4113" Type="http://schemas.openxmlformats.org/officeDocument/2006/relationships/hyperlink" Target="https://drive.google.com/open?id=1mOMoauZOKzk_3JuMHDY3cyB6LmBQI9hI" TargetMode="External"/><Relationship Id="rId4116" Type="http://schemas.openxmlformats.org/officeDocument/2006/relationships/hyperlink" Target="https://preskilet.com/62b53766af4f2700045cd942" TargetMode="External"/><Relationship Id="rId4115" Type="http://schemas.openxmlformats.org/officeDocument/2006/relationships/hyperlink" Target="https://www.linkedin.com/in/ashutosh-g-a50046216" TargetMode="External"/><Relationship Id="rId4141" Type="http://schemas.openxmlformats.org/officeDocument/2006/relationships/hyperlink" Target="https://www.linkedin.com/in/adinath-bhise-424058210" TargetMode="External"/><Relationship Id="rId4140" Type="http://schemas.openxmlformats.org/officeDocument/2006/relationships/hyperlink" Target="https://drive.google.com/open?id=1GipBOAiyBhYtqCLOMx5m3RtsenQ7pHMJ" TargetMode="External"/><Relationship Id="rId4143" Type="http://schemas.openxmlformats.org/officeDocument/2006/relationships/hyperlink" Target="https://drive.google.com/open?id=1edCmak4xs6t5eCTIlBtcD-y5TvbMhSLu" TargetMode="External"/><Relationship Id="rId4142" Type="http://schemas.openxmlformats.org/officeDocument/2006/relationships/hyperlink" Target="https://preskilet.com/watch?v=62a42f9f589aee0004d9837f" TargetMode="External"/><Relationship Id="rId4145" Type="http://schemas.openxmlformats.org/officeDocument/2006/relationships/hyperlink" Target="https://drive.google.com/open?id=1IZ7EDXTMw76uS5ORjtcjdNpSAu5UMalR" TargetMode="External"/><Relationship Id="rId4144" Type="http://schemas.openxmlformats.org/officeDocument/2006/relationships/hyperlink" Target="https://drive.google.com/open?id=14zGWj_UHsA2mowC0ZGrCMfqORh-NbaAC" TargetMode="External"/><Relationship Id="rId4147" Type="http://schemas.openxmlformats.org/officeDocument/2006/relationships/hyperlink" Target="https://drive.google.com/open?id=1jZyGNDvBabuh35x7Xyw_-WKtQIfl-v1Q" TargetMode="External"/><Relationship Id="rId4146" Type="http://schemas.openxmlformats.org/officeDocument/2006/relationships/hyperlink" Target="https://drive.google.com/open?id=1JteDl_2530sKqvY3yBoeJTTESCUJVuC1" TargetMode="External"/><Relationship Id="rId4149" Type="http://schemas.openxmlformats.org/officeDocument/2006/relationships/hyperlink" Target="https://drive.google.com/drive/folders/11IYpwlcGr1W_Pm3PKAnitEwB_IZq-FC5?usp=sharing" TargetMode="External"/><Relationship Id="rId4148" Type="http://schemas.openxmlformats.org/officeDocument/2006/relationships/hyperlink" Target="https://www.linkedin.com/in/vaidehi-nagolkar-42b94722b" TargetMode="External"/><Relationship Id="rId4139" Type="http://schemas.openxmlformats.org/officeDocument/2006/relationships/hyperlink" Target="https://drive.google.com/open?id=1DzfK_Ob3ozaqK2fBBVCsG6lGwcXqt40s" TargetMode="External"/><Relationship Id="rId4130" Type="http://schemas.openxmlformats.org/officeDocument/2006/relationships/hyperlink" Target="https://drive.google.com/open?id=1fNMhJWGbrz0_6omqQV7PgaO6CFhJqGAo" TargetMode="External"/><Relationship Id="rId4132" Type="http://schemas.openxmlformats.org/officeDocument/2006/relationships/hyperlink" Target="https://drive.google.com/open?id=1_lrqOW4gInYorQce5xUXDHlSwCoMBGzc" TargetMode="External"/><Relationship Id="rId4131" Type="http://schemas.openxmlformats.org/officeDocument/2006/relationships/hyperlink" Target="https://drive.google.com/open?id=1PIU4AI-RlT2AHrVkANzljPGq0bOWnQIi" TargetMode="External"/><Relationship Id="rId4134" Type="http://schemas.openxmlformats.org/officeDocument/2006/relationships/hyperlink" Target="https://preskilet.com/watch?v=62a383e5a6956a0004600575" TargetMode="External"/><Relationship Id="rId4133" Type="http://schemas.openxmlformats.org/officeDocument/2006/relationships/hyperlink" Target="http://www.linkedin.com/in/abhishek-pawar-603b2323b" TargetMode="External"/><Relationship Id="rId4136" Type="http://schemas.openxmlformats.org/officeDocument/2006/relationships/hyperlink" Target="https://drive.google.com/open?id=17rlmgu3LGmU0Kcp1oWQl_BhgQ0XsyQ9I" TargetMode="External"/><Relationship Id="rId4135" Type="http://schemas.openxmlformats.org/officeDocument/2006/relationships/hyperlink" Target="https://drive.google.com/open?id=1N6sZftljKGRDv_Bc7Me3BYEgQeq-r4Fc" TargetMode="External"/><Relationship Id="rId4138" Type="http://schemas.openxmlformats.org/officeDocument/2006/relationships/hyperlink" Target="https://drive.google.com/open?id=1vFKLJL3I59_1qnpcSdZD1xJCt_TXB1N9" TargetMode="External"/><Relationship Id="rId4137" Type="http://schemas.openxmlformats.org/officeDocument/2006/relationships/hyperlink" Target="https://drive.google.com/open?id=1BtGm9iD0uG1Zz6_24IxPexlQ-_5oRjPd" TargetMode="External"/><Relationship Id="rId1972" Type="http://schemas.openxmlformats.org/officeDocument/2006/relationships/hyperlink" Target="https://drive.google.com/open?id=1pUbGbAyYFyvBk8gst0zxEHydhhohXrdw" TargetMode="External"/><Relationship Id="rId1973" Type="http://schemas.openxmlformats.org/officeDocument/2006/relationships/hyperlink" Target="https://drive.google.com/open?id=1uUzHKQ6DvcrLti77-P12EqQcKJ_HT9Go" TargetMode="External"/><Relationship Id="rId1974" Type="http://schemas.openxmlformats.org/officeDocument/2006/relationships/hyperlink" Target="https://drive.google.com/open?id=1Q44P4KIwUSm8fkiX1JzucXqci3-PdyH8" TargetMode="External"/><Relationship Id="rId1975" Type="http://schemas.openxmlformats.org/officeDocument/2006/relationships/hyperlink" Target="http://www.linkedin.com/in/ansh-shriwas" TargetMode="External"/><Relationship Id="rId1976" Type="http://schemas.openxmlformats.org/officeDocument/2006/relationships/hyperlink" Target="https://preskilet.com/watch?v=629a5b42f2f4ce0004f459e3" TargetMode="External"/><Relationship Id="rId1977" Type="http://schemas.openxmlformats.org/officeDocument/2006/relationships/hyperlink" Target="https://drive.google.com/open?id=1dBpm1hsvfZxzRNX-bH7gWwC0fup-6rQ9" TargetMode="External"/><Relationship Id="rId1978" Type="http://schemas.openxmlformats.org/officeDocument/2006/relationships/hyperlink" Target="https://drive.google.com/open?id=1kFoySlGCSzWrO1l1FW6CUmaUvTnPySDg" TargetMode="External"/><Relationship Id="rId1979" Type="http://schemas.openxmlformats.org/officeDocument/2006/relationships/hyperlink" Target="https://drive.google.com/open?id=1seQCFtQmXuVZ9X5Xlwc9RZnKWVRpTQ1O" TargetMode="External"/><Relationship Id="rId1970" Type="http://schemas.openxmlformats.org/officeDocument/2006/relationships/hyperlink" Target="https://drive.google.com/open?id=1aPsxAwu-Z-Kj_jDBQmLTIg9h_BFPppY0" TargetMode="External"/><Relationship Id="rId1971" Type="http://schemas.openxmlformats.org/officeDocument/2006/relationships/hyperlink" Target="https://drive.google.com/open?id=16kHvbtrR6ddUxLcNvBpiIPvtAi8W4k1E" TargetMode="External"/><Relationship Id="rId1961" Type="http://schemas.openxmlformats.org/officeDocument/2006/relationships/hyperlink" Target="https://drive.google.com/open?id=1mNzSTRCGbPmuCMm-KSouJfc-zkzQMBKA" TargetMode="External"/><Relationship Id="rId1962" Type="http://schemas.openxmlformats.org/officeDocument/2006/relationships/hyperlink" Target="https://drive.google.com/open?id=1_DIRWIvm6h75lFxz5xA7_EGY_WNk-_ot" TargetMode="External"/><Relationship Id="rId1963" Type="http://schemas.openxmlformats.org/officeDocument/2006/relationships/hyperlink" Target="https://drive.google.com/open?id=1rcqYFwDDd_3TQci7wAbIxQ9NxbkLPnbj" TargetMode="External"/><Relationship Id="rId1964" Type="http://schemas.openxmlformats.org/officeDocument/2006/relationships/hyperlink" Target="https://drive.google.com/open?id=178_BqZ054XwQbnYBbshl3DYuGXTjCj3U" TargetMode="External"/><Relationship Id="rId1965" Type="http://schemas.openxmlformats.org/officeDocument/2006/relationships/hyperlink" Target="https://drive.google.com/open?id=1ylOadL5VoacKH8S0ze0XVkcbvS3EeFnf" TargetMode="External"/><Relationship Id="rId1966" Type="http://schemas.openxmlformats.org/officeDocument/2006/relationships/hyperlink" Target="https://drive.google.com/open?id=1G8GeeDDQUYD-ra3wRjeZbGQuZ6fGUvj8" TargetMode="External"/><Relationship Id="rId1967" Type="http://schemas.openxmlformats.org/officeDocument/2006/relationships/hyperlink" Target="https://drive.google.com/open?id=1nLLuEtu34-5DMswtooBuAzIJBg73l-rM" TargetMode="External"/><Relationship Id="rId1968" Type="http://schemas.openxmlformats.org/officeDocument/2006/relationships/hyperlink" Target="https://drive.google.com/file/d/1M3yhQBy1W3-pP2ye7PuZyQBDG4yLQOci/view?usp=sharing" TargetMode="External"/><Relationship Id="rId1969" Type="http://schemas.openxmlformats.org/officeDocument/2006/relationships/hyperlink" Target="https://preskilet.com/watch?v=629b13ab7e67b10004ac2484" TargetMode="External"/><Relationship Id="rId1960" Type="http://schemas.openxmlformats.org/officeDocument/2006/relationships/hyperlink" Target="https://preskilet.com/watch?v=62a302dea6956a00045ff67d" TargetMode="External"/><Relationship Id="rId1994" Type="http://schemas.openxmlformats.org/officeDocument/2006/relationships/hyperlink" Target="https://drive.google.com/open?id=1Vg9m8UNlhKh1gC60RRhHWwvwNCyubfZE" TargetMode="External"/><Relationship Id="rId1995" Type="http://schemas.openxmlformats.org/officeDocument/2006/relationships/hyperlink" Target="https://drive.google.com/open?id=15ivt1rIsQFtnF0aLYP46hlZ1C9z__QCt" TargetMode="External"/><Relationship Id="rId1996" Type="http://schemas.openxmlformats.org/officeDocument/2006/relationships/hyperlink" Target="https://drive.google.com/open?id=1ZFaYDU9Czyyp07or6DXihMw8LPmmLGhZ" TargetMode="External"/><Relationship Id="rId1997" Type="http://schemas.openxmlformats.org/officeDocument/2006/relationships/hyperlink" Target="https://drive.google.com/open?id=1kdK6KwY-DANpY--4I8gLduaY3TLqEc2B" TargetMode="External"/><Relationship Id="rId1998" Type="http://schemas.openxmlformats.org/officeDocument/2006/relationships/hyperlink" Target="https://drive.google.com/open?id=1d7G9N9KblmA50f7QL3L_JecLQ79CaHC0" TargetMode="External"/><Relationship Id="rId1999" Type="http://schemas.openxmlformats.org/officeDocument/2006/relationships/hyperlink" Target="https://www.linkedin.com/in/sayali-madkar" TargetMode="External"/><Relationship Id="rId1990" Type="http://schemas.openxmlformats.org/officeDocument/2006/relationships/hyperlink" Target="https://drive.google.com/open?id=1PTcURyLHQHxtvpoPBXH8_xQYsyiAPyQz" TargetMode="External"/><Relationship Id="rId1991" Type="http://schemas.openxmlformats.org/officeDocument/2006/relationships/hyperlink" Target="https://drive.google.com/open?id=1JZDepHeT9kT3Ec4bIWKeESWW-CHJC_7_" TargetMode="External"/><Relationship Id="rId1992" Type="http://schemas.openxmlformats.org/officeDocument/2006/relationships/hyperlink" Target="https://www.linkedin.com/in/chatak-shinde-8a211a1a6/" TargetMode="External"/><Relationship Id="rId1993" Type="http://schemas.openxmlformats.org/officeDocument/2006/relationships/hyperlink" Target="https://preskilet.com/watch?v=629a1743f2f4ce0004f45956" TargetMode="External"/><Relationship Id="rId1983" Type="http://schemas.openxmlformats.org/officeDocument/2006/relationships/hyperlink" Target="https://drive.google.com/open?id=1LNXfTWy-9X3YyzkDhwATxCJKTC-zPX7u" TargetMode="External"/><Relationship Id="rId1984" Type="http://schemas.openxmlformats.org/officeDocument/2006/relationships/hyperlink" Target="https://drive.google.com/open?id=1wDLxRDN4OlVwHyfPuSwUbTt5zvkyOkby" TargetMode="External"/><Relationship Id="rId1985" Type="http://schemas.openxmlformats.org/officeDocument/2006/relationships/hyperlink" Target="https://www.linkedin.com/in/sankalp-ghodke-327a91219" TargetMode="External"/><Relationship Id="rId1986" Type="http://schemas.openxmlformats.org/officeDocument/2006/relationships/hyperlink" Target="https://preskilet.com/watch?v=62b4732930b280000452337d" TargetMode="External"/><Relationship Id="rId1987" Type="http://schemas.openxmlformats.org/officeDocument/2006/relationships/hyperlink" Target="https://drive.google.com/open?id=1YEaNmVn6pOK8rPUfbUqbnRXXFtfysge3" TargetMode="External"/><Relationship Id="rId1988" Type="http://schemas.openxmlformats.org/officeDocument/2006/relationships/hyperlink" Target="https://drive.google.com/open?id=1f3THgGDY9vj36EIpQBLYBaZ6gJ_hQbWy" TargetMode="External"/><Relationship Id="rId1989" Type="http://schemas.openxmlformats.org/officeDocument/2006/relationships/hyperlink" Target="https://drive.google.com/open?id=12PBadRhz6BUuHAgyESapREWAZwEtBGbd" TargetMode="External"/><Relationship Id="rId1980" Type="http://schemas.openxmlformats.org/officeDocument/2006/relationships/hyperlink" Target="https://drive.google.com/open?id=1zT05jrhACGs_l2sSzMOyfKDsJ0VsHQ8s" TargetMode="External"/><Relationship Id="rId1981" Type="http://schemas.openxmlformats.org/officeDocument/2006/relationships/hyperlink" Target="https://drive.google.com/open?id=1iJbGaC5QZwX_lh6RS-pQFXp4Zq2jTBx5" TargetMode="External"/><Relationship Id="rId1982" Type="http://schemas.openxmlformats.org/officeDocument/2006/relationships/hyperlink" Target="https://drive.google.com/open?id=1xxFgk1z7tpFDV9BpWmwCcEav29n2rCTp" TargetMode="External"/><Relationship Id="rId1930" Type="http://schemas.openxmlformats.org/officeDocument/2006/relationships/hyperlink" Target="https://drive.google.com/open?id=1JokVsMcZt-1Ae5lHkEQymBKzK_xA2qfl" TargetMode="External"/><Relationship Id="rId1931" Type="http://schemas.openxmlformats.org/officeDocument/2006/relationships/hyperlink" Target="https://drive.google.com/open?id=1aAD33sjkDbOvKpQxc8Gp8Wi-j2cDlxDp" TargetMode="External"/><Relationship Id="rId1932" Type="http://schemas.openxmlformats.org/officeDocument/2006/relationships/hyperlink" Target="https://drive.google.com/open?id=1Mhb3meK-tX4AMhY48IcpPfLatRzq8Wbm" TargetMode="External"/><Relationship Id="rId1933" Type="http://schemas.openxmlformats.org/officeDocument/2006/relationships/hyperlink" Target="http://www.linkedin.com/in/lokesh-bhangale-327793217" TargetMode="External"/><Relationship Id="rId1934" Type="http://schemas.openxmlformats.org/officeDocument/2006/relationships/hyperlink" Target="https://preskilet.com/watch?v=62987c111eda900004ec10ef" TargetMode="External"/><Relationship Id="rId1935" Type="http://schemas.openxmlformats.org/officeDocument/2006/relationships/hyperlink" Target="https://drive.google.com/open?id=11rO10lAjWKETGeFNLvQGg_XRIuuW0slp" TargetMode="External"/><Relationship Id="rId1936" Type="http://schemas.openxmlformats.org/officeDocument/2006/relationships/hyperlink" Target="https://drive.google.com/open?id=1F6y5K8LMaGZYuAV7UQVG_7u_w8sariUD" TargetMode="External"/><Relationship Id="rId1937" Type="http://schemas.openxmlformats.org/officeDocument/2006/relationships/hyperlink" Target="https://drive.google.com/open?id=1H6zrokU629mUD1ZR1gtACJRs412iOJbY" TargetMode="External"/><Relationship Id="rId1938" Type="http://schemas.openxmlformats.org/officeDocument/2006/relationships/hyperlink" Target="https://drive.google.com/open?id=1cexYdFuLDu5NvnEDyrjsnL9P-NFs34rm" TargetMode="External"/><Relationship Id="rId1939" Type="http://schemas.openxmlformats.org/officeDocument/2006/relationships/hyperlink" Target="https://drive.google.com/open?id=1QisyaZRDDDMJjBLjIZfHLFKA1N_kfZFD" TargetMode="External"/><Relationship Id="rId1920" Type="http://schemas.openxmlformats.org/officeDocument/2006/relationships/hyperlink" Target="https://drive.google.com/open?id=1OYpy6kcWNN2D2KtO4LPaD1j8kxUkmD0b" TargetMode="External"/><Relationship Id="rId1921" Type="http://schemas.openxmlformats.org/officeDocument/2006/relationships/hyperlink" Target="https://drive.google.com/open?id=1BIn8TeO-9-ThZUcPdzTOqgNJITfi0X1I" TargetMode="External"/><Relationship Id="rId1922" Type="http://schemas.openxmlformats.org/officeDocument/2006/relationships/hyperlink" Target="https://drive.google.com/open?id=1aTc78zp-tvPu0HnI48O46BRGIj7XaCfp" TargetMode="External"/><Relationship Id="rId1923" Type="http://schemas.openxmlformats.org/officeDocument/2006/relationships/hyperlink" Target="https://drive.google.com/open?id=1MM9jc5zaSg0zDLlKjtTofVV_FQrngLUM" TargetMode="External"/><Relationship Id="rId1924" Type="http://schemas.openxmlformats.org/officeDocument/2006/relationships/hyperlink" Target="https://drive.google.com/open?id=1PYFE1wiFXDFereoNYcJBOD6JLbGfe8dT" TargetMode="External"/><Relationship Id="rId1925" Type="http://schemas.openxmlformats.org/officeDocument/2006/relationships/hyperlink" Target="https://www.linkedin.com/in/pratik-kale-b5351a230" TargetMode="External"/><Relationship Id="rId1926" Type="http://schemas.openxmlformats.org/officeDocument/2006/relationships/hyperlink" Target="https://preskilet.com/watch?v=6297b5ad5545ea0004a92a54" TargetMode="External"/><Relationship Id="rId1927" Type="http://schemas.openxmlformats.org/officeDocument/2006/relationships/hyperlink" Target="https://drive.google.com/open?id=1lVGG-QbLF3K7Z_kYZXIetifm_wOev-KL" TargetMode="External"/><Relationship Id="rId1928" Type="http://schemas.openxmlformats.org/officeDocument/2006/relationships/hyperlink" Target="https://drive.google.com/open?id=14_awr6TmnpqDis1o4Shk4qEDzzz1CCdO" TargetMode="External"/><Relationship Id="rId1929" Type="http://schemas.openxmlformats.org/officeDocument/2006/relationships/hyperlink" Target="https://drive.google.com/open?id=1PC9wnEvwf3xO625k-eMEbd2U7fgHR1HT" TargetMode="External"/><Relationship Id="rId4190" Type="http://schemas.openxmlformats.org/officeDocument/2006/relationships/hyperlink" Target="https://drive.google.com/open?id=1PlQ7mkhzrRJEGDZWgPcKeE-ZZnNcl_gw" TargetMode="External"/><Relationship Id="rId4192" Type="http://schemas.openxmlformats.org/officeDocument/2006/relationships/hyperlink" Target="https://drive.google.com/open?id=1Yu2sUGQ0pvm8u_9LbxSSAxIoT3u3qNeh" TargetMode="External"/><Relationship Id="rId4191" Type="http://schemas.openxmlformats.org/officeDocument/2006/relationships/hyperlink" Target="https://drive.google.com/open?id=11mai2Z2Az1XMY_BEOr7tzE4XRuYU1nWH" TargetMode="External"/><Relationship Id="rId4194" Type="http://schemas.openxmlformats.org/officeDocument/2006/relationships/hyperlink" Target="https://drive.google.com/open?id=1GQb6J-9bDvJXOZOBuzE2HdGTvSEJtHWn" TargetMode="External"/><Relationship Id="rId4193" Type="http://schemas.openxmlformats.org/officeDocument/2006/relationships/hyperlink" Target="https://drive.google.com/open?id=1jYtwjuWgIz2ky98R-oHNHar1HfYQC5q7" TargetMode="External"/><Relationship Id="rId4196" Type="http://schemas.openxmlformats.org/officeDocument/2006/relationships/hyperlink" Target="https://drive.google.com/open?id=1Q8W5PWbBCdv8aUgMEJPnHGt2XHsReOwe" TargetMode="External"/><Relationship Id="rId4195" Type="http://schemas.openxmlformats.org/officeDocument/2006/relationships/hyperlink" Target="https://drive.google.com/open?id=1u-cAxdbXMzP8Tx1iaaeKwdhoCsPwYBz8" TargetMode="External"/><Relationship Id="rId4198" Type="http://schemas.openxmlformats.org/officeDocument/2006/relationships/hyperlink" Target="http://www.linkedin.com/in/amin-sayyed-06a62520b" TargetMode="External"/><Relationship Id="rId4197" Type="http://schemas.openxmlformats.org/officeDocument/2006/relationships/hyperlink" Target="https://drive.google.com/open?id=1g8OgMlBOzswkf2TUxI0HnyoGb4OcWPOv" TargetMode="External"/><Relationship Id="rId4199" Type="http://schemas.openxmlformats.org/officeDocument/2006/relationships/hyperlink" Target="https://preskilet.com/amin.sayyed@mitaoe.ac.in" TargetMode="External"/><Relationship Id="rId1950" Type="http://schemas.openxmlformats.org/officeDocument/2006/relationships/hyperlink" Target="https://drive.google.com/open?id=1vrChHvLbToMtquQfyXz0rJ3YFu87R3LW" TargetMode="External"/><Relationship Id="rId1951" Type="http://schemas.openxmlformats.org/officeDocument/2006/relationships/hyperlink" Target="https://www.linkedin.com/in/amit-anand-1262111a8/" TargetMode="External"/><Relationship Id="rId1952" Type="http://schemas.openxmlformats.org/officeDocument/2006/relationships/hyperlink" Target="https://preskilet.com/amitanand@mitaoe.ac.in" TargetMode="External"/><Relationship Id="rId1953" Type="http://schemas.openxmlformats.org/officeDocument/2006/relationships/hyperlink" Target="https://drive.google.com/open?id=1EbSSSBxhZ9La9sRLPhR-nARkbxdp_35P" TargetMode="External"/><Relationship Id="rId1954" Type="http://schemas.openxmlformats.org/officeDocument/2006/relationships/hyperlink" Target="https://drive.google.com/open?id=1aG3Z32lBfQY7SZuTQZOInNzz7--wa9Fe" TargetMode="External"/><Relationship Id="rId1955" Type="http://schemas.openxmlformats.org/officeDocument/2006/relationships/hyperlink" Target="https://drive.google.com/open?id=121rSq88M70kLXf1v_FaznSyuuGMTsYC6" TargetMode="External"/><Relationship Id="rId1956" Type="http://schemas.openxmlformats.org/officeDocument/2006/relationships/hyperlink" Target="https://drive.google.com/open?id=1qgwM3CRd_uvuGbBWiYF3tShkyxSZd-cv" TargetMode="External"/><Relationship Id="rId1957" Type="http://schemas.openxmlformats.org/officeDocument/2006/relationships/hyperlink" Target="https://drive.google.com/open?id=1VJNFDRPlSYEDqCVy9yPzl8zoS43QrT8E" TargetMode="External"/><Relationship Id="rId1958" Type="http://schemas.openxmlformats.org/officeDocument/2006/relationships/hyperlink" Target="https://drive.google.com/open?id=1h0XyVU1dJpHJaaDKaCvni0x_7UH9OTOY" TargetMode="External"/><Relationship Id="rId1959" Type="http://schemas.openxmlformats.org/officeDocument/2006/relationships/hyperlink" Target="https://www.linkedin.com/in/prachiti-raut-0993021ba/" TargetMode="External"/><Relationship Id="rId1940" Type="http://schemas.openxmlformats.org/officeDocument/2006/relationships/hyperlink" Target="https://drive.google.com/open?id=1tGDAD4RBSXSsInTkTp9tc-zRVGDBhOPo" TargetMode="External"/><Relationship Id="rId1941" Type="http://schemas.openxmlformats.org/officeDocument/2006/relationships/hyperlink" Target="https://drive.google.com/open?id=1SALW-3vH5YukCoBWAJ3dxifRQJkKghZI" TargetMode="External"/><Relationship Id="rId1942" Type="http://schemas.openxmlformats.org/officeDocument/2006/relationships/hyperlink" Target="https://drive.google.com/open?id=12ubOmldHue3YKOtOjI4bBf7Wa1Md5HHA" TargetMode="External"/><Relationship Id="rId1943" Type="http://schemas.openxmlformats.org/officeDocument/2006/relationships/hyperlink" Target="https://www.linkedin.com/in/triveni-gaidhane-b8a0951ab/" TargetMode="External"/><Relationship Id="rId1944" Type="http://schemas.openxmlformats.org/officeDocument/2006/relationships/hyperlink" Target="https://preskilet.com/tsgaidhane@mitaoe.ac.in" TargetMode="External"/><Relationship Id="rId1945" Type="http://schemas.openxmlformats.org/officeDocument/2006/relationships/hyperlink" Target="https://drive.google.com/open?id=1h6nXQ8XxNkWtEdJ3ij1ehlT4z2FAQz3x" TargetMode="External"/><Relationship Id="rId1946" Type="http://schemas.openxmlformats.org/officeDocument/2006/relationships/hyperlink" Target="https://drive.google.com/open?id=1n9WtyJiRtJBFxykiww_hj78_PdX6jbtD" TargetMode="External"/><Relationship Id="rId1947" Type="http://schemas.openxmlformats.org/officeDocument/2006/relationships/hyperlink" Target="https://drive.google.com/open?id=1NcRqeufrJtvaR0Mh_EGArwndcnanLa7V" TargetMode="External"/><Relationship Id="rId1948" Type="http://schemas.openxmlformats.org/officeDocument/2006/relationships/hyperlink" Target="https://drive.google.com/open?id=1xBCoh9YAYZyA2ZHzJ7yGP2ygogB8GHF6" TargetMode="External"/><Relationship Id="rId1949" Type="http://schemas.openxmlformats.org/officeDocument/2006/relationships/hyperlink" Target="https://drive.google.com/open?id=1-tk1WOJL4IQnZYoaaXejfPvWqP3bcha_" TargetMode="External"/><Relationship Id="rId2423" Type="http://schemas.openxmlformats.org/officeDocument/2006/relationships/hyperlink" Target="https://drive.google.com/open?id=16g2UcHdOJ5IqnsbjwNbpRm5joiGwfOat" TargetMode="External"/><Relationship Id="rId3755" Type="http://schemas.openxmlformats.org/officeDocument/2006/relationships/hyperlink" Target="https://drive.google.com/open?id=1MzlaLuDDcBWfI-MRrSlybC9qMZpKaG2F" TargetMode="External"/><Relationship Id="rId2424" Type="http://schemas.openxmlformats.org/officeDocument/2006/relationships/hyperlink" Target="https://drive.google.com/open?id=16g2UcHdOJ5IqnsbjwNbpRm5joiGwfOat" TargetMode="External"/><Relationship Id="rId3754" Type="http://schemas.openxmlformats.org/officeDocument/2006/relationships/hyperlink" Target="https://preskilet.com/watch?v=62bbf96037f0b4000476d011" TargetMode="External"/><Relationship Id="rId2425" Type="http://schemas.openxmlformats.org/officeDocument/2006/relationships/hyperlink" Target="https://drive.google.com/open?id=1gf_9yTQ7R7gURsuuOPgz0yVqe9e2fupw" TargetMode="External"/><Relationship Id="rId3757" Type="http://schemas.openxmlformats.org/officeDocument/2006/relationships/hyperlink" Target="https://drive.google.com/open?id=1zhumF_jufoz5E-8qkRFnedp6iJzwOS_-" TargetMode="External"/><Relationship Id="rId2426" Type="http://schemas.openxmlformats.org/officeDocument/2006/relationships/hyperlink" Target="https://drive.google.com/file/d/1jiPKysYs8mAxh3ymgNfc-kfm9F_WIJGE/view?usp=sharing" TargetMode="External"/><Relationship Id="rId3756" Type="http://schemas.openxmlformats.org/officeDocument/2006/relationships/hyperlink" Target="https://drive.google.com/open?id=1nQNXuPL_PYZba_EKvtI4Uop4vxFpMVUA" TargetMode="External"/><Relationship Id="rId2427" Type="http://schemas.openxmlformats.org/officeDocument/2006/relationships/hyperlink" Target="https://drive.google.com/open?id=1wWvUeOGXIDXv820nDt4LNNuQoN3PG-uu" TargetMode="External"/><Relationship Id="rId3759" Type="http://schemas.openxmlformats.org/officeDocument/2006/relationships/hyperlink" Target="https://drive.google.com/open?id=196twUaO4APjEfv07njmulGXBVegwNh4L" TargetMode="External"/><Relationship Id="rId2428" Type="http://schemas.openxmlformats.org/officeDocument/2006/relationships/hyperlink" Target="https://drive.google.com/open?id=1oSaJR6N-1htGwebKZyho_S8RSxAoQMjm" TargetMode="External"/><Relationship Id="rId3758" Type="http://schemas.openxmlformats.org/officeDocument/2006/relationships/hyperlink" Target="https://drive.google.com/open?id=1EOiIBPfSuZUg_t2UWYVvWh3A6XULDuZJ" TargetMode="External"/><Relationship Id="rId2429" Type="http://schemas.openxmlformats.org/officeDocument/2006/relationships/hyperlink" Target="https://www.linkedin.com/in/vaibhav-kale-81212a222/" TargetMode="External"/><Relationship Id="rId509" Type="http://schemas.openxmlformats.org/officeDocument/2006/relationships/hyperlink" Target="http://www.linkedin.com/in/nehul-pawar-74b7b0241" TargetMode="External"/><Relationship Id="rId508" Type="http://schemas.openxmlformats.org/officeDocument/2006/relationships/hyperlink" Target="https://drive.google.com/open?id=1bTavck0jkefFAZQNsL72v7xhuSLFsQHl" TargetMode="External"/><Relationship Id="rId503" Type="http://schemas.openxmlformats.org/officeDocument/2006/relationships/hyperlink" Target="https://www.linkedin.com/in/pratik-vibhute-5208661b7" TargetMode="External"/><Relationship Id="rId502" Type="http://schemas.openxmlformats.org/officeDocument/2006/relationships/hyperlink" Target="https://drive.google.com/open?id=1oqiauIsRWgMLv-F6DZyxrnai2siQw17S" TargetMode="External"/><Relationship Id="rId501" Type="http://schemas.openxmlformats.org/officeDocument/2006/relationships/hyperlink" Target="https://drive.google.com/open?id=1XySCkZrCdXwZd7x5HgMWhKgPuYqH5vFI" TargetMode="External"/><Relationship Id="rId500" Type="http://schemas.openxmlformats.org/officeDocument/2006/relationships/hyperlink" Target="https://drive.google.com/open?id=10n5FQ1jOhIYlsr6XI0ReU2Nq9NSPfFXR" TargetMode="External"/><Relationship Id="rId507" Type="http://schemas.openxmlformats.org/officeDocument/2006/relationships/hyperlink" Target="https://drive.google.com/open?id=1acWThnMcBEm5laesehkq1jL7TajmCYFG" TargetMode="External"/><Relationship Id="rId506" Type="http://schemas.openxmlformats.org/officeDocument/2006/relationships/hyperlink" Target="https://drive.google.com/open?id=1ksUXjen-F2ZmqI1pVCI38Du7oFNNfndJ" TargetMode="External"/><Relationship Id="rId505" Type="http://schemas.openxmlformats.org/officeDocument/2006/relationships/hyperlink" Target="https://drive.google.com/open?id=1cxy80X7X6klXQFrj3eHFp97M5IogmTHL" TargetMode="External"/><Relationship Id="rId504" Type="http://schemas.openxmlformats.org/officeDocument/2006/relationships/hyperlink" Target="https://preskilet.com/pmvibhute@mitaoe.ac.in" TargetMode="External"/><Relationship Id="rId3751" Type="http://schemas.openxmlformats.org/officeDocument/2006/relationships/hyperlink" Target="https://drive.google.com/open?id=1q9ETJvQu1sxmnVTwYJ1f1aZZR32h4eE4" TargetMode="External"/><Relationship Id="rId2420" Type="http://schemas.openxmlformats.org/officeDocument/2006/relationships/hyperlink" Target="https://drive.google.com/open?id=1oSaJR6N-1htGwebKZyho_S8RSxAoQMjm" TargetMode="External"/><Relationship Id="rId3750" Type="http://schemas.openxmlformats.org/officeDocument/2006/relationships/hyperlink" Target="https://preskilet.com/payal.bhatkar@mitaoe.ac.in" TargetMode="External"/><Relationship Id="rId2421" Type="http://schemas.openxmlformats.org/officeDocument/2006/relationships/hyperlink" Target="https://drive.google.com/open?id=1ZgiFt9UelT40nhGrwc8Q6kNxu2N8exQS" TargetMode="External"/><Relationship Id="rId3753" Type="http://schemas.openxmlformats.org/officeDocument/2006/relationships/hyperlink" Target="https://www.linkedin.com/in/pritam-jadhav-763301230" TargetMode="External"/><Relationship Id="rId2422" Type="http://schemas.openxmlformats.org/officeDocument/2006/relationships/hyperlink" Target="https://drive.google.com/open?id=1gf_9yTQ7R7gURsuuOPgz0yVqe9e2fupw" TargetMode="External"/><Relationship Id="rId3752" Type="http://schemas.openxmlformats.org/officeDocument/2006/relationships/hyperlink" Target="https://drive.google.com/open?id=1a7oRvNLm-WibD-3AK7WtaqLJ65j9QZaQ" TargetMode="External"/><Relationship Id="rId2412" Type="http://schemas.openxmlformats.org/officeDocument/2006/relationships/hyperlink" Target="https://preskilet.com/watch?v=62a6f5334150fe000457c1f0" TargetMode="External"/><Relationship Id="rId3744" Type="http://schemas.openxmlformats.org/officeDocument/2006/relationships/hyperlink" Target="https://drive.google.com/open?id=1sDE7c-Mh-Um_bPMh3aNfuEvYQINrlgvR" TargetMode="External"/><Relationship Id="rId2413" Type="http://schemas.openxmlformats.org/officeDocument/2006/relationships/hyperlink" Target="https://drive.google.com/open?id=193zqdnxYw1IddXevBaZ9BKjMEZLQI2VV" TargetMode="External"/><Relationship Id="rId3743" Type="http://schemas.openxmlformats.org/officeDocument/2006/relationships/hyperlink" Target="https://drive.google.com/open?id=1Y8TCz25AJ4X-XpMsGxvSKC9opzcg-Hxy" TargetMode="External"/><Relationship Id="rId2414" Type="http://schemas.openxmlformats.org/officeDocument/2006/relationships/hyperlink" Target="https://drive.google.com/open?id=1_W6oOG9JncD2XwsVTgp6aUb93cd99sY9" TargetMode="External"/><Relationship Id="rId3746" Type="http://schemas.openxmlformats.org/officeDocument/2006/relationships/hyperlink" Target="https://drive.google.com/open?id=1OjKMpcLAtXrONMZmy0awwDPC97OYhZKa" TargetMode="External"/><Relationship Id="rId2415" Type="http://schemas.openxmlformats.org/officeDocument/2006/relationships/hyperlink" Target="https://drive.google.com/open?id=1Zrsk8dBu791NMTfUuJawQIxI1nO3vUDb" TargetMode="External"/><Relationship Id="rId3745" Type="http://schemas.openxmlformats.org/officeDocument/2006/relationships/hyperlink" Target="https://drive.google.com/open?id=1NPEgbswVjgy046WbabGNAAet5Vja1O0S" TargetMode="External"/><Relationship Id="rId2416" Type="http://schemas.openxmlformats.org/officeDocument/2006/relationships/hyperlink" Target="https://www.linkedin.com/in/shardulbabhulkar321/" TargetMode="External"/><Relationship Id="rId3748" Type="http://schemas.openxmlformats.org/officeDocument/2006/relationships/hyperlink" Target="https://drive.google.com/open?id=1LPSMJ45LsrWDUAThtb2fKorvdwijtTj0" TargetMode="External"/><Relationship Id="rId2417" Type="http://schemas.openxmlformats.org/officeDocument/2006/relationships/hyperlink" Target="https://preskilet.com/watch?v=62a38236a6956a0004600537" TargetMode="External"/><Relationship Id="rId3747" Type="http://schemas.openxmlformats.org/officeDocument/2006/relationships/hyperlink" Target="https://drive.google.com/open?id=1jAbmb4ZpjbzkfnE2bavFc2d5LaUlbePT" TargetMode="External"/><Relationship Id="rId2418" Type="http://schemas.openxmlformats.org/officeDocument/2006/relationships/hyperlink" Target="https://drive.google.com/open?id=1OikRKtrSAEiGZWCfyX76DCN5bFcZAZL4" TargetMode="External"/><Relationship Id="rId2419" Type="http://schemas.openxmlformats.org/officeDocument/2006/relationships/hyperlink" Target="https://drive.google.com/open?id=1wWvUeOGXIDXv820nDt4LNNuQoN3PG-uu" TargetMode="External"/><Relationship Id="rId3749" Type="http://schemas.openxmlformats.org/officeDocument/2006/relationships/hyperlink" Target="https://www.linkedin.com/in/payal-bhatkar-5456bb235" TargetMode="External"/><Relationship Id="rId3740" Type="http://schemas.openxmlformats.org/officeDocument/2006/relationships/hyperlink" Target="https://drive.google.com/open?id=1JgH1F-uUKGFgUXWQ6dmK7NilHLSq9K0v" TargetMode="External"/><Relationship Id="rId2410" Type="http://schemas.openxmlformats.org/officeDocument/2006/relationships/hyperlink" Target="https://drive.google.com/open?id=1AlmEpRsxkUSXLOV1fWyHBEc_Ip03UL_B" TargetMode="External"/><Relationship Id="rId3742" Type="http://schemas.openxmlformats.org/officeDocument/2006/relationships/hyperlink" Target="https://www.linkedin.com/in/anirudha-thorat-5939b2235" TargetMode="External"/><Relationship Id="rId2411" Type="http://schemas.openxmlformats.org/officeDocument/2006/relationships/hyperlink" Target="http://www.linkedin.com/in/amey-patil-7200b4213" TargetMode="External"/><Relationship Id="rId3741" Type="http://schemas.openxmlformats.org/officeDocument/2006/relationships/hyperlink" Target="https://drive.google.com/open?id=17opWEISWFHnAbpOiMHNrLpXXM6U0vJ0w" TargetMode="External"/><Relationship Id="rId1114" Type="http://schemas.openxmlformats.org/officeDocument/2006/relationships/hyperlink" Target="https://drive.google.com/open?id=1mcO-1IzfB1eFEsLGV4s0XIk7lXZS2lkM" TargetMode="External"/><Relationship Id="rId2445" Type="http://schemas.openxmlformats.org/officeDocument/2006/relationships/hyperlink" Target="https://drive.google.com/open?id=1re3fj79tUjWJ9s1yRHhiyUEWDkGm4H_V" TargetMode="External"/><Relationship Id="rId3777" Type="http://schemas.openxmlformats.org/officeDocument/2006/relationships/hyperlink" Target="https://drive.google.com/drive/folders/1y9dLr6tLLaQv5sM-ld01UaOvTxa_f-8j?usp=sharing" TargetMode="External"/><Relationship Id="rId1115" Type="http://schemas.openxmlformats.org/officeDocument/2006/relationships/hyperlink" Target="https://drive.google.com/open?id=1YCmzDJHGxYNVhB8raujGYmjKrYGJXg2D" TargetMode="External"/><Relationship Id="rId2446" Type="http://schemas.openxmlformats.org/officeDocument/2006/relationships/hyperlink" Target="https://drive.google.com/open?id=1lUNnv8XUWajUGw3fWdaup4Nhv4e6hbgt" TargetMode="External"/><Relationship Id="rId3776" Type="http://schemas.openxmlformats.org/officeDocument/2006/relationships/hyperlink" Target="https://www.linkedin.com/in/rajeshwari-shinde-614ab3223" TargetMode="External"/><Relationship Id="rId1116" Type="http://schemas.openxmlformats.org/officeDocument/2006/relationships/hyperlink" Target="https://drive.google.com/open?id=1DX7_lkCh5QlZi9aIlzeyzXykBl9IGCaR" TargetMode="External"/><Relationship Id="rId2447" Type="http://schemas.openxmlformats.org/officeDocument/2006/relationships/hyperlink" Target="https://drive.google.com/open?id=14UV8H5jf-gDNKt3FUyeWdzK-QhhoWk_p" TargetMode="External"/><Relationship Id="rId3779" Type="http://schemas.openxmlformats.org/officeDocument/2006/relationships/hyperlink" Target="https://drive.google.com/open?id=1ifY9Mp4cFqc4J8QwbMVkgfvxtADtjy--" TargetMode="External"/><Relationship Id="rId1117" Type="http://schemas.openxmlformats.org/officeDocument/2006/relationships/hyperlink" Target="https://www.linkedin.com/in/yeeshant-dahikar/" TargetMode="External"/><Relationship Id="rId2448" Type="http://schemas.openxmlformats.org/officeDocument/2006/relationships/hyperlink" Target="https://drive.google.com/open?id=1B7kLRgsSyfSY7CD6c9AO_3z8SKknBCVc" TargetMode="External"/><Relationship Id="rId3778" Type="http://schemas.openxmlformats.org/officeDocument/2006/relationships/hyperlink" Target="https://preskilet.com/watch?v=62bdc2789535010004fd28f3" TargetMode="External"/><Relationship Id="rId1118" Type="http://schemas.openxmlformats.org/officeDocument/2006/relationships/hyperlink" Target="https://preskilet.com/watch?v=62a2f831a6956a00045ff54e" TargetMode="External"/><Relationship Id="rId2449" Type="http://schemas.openxmlformats.org/officeDocument/2006/relationships/hyperlink" Target="https://drive.google.com/open?id=14s2fy0w2gXM9Jn2bqLZ8E6fKCKXgtSmi" TargetMode="External"/><Relationship Id="rId1119" Type="http://schemas.openxmlformats.org/officeDocument/2006/relationships/hyperlink" Target="https://drive.google.com/open?id=19nyWbWLC4YWHQdK6nGEW5LFjOCQzIir8" TargetMode="External"/><Relationship Id="rId525" Type="http://schemas.openxmlformats.org/officeDocument/2006/relationships/hyperlink" Target="https://drive.google.com/open?id=1J5Cfi3wy-unI0H3p_8dSra1yECSMkAM5" TargetMode="External"/><Relationship Id="rId524" Type="http://schemas.openxmlformats.org/officeDocument/2006/relationships/hyperlink" Target="https://drive.google.com/open?id=13IeVD08Zt_uSel5ygOUjPgISjsPkDg5B" TargetMode="External"/><Relationship Id="rId523" Type="http://schemas.openxmlformats.org/officeDocument/2006/relationships/hyperlink" Target="https://drive.google.com/open?id=1FWwd9-bkAEepLTSoPQHNCMcQ2GG3onld" TargetMode="External"/><Relationship Id="rId522" Type="http://schemas.openxmlformats.org/officeDocument/2006/relationships/hyperlink" Target="https://drive.google.com/open?id=1aCvADVwjsFIMq_40Gj1A5BNmpjnLLrCb" TargetMode="External"/><Relationship Id="rId529" Type="http://schemas.openxmlformats.org/officeDocument/2006/relationships/hyperlink" Target="https://drive.google.com/open?id=1ItszkVpgdf9jXBg02VrJ70W80wpF7kq2" TargetMode="External"/><Relationship Id="rId528" Type="http://schemas.openxmlformats.org/officeDocument/2006/relationships/hyperlink" Target="https://drive.google.com/open?id=1O5R5XVvefdn_KZziF2_3Hr7vpWkYU4Ix" TargetMode="External"/><Relationship Id="rId527" Type="http://schemas.openxmlformats.org/officeDocument/2006/relationships/hyperlink" Target="https://drive.google.com/open?id=1186COCktReb44nCGA-NtLstnhbnFbm63" TargetMode="External"/><Relationship Id="rId526" Type="http://schemas.openxmlformats.org/officeDocument/2006/relationships/hyperlink" Target="https://drive.google.com/open?id=1s3NjKyPDRo06BOklSjPbpPDKVAM4-O1T" TargetMode="External"/><Relationship Id="rId3771" Type="http://schemas.openxmlformats.org/officeDocument/2006/relationships/hyperlink" Target="https://drive.google.com/open?id=1qhY68v2EQfXx_5tWwFPMdDuwUmtC50rx" TargetMode="External"/><Relationship Id="rId2440" Type="http://schemas.openxmlformats.org/officeDocument/2006/relationships/hyperlink" Target="https://drive.google.com/open?id=1g1alpCZrco-k5IjYOQMes-DEyzEAOe1A" TargetMode="External"/><Relationship Id="rId3770" Type="http://schemas.openxmlformats.org/officeDocument/2006/relationships/hyperlink" Target="https://preskilet.com/watch?v=62a32a24a6956a00045ffa7f" TargetMode="External"/><Relationship Id="rId521" Type="http://schemas.openxmlformats.org/officeDocument/2006/relationships/hyperlink" Target="https://preskilet.com/dipak.tayade@mitaoe.ac.in" TargetMode="External"/><Relationship Id="rId1110" Type="http://schemas.openxmlformats.org/officeDocument/2006/relationships/hyperlink" Target="https://drive.google.com/open?id=1zx0M5exH1Ntv8inbBVxRZP2Cx6dssioh" TargetMode="External"/><Relationship Id="rId2441" Type="http://schemas.openxmlformats.org/officeDocument/2006/relationships/hyperlink" Target="https://drive.google.com/open?id=1px9SQgynRzrF6s3zIQDU-UPuMlKoktks" TargetMode="External"/><Relationship Id="rId3773" Type="http://schemas.openxmlformats.org/officeDocument/2006/relationships/hyperlink" Target="https://drive.google.com/open?id=1gyNBGjLSiFsxbZEL0loRI8MptV4P-073" TargetMode="External"/><Relationship Id="rId520" Type="http://schemas.openxmlformats.org/officeDocument/2006/relationships/hyperlink" Target="https://www.linkedin.com/in/dipak-tayade-45a8b820b/" TargetMode="External"/><Relationship Id="rId1111" Type="http://schemas.openxmlformats.org/officeDocument/2006/relationships/hyperlink" Target="https://drive.google.com/open?id=1wednTk5EFO8oZKgPMkQI9QgLBfxA1buc" TargetMode="External"/><Relationship Id="rId2442" Type="http://schemas.openxmlformats.org/officeDocument/2006/relationships/hyperlink" Target="http://www.linkedin.com/in/sayali-pawar-80120b241" TargetMode="External"/><Relationship Id="rId3772" Type="http://schemas.openxmlformats.org/officeDocument/2006/relationships/hyperlink" Target="https://drive.google.com/open?id=12lfvvA3QhZpjQ9ndIHGP4p2rSyamPgNf" TargetMode="External"/><Relationship Id="rId1112" Type="http://schemas.openxmlformats.org/officeDocument/2006/relationships/hyperlink" Target="https://drive.google.com/open?id=17FftotD6Y7xiDp6b9Psqvzmlp7lELQ-P" TargetMode="External"/><Relationship Id="rId2443" Type="http://schemas.openxmlformats.org/officeDocument/2006/relationships/hyperlink" Target="https://preskilet.com/watch?v=62bc9e225493430004e5f080" TargetMode="External"/><Relationship Id="rId3775" Type="http://schemas.openxmlformats.org/officeDocument/2006/relationships/hyperlink" Target="https://drive.google.com/open?id=1pHyZE02EDmpHL_9MVa5kTIoLDQ9U6oxz" TargetMode="External"/><Relationship Id="rId1113" Type="http://schemas.openxmlformats.org/officeDocument/2006/relationships/hyperlink" Target="https://drive.google.com/open?id=1XqlsrbCrQmzPHnMHLeFpsw7s9K9cYMus" TargetMode="External"/><Relationship Id="rId2444" Type="http://schemas.openxmlformats.org/officeDocument/2006/relationships/hyperlink" Target="https://drive.google.com/open?id=110pn6xgC_A5MXpq_zJ3RrfenWIXPwwBn" TargetMode="External"/><Relationship Id="rId3774" Type="http://schemas.openxmlformats.org/officeDocument/2006/relationships/hyperlink" Target="https://drive.google.com/open?id=1_lXctT_L7GEkpPJYRifp6JxGxa4HOmzm" TargetMode="External"/><Relationship Id="rId1103" Type="http://schemas.openxmlformats.org/officeDocument/2006/relationships/hyperlink" Target="https://drive.google.com/open?id=1lFKNpYqZdLiByRx951aseVCwiDThBkj3" TargetMode="External"/><Relationship Id="rId2434" Type="http://schemas.openxmlformats.org/officeDocument/2006/relationships/hyperlink" Target="https://drive.google.com/open?id=1FN3UL5GBvnj0nIwq-Au-QErYcYywvrar" TargetMode="External"/><Relationship Id="rId3766" Type="http://schemas.openxmlformats.org/officeDocument/2006/relationships/hyperlink" Target="https://drive.google.com/open?id=1uHFTl14qqex34wr-3EvoqnPHVEMsVGdF" TargetMode="External"/><Relationship Id="rId1104" Type="http://schemas.openxmlformats.org/officeDocument/2006/relationships/hyperlink" Target="https://drive.google.com/open?id=1OuedzzvdBI228wfXhczXrkvYpPjAvM3O" TargetMode="External"/><Relationship Id="rId2435" Type="http://schemas.openxmlformats.org/officeDocument/2006/relationships/hyperlink" Target="https://drive.google.com/open?id=1fkJyr6HxRh-QYIYaEhOGaqzkQ2rVzMVr" TargetMode="External"/><Relationship Id="rId3765" Type="http://schemas.openxmlformats.org/officeDocument/2006/relationships/hyperlink" Target="https://drive.google.com/open?id=1ahtytP2qnZlGlELKA08SEpfHASNw5aC3" TargetMode="External"/><Relationship Id="rId1105" Type="http://schemas.openxmlformats.org/officeDocument/2006/relationships/hyperlink" Target="https://drive.google.com/open?id=17IrnxSLBemfRm8DeCIvRiCvDCZEwt1m1" TargetMode="External"/><Relationship Id="rId2436" Type="http://schemas.openxmlformats.org/officeDocument/2006/relationships/hyperlink" Target="https://www.linkedin.com/in/megha-jadhav-845a70230/" TargetMode="External"/><Relationship Id="rId3768" Type="http://schemas.openxmlformats.org/officeDocument/2006/relationships/hyperlink" Target="https://drive.google.com/open?id=1x5dQmqKv5BxCzuSUSG1nXS8ktoFHpr_3" TargetMode="External"/><Relationship Id="rId1106" Type="http://schemas.openxmlformats.org/officeDocument/2006/relationships/hyperlink" Target="https://drive.google.com/open?id=1w-JeiL_nEJUOfrG_fH7z_R8ayIXw4UL8" TargetMode="External"/><Relationship Id="rId2437" Type="http://schemas.openxmlformats.org/officeDocument/2006/relationships/hyperlink" Target="https://preskilet.com/watch?v=629cc7cc300eb1000471f2f3" TargetMode="External"/><Relationship Id="rId3767" Type="http://schemas.openxmlformats.org/officeDocument/2006/relationships/hyperlink" Target="https://drive.google.com/open?id=1nNOzo_5PCC-2qYOhyk6WAD0zV_Jw1dIS" TargetMode="External"/><Relationship Id="rId1107" Type="http://schemas.openxmlformats.org/officeDocument/2006/relationships/hyperlink" Target="https://drive.google.com/open?id=1UOUHSFjre1c34rGF2x5gPgAzHGYtqAF0" TargetMode="External"/><Relationship Id="rId2438" Type="http://schemas.openxmlformats.org/officeDocument/2006/relationships/hyperlink" Target="https://drive.google.com/open?id=15UWx3O95WN4D_n65VwXBwIeautMxQX_Q" TargetMode="External"/><Relationship Id="rId1108" Type="http://schemas.openxmlformats.org/officeDocument/2006/relationships/hyperlink" Target="http://www.linkedin.com/in/yash-jaware-36544b213" TargetMode="External"/><Relationship Id="rId2439" Type="http://schemas.openxmlformats.org/officeDocument/2006/relationships/hyperlink" Target="https://drive.google.com/open?id=1N9KgfLWB9a3IJheg9XC_ZJF5f52uUzm3" TargetMode="External"/><Relationship Id="rId3769" Type="http://schemas.openxmlformats.org/officeDocument/2006/relationships/hyperlink" Target="https://www.linkedin.com/in/sahil-mangar-073581241" TargetMode="External"/><Relationship Id="rId1109" Type="http://schemas.openxmlformats.org/officeDocument/2006/relationships/hyperlink" Target="https://preskilet.com/watch?v=62bdc2709535010004fd28f2" TargetMode="External"/><Relationship Id="rId519" Type="http://schemas.openxmlformats.org/officeDocument/2006/relationships/hyperlink" Target="https://drive.google.com/open?id=1LAoISBUO55EtOzToZ8GIYRjsgdtYtseN" TargetMode="External"/><Relationship Id="rId514" Type="http://schemas.openxmlformats.org/officeDocument/2006/relationships/hyperlink" Target="https://drive.google.com/open?id=1qa7IFu1HqBjUgQcmXAwHDiF7dtG2oyA5" TargetMode="External"/><Relationship Id="rId513" Type="http://schemas.openxmlformats.org/officeDocument/2006/relationships/hyperlink" Target="https://drive.google.com/open?id=1ExznoJm8cjQA65yH4HT6qPb3qhUUlaK7" TargetMode="External"/><Relationship Id="rId512" Type="http://schemas.openxmlformats.org/officeDocument/2006/relationships/hyperlink" Target="https://drive.google.com/open?id=18u3jK6VzAuybMUIfdKm40quaaYqpVU9S" TargetMode="External"/><Relationship Id="rId511" Type="http://schemas.openxmlformats.org/officeDocument/2006/relationships/hyperlink" Target="https://drive.google.com/open?id=1UuRXC7Lnp3h_NfKVprm0_U6-9jj8myOB" TargetMode="External"/><Relationship Id="rId518" Type="http://schemas.openxmlformats.org/officeDocument/2006/relationships/hyperlink" Target="https://drive.google.com/open?id=1jb69YQMaXsmVRRlYrS5KdaAzVgcRRNZR" TargetMode="External"/><Relationship Id="rId517" Type="http://schemas.openxmlformats.org/officeDocument/2006/relationships/hyperlink" Target="https://drive.google.com/open?id=1ng1gZzXG7C79VsYMpnwhlQ9Unx5qixRG" TargetMode="External"/><Relationship Id="rId516" Type="http://schemas.openxmlformats.org/officeDocument/2006/relationships/hyperlink" Target="https://drive.google.com/file/d/1sBodc0Wjzkjv9_a_O7kEVtKocWkv7IgR/view?usp=drivesdk" TargetMode="External"/><Relationship Id="rId515" Type="http://schemas.openxmlformats.org/officeDocument/2006/relationships/hyperlink" Target="https://www.linkedin.com/in/aditya-balowria-2816as" TargetMode="External"/><Relationship Id="rId3760" Type="http://schemas.openxmlformats.org/officeDocument/2006/relationships/hyperlink" Target="https://drive.google.com/open?id=13_e-RB7exioDyMGw_eLcey1yTag3hjTP" TargetMode="External"/><Relationship Id="rId510" Type="http://schemas.openxmlformats.org/officeDocument/2006/relationships/hyperlink" Target="https://preskilet.com/watch?v=62bdc7349535010004fd2964" TargetMode="External"/><Relationship Id="rId2430" Type="http://schemas.openxmlformats.org/officeDocument/2006/relationships/hyperlink" Target="https://drive.google.com/file/d/1XYb8pa9FobTkOMRp6E45skd-SskVQxik/view?usp=sharing" TargetMode="External"/><Relationship Id="rId3762" Type="http://schemas.openxmlformats.org/officeDocument/2006/relationships/hyperlink" Target="https://preskilet.com/watch?v=62b4a2a830b28000045236bc" TargetMode="External"/><Relationship Id="rId1100" Type="http://schemas.openxmlformats.org/officeDocument/2006/relationships/hyperlink" Target="https://drive.google.com/open?id=1knyGSpurDMSXCZenhKVON3zFp6Bi3PMP" TargetMode="External"/><Relationship Id="rId2431" Type="http://schemas.openxmlformats.org/officeDocument/2006/relationships/hyperlink" Target="https://drive.google.com/open?id=1Nb_2Uhzke0qGDbCvCuNoqrOcZJAXq-oE" TargetMode="External"/><Relationship Id="rId3761" Type="http://schemas.openxmlformats.org/officeDocument/2006/relationships/hyperlink" Target="https://www.linkedin.com/in/shubham-deshmukh-b8a7691b0" TargetMode="External"/><Relationship Id="rId1101" Type="http://schemas.openxmlformats.org/officeDocument/2006/relationships/hyperlink" Target="https://www.linkedin.com/in/charudatta-topare-242632169/" TargetMode="External"/><Relationship Id="rId2432" Type="http://schemas.openxmlformats.org/officeDocument/2006/relationships/hyperlink" Target="https://drive.google.com/open?id=1t7YuxhJcgvB0k9p8NF3hcRwY0RgiDsrS" TargetMode="External"/><Relationship Id="rId3764" Type="http://schemas.openxmlformats.org/officeDocument/2006/relationships/hyperlink" Target="https://drive.google.com/open?id=1oVQsyQ0QGK1LN_F71zsBz4XZWdTYGy_6" TargetMode="External"/><Relationship Id="rId1102" Type="http://schemas.openxmlformats.org/officeDocument/2006/relationships/hyperlink" Target="https://drive.google.com/file/d/15H8Z325gYbK7GZnRG3-CMjVTw982jWia/view?usp=sharing" TargetMode="External"/><Relationship Id="rId2433" Type="http://schemas.openxmlformats.org/officeDocument/2006/relationships/hyperlink" Target="https://drive.google.com/open?id=182WsdZ2wVhBMCDO0GX7Db-7N649ficBI" TargetMode="External"/><Relationship Id="rId3763" Type="http://schemas.openxmlformats.org/officeDocument/2006/relationships/hyperlink" Target="https://drive.google.com/open?id=1s4FunMK_4peADkO5c80FVw_1tjZ1wXv0" TargetMode="External"/><Relationship Id="rId3711" Type="http://schemas.openxmlformats.org/officeDocument/2006/relationships/hyperlink" Target="https://drive.google.com/open?id=1vgDeROtne_K1uj6Sj-GkQ90j_ti51E0Y" TargetMode="External"/><Relationship Id="rId3710" Type="http://schemas.openxmlformats.org/officeDocument/2006/relationships/hyperlink" Target="https://drive.google.com/open?id=1Tx4xj1HpLWZMdhAvxNSIOhE09Pl513g6" TargetMode="External"/><Relationship Id="rId3713" Type="http://schemas.openxmlformats.org/officeDocument/2006/relationships/hyperlink" Target="http://www.linkedin.com/in/saurabh-powar-88425a232" TargetMode="External"/><Relationship Id="rId3712" Type="http://schemas.openxmlformats.org/officeDocument/2006/relationships/hyperlink" Target="https://drive.google.com/open?id=19bVa0mG0W-DxIukyUeXbiR6TekZhAbwU" TargetMode="External"/><Relationship Id="rId3715" Type="http://schemas.openxmlformats.org/officeDocument/2006/relationships/hyperlink" Target="https://drive.google.com/open?id=1SyqwEDT1hyWkogWqDfB3L-vENog_PzA5" TargetMode="External"/><Relationship Id="rId3714" Type="http://schemas.openxmlformats.org/officeDocument/2006/relationships/hyperlink" Target="https://drive.google.com/file/d/1qA1VP2k-ksaCLBa711qQNUlxNBCvTeu0/view?usp=sharing" TargetMode="External"/><Relationship Id="rId3717" Type="http://schemas.openxmlformats.org/officeDocument/2006/relationships/hyperlink" Target="https://drive.google.com/open?id=1nnKGeGlKo-E5ngiH2OnmhW4782hRxeLU" TargetMode="External"/><Relationship Id="rId3716" Type="http://schemas.openxmlformats.org/officeDocument/2006/relationships/hyperlink" Target="https://drive.google.com/open?id=1uVKwtKC3Fq_Yx1u-zX7v8iku_quFWDBe" TargetMode="External"/><Relationship Id="rId3719" Type="http://schemas.openxmlformats.org/officeDocument/2006/relationships/hyperlink" Target="https://drive.google.com/open?id=14R2-ZOqWUaYk_h4RziAYTszpzLqcmE87" TargetMode="External"/><Relationship Id="rId3718" Type="http://schemas.openxmlformats.org/officeDocument/2006/relationships/hyperlink" Target="https://drive.google.com/open?id=1y8irw2b9GzVctO3X80cDzkZAWVBa-zUQ" TargetMode="External"/><Relationship Id="rId3700" Type="http://schemas.openxmlformats.org/officeDocument/2006/relationships/hyperlink" Target="https://drive.google.com/open?id=1saN4Z1jrbAYY1RapHuR1KEuKKFLX0R28" TargetMode="External"/><Relationship Id="rId3702" Type="http://schemas.openxmlformats.org/officeDocument/2006/relationships/hyperlink" Target="https://drive.google.com/open?id=1d0eT8uXF-FJ4EPO0pV6bDJQMmkFV9_EQ" TargetMode="External"/><Relationship Id="rId3701" Type="http://schemas.openxmlformats.org/officeDocument/2006/relationships/hyperlink" Target="https://drive.google.com/open?id=1fHmooxkmpIRoyUQDZl8os-1DcTR7rodV" TargetMode="External"/><Relationship Id="rId3704" Type="http://schemas.openxmlformats.org/officeDocument/2006/relationships/hyperlink" Target="https://drive.google.com/open?id=1rlXwSJ7Gsju_2X6h-zHhL1c0efqkMpz2" TargetMode="External"/><Relationship Id="rId3703" Type="http://schemas.openxmlformats.org/officeDocument/2006/relationships/hyperlink" Target="https://drive.google.com/open?id=1Tr-ariy6pWqJ8jnZW1RyVRkDlQ3TFWSi" TargetMode="External"/><Relationship Id="rId3706" Type="http://schemas.openxmlformats.org/officeDocument/2006/relationships/hyperlink" Target="https://drive.google.com/open?id=1PrIpLT5ZLd_ykhSSYkeEylYLA9CtgmI5" TargetMode="External"/><Relationship Id="rId3705" Type="http://schemas.openxmlformats.org/officeDocument/2006/relationships/hyperlink" Target="https://drive.google.com/open?id=1gV3OLzmOY7-RgwN1wL70tShHJN8A26ed" TargetMode="External"/><Relationship Id="rId3708" Type="http://schemas.openxmlformats.org/officeDocument/2006/relationships/hyperlink" Target="https://www.linkedin.com/in/saurabh-gunturkar-686807193" TargetMode="External"/><Relationship Id="rId3707" Type="http://schemas.openxmlformats.org/officeDocument/2006/relationships/hyperlink" Target="https://drive.google.com/open?id=1jLu3B4NXESs0fSXkExiCB38ie7X1RT88" TargetMode="External"/><Relationship Id="rId3709" Type="http://schemas.openxmlformats.org/officeDocument/2006/relationships/hyperlink" Target="https://drive.google.com/open?id=1iZ3Mpgm1z3wERBH6iNCWESg2w7fB1uh-" TargetMode="External"/><Relationship Id="rId2401" Type="http://schemas.openxmlformats.org/officeDocument/2006/relationships/hyperlink" Target="https://drive.google.com/open?id=1jgYehPwc3vMEdylaRVvHQBAz-U8R7IDQ" TargetMode="External"/><Relationship Id="rId3733" Type="http://schemas.openxmlformats.org/officeDocument/2006/relationships/hyperlink" Target="https://drive.google.com/open?id=1hV87KVVJE5r1QVrAi_a0E0G_JNdlIpIc" TargetMode="External"/><Relationship Id="rId2402" Type="http://schemas.openxmlformats.org/officeDocument/2006/relationships/hyperlink" Target="https://drive.google.com/open?id=1W5ecD9QNwW3iit25Xeu5OvBZrw62Yobg" TargetMode="External"/><Relationship Id="rId3732" Type="http://schemas.openxmlformats.org/officeDocument/2006/relationships/hyperlink" Target="https://drive.google.com/open?id=1nh6KcLBdvf9Q0kRF6D6z0wZyFGYheRJt" TargetMode="External"/><Relationship Id="rId2403" Type="http://schemas.openxmlformats.org/officeDocument/2006/relationships/hyperlink" Target="https://drive.google.com/open?id=13fliJFoi-BEAzMZnwXd10dIuupfTmR4V" TargetMode="External"/><Relationship Id="rId3735" Type="http://schemas.openxmlformats.org/officeDocument/2006/relationships/hyperlink" Target="https://drive.google.com/open?id=1qtjbkHpTHYSxfQDFkpekqroqvB0hsjN1" TargetMode="External"/><Relationship Id="rId2404" Type="http://schemas.openxmlformats.org/officeDocument/2006/relationships/hyperlink" Target="https://www.linkedin.com/in/yashchaube/" TargetMode="External"/><Relationship Id="rId3734" Type="http://schemas.openxmlformats.org/officeDocument/2006/relationships/hyperlink" Target="https://drive.google.com/open?id=1nFmcYKm5PHawX8Lq86E1J-inr2LW0Pmb" TargetMode="External"/><Relationship Id="rId2405" Type="http://schemas.openxmlformats.org/officeDocument/2006/relationships/hyperlink" Target="https://preskilet.com/watch?v=62bdec2b9535010004fd2ccb" TargetMode="External"/><Relationship Id="rId3737" Type="http://schemas.openxmlformats.org/officeDocument/2006/relationships/hyperlink" Target="https://drive.google.com/open?id=1PkMKhwSXvcLDy2DoaxgR2-WC_0UI9UBI" TargetMode="External"/><Relationship Id="rId2406" Type="http://schemas.openxmlformats.org/officeDocument/2006/relationships/hyperlink" Target="https://drive.google.com/open?id=1Vsfz6Y5aTj_ZpklTjebXwR4sxld0zT_R" TargetMode="External"/><Relationship Id="rId3736" Type="http://schemas.openxmlformats.org/officeDocument/2006/relationships/hyperlink" Target="https://drive.google.com/open?id=19v1tMNwvMOK7i_czgVdDzH9VI3Y1DSl7" TargetMode="External"/><Relationship Id="rId2407" Type="http://schemas.openxmlformats.org/officeDocument/2006/relationships/hyperlink" Target="https://drive.google.com/open?id=10lMhgLTjVr4q8I7xaWO969KJdQFPRzfu" TargetMode="External"/><Relationship Id="rId3739" Type="http://schemas.openxmlformats.org/officeDocument/2006/relationships/hyperlink" Target="https://drive.google.com/open?id=1p-s-86I8B0VAjL7fB21qODMKA3Tmod6k" TargetMode="External"/><Relationship Id="rId2408" Type="http://schemas.openxmlformats.org/officeDocument/2006/relationships/hyperlink" Target="https://drive.google.com/open?id=1N7Q38sqU8-Y9aUb2LhVmcgf0IHsfDQhO" TargetMode="External"/><Relationship Id="rId3738" Type="http://schemas.openxmlformats.org/officeDocument/2006/relationships/hyperlink" Target="https://drive.google.com/open?id=1bO9aFi0BdH-0WKVqQ4O6P_tjpbA0GUp-" TargetMode="External"/><Relationship Id="rId2409" Type="http://schemas.openxmlformats.org/officeDocument/2006/relationships/hyperlink" Target="https://drive.google.com/open?id=1fkiIWJ5UXmHQ23b069XgtoCGBmj2oVpm" TargetMode="External"/><Relationship Id="rId3731" Type="http://schemas.openxmlformats.org/officeDocument/2006/relationships/hyperlink" Target="https://drive.google.com/open?id=1Zxyl-JA3wf-KvBtQZwjuBgms5ZFxkEIo" TargetMode="External"/><Relationship Id="rId2400" Type="http://schemas.openxmlformats.org/officeDocument/2006/relationships/hyperlink" Target="https://drive.google.com/open?id=1THrzHydszHGCA1WF4tdiAXUK8w0euWtI" TargetMode="External"/><Relationship Id="rId3730" Type="http://schemas.openxmlformats.org/officeDocument/2006/relationships/hyperlink" Target="https://preskilet.com/watch?v=62a33692a6956a00045ffbe6" TargetMode="External"/><Relationship Id="rId3722" Type="http://schemas.openxmlformats.org/officeDocument/2006/relationships/hyperlink" Target="https://drive.google.com/folderview?id=1BACLzrvd0kqV9c1rW8_6hALD2jYKio_I" TargetMode="External"/><Relationship Id="rId3721" Type="http://schemas.openxmlformats.org/officeDocument/2006/relationships/hyperlink" Target="https://www.linkedin.com/in/tejas-lichade-889791241" TargetMode="External"/><Relationship Id="rId3724" Type="http://schemas.openxmlformats.org/officeDocument/2006/relationships/hyperlink" Target="https://drive.google.com/open?id=1WCM5lAng21spu0xX1w0V0QXYbWG5T51Q" TargetMode="External"/><Relationship Id="rId3723" Type="http://schemas.openxmlformats.org/officeDocument/2006/relationships/hyperlink" Target="https://drive.google.com/open?id=1G1L0vCwzr2_xHfrKTHNWTNMdNQF5jCbU" TargetMode="External"/><Relationship Id="rId3726" Type="http://schemas.openxmlformats.org/officeDocument/2006/relationships/hyperlink" Target="https://drive.google.com/open?id=1rlAiA5awPO9FTf5FIVBNXTWDIZ3qn2Jf" TargetMode="External"/><Relationship Id="rId3725" Type="http://schemas.openxmlformats.org/officeDocument/2006/relationships/hyperlink" Target="https://drive.google.com/open?id=1hKKcFde7i-EJxn5at7aprfiFn5ubjYFb" TargetMode="External"/><Relationship Id="rId3728" Type="http://schemas.openxmlformats.org/officeDocument/2006/relationships/hyperlink" Target="https://www.linkedin.com/in/asha-honshette-417228196" TargetMode="External"/><Relationship Id="rId3727" Type="http://schemas.openxmlformats.org/officeDocument/2006/relationships/hyperlink" Target="https://drive.google.com/open?id=1JJf_01NibJdFhmQHh7nQbFwJzVKf0ffJ" TargetMode="External"/><Relationship Id="rId3729" Type="http://schemas.openxmlformats.org/officeDocument/2006/relationships/hyperlink" Target="https://drive.google.com/file/d/1fd-nHmNm9BCLGRBplKP0GsRf5gUebn6t/view?usp=drivesdk" TargetMode="External"/><Relationship Id="rId3720" Type="http://schemas.openxmlformats.org/officeDocument/2006/relationships/hyperlink" Target="https://drive.google.com/open?id=1hwJd6Hhaow7O7vKkIqjEnoEMyztlStnu" TargetMode="External"/><Relationship Id="rId4206" Type="http://schemas.openxmlformats.org/officeDocument/2006/relationships/hyperlink" Target="https://www.linkedin.com/in/hrishikesh-jathar-2b8b0a243" TargetMode="External"/><Relationship Id="rId4205" Type="http://schemas.openxmlformats.org/officeDocument/2006/relationships/hyperlink" Target="https://drive.google.com/open?id=16fhypfpEpoUIAy2cCP_9otx5X69zQjMy" TargetMode="External"/><Relationship Id="rId4208" Type="http://schemas.openxmlformats.org/officeDocument/2006/relationships/hyperlink" Target="https://drive.google.com/open?id=13m4kAJMYiSpA9gxjUtSFbU_aYYyfr6nV" TargetMode="External"/><Relationship Id="rId4207" Type="http://schemas.openxmlformats.org/officeDocument/2006/relationships/hyperlink" Target="https://preskilet.com/watch?v=62bc6a865493430004e5efd4" TargetMode="External"/><Relationship Id="rId590" Type="http://schemas.openxmlformats.org/officeDocument/2006/relationships/hyperlink" Target="https://drive.google.com/open?id=1u0eW0uSycHd52Cd0i3HMvpzNplUBq0z3" TargetMode="External"/><Relationship Id="rId4209" Type="http://schemas.openxmlformats.org/officeDocument/2006/relationships/hyperlink" Target="https://drive.google.com/open?id=1MkJtJXi3m_dKW7UMfIdqqhCeZsklkM6P" TargetMode="External"/><Relationship Id="rId589" Type="http://schemas.openxmlformats.org/officeDocument/2006/relationships/hyperlink" Target="https://preskilet.com/62bd81eb9535010004fd2623" TargetMode="External"/><Relationship Id="rId588" Type="http://schemas.openxmlformats.org/officeDocument/2006/relationships/hyperlink" Target="https://www.linkedin.com/in/ganesh-bhojane-409aa1195" TargetMode="External"/><Relationship Id="rId1170" Type="http://schemas.openxmlformats.org/officeDocument/2006/relationships/hyperlink" Target="https://drive.google.com/open?id=1pzAw7IAu800-59_kqaK5zmKLyD-Cgaju" TargetMode="External"/><Relationship Id="rId1171" Type="http://schemas.openxmlformats.org/officeDocument/2006/relationships/hyperlink" Target="https://www.linkedin.com/in/shreyash-pantawane-9647b51b3" TargetMode="External"/><Relationship Id="rId583" Type="http://schemas.openxmlformats.org/officeDocument/2006/relationships/hyperlink" Target="https://drive.google.com/drive/folders/1T_92-pUCwCi6lttQLAZQmR3af5si5Lpn" TargetMode="External"/><Relationship Id="rId1172" Type="http://schemas.openxmlformats.org/officeDocument/2006/relationships/hyperlink" Target="https://drive.google.com/file/d/11gzYtZWRBreIFkAciYAH-J9QwBzmA67r/view?usp=sharing" TargetMode="External"/><Relationship Id="rId582" Type="http://schemas.openxmlformats.org/officeDocument/2006/relationships/hyperlink" Target="https://www.linkedin.com/mwlite/in/rutika-narhare-b8058721a" TargetMode="External"/><Relationship Id="rId1173" Type="http://schemas.openxmlformats.org/officeDocument/2006/relationships/hyperlink" Target="https://drive.google.com/open?id=17kNwjVwAlOtHpkS99BbTYLIziziK3X1q" TargetMode="External"/><Relationship Id="rId581" Type="http://schemas.openxmlformats.org/officeDocument/2006/relationships/hyperlink" Target="https://drive.google.com/open?id=1csMw9QbGmSXJTUY27s1fRoa-DHOu4gZV" TargetMode="External"/><Relationship Id="rId1174" Type="http://schemas.openxmlformats.org/officeDocument/2006/relationships/hyperlink" Target="https://drive.google.com/open?id=1gFHwVfPyHG8dH74xANs7xeyZ0zG0WPMQ" TargetMode="External"/><Relationship Id="rId4200" Type="http://schemas.openxmlformats.org/officeDocument/2006/relationships/hyperlink" Target="https://drive.google.com/open?id=16fm5Gk3duRLkHiHCsF_65Zp_N8xlPiYK" TargetMode="External"/><Relationship Id="rId580" Type="http://schemas.openxmlformats.org/officeDocument/2006/relationships/hyperlink" Target="https://drive.google.com/open?id=1o5IId9UIPK9mwMj3YUkjhUS-eumEh_SR" TargetMode="External"/><Relationship Id="rId1175" Type="http://schemas.openxmlformats.org/officeDocument/2006/relationships/hyperlink" Target="https://www.linkedin.com/in/dnyanadamahajan/" TargetMode="External"/><Relationship Id="rId587" Type="http://schemas.openxmlformats.org/officeDocument/2006/relationships/hyperlink" Target="https://drive.google.com/open?id=1EUcSE64CQ4b7Wpl_0iy58e02f4j9fgyJ" TargetMode="External"/><Relationship Id="rId1176" Type="http://schemas.openxmlformats.org/officeDocument/2006/relationships/hyperlink" Target="https://preskilet.com/watch?v=62a38b0fa6956a0004600727" TargetMode="External"/><Relationship Id="rId4202" Type="http://schemas.openxmlformats.org/officeDocument/2006/relationships/hyperlink" Target="https://drive.google.com/open?id=1_oYOhNdyrF9vOfTJbM0aMdehG54hof6e" TargetMode="External"/><Relationship Id="rId586" Type="http://schemas.openxmlformats.org/officeDocument/2006/relationships/hyperlink" Target="https://drive.google.com/open?id=1mpQa5TPCM6OxGF4mY57F7hrTcvFgqUcP" TargetMode="External"/><Relationship Id="rId1177" Type="http://schemas.openxmlformats.org/officeDocument/2006/relationships/hyperlink" Target="https://drive.google.com/open?id=1k8wSXA_fy204lKeeJQnvTGE-_y9sOQhW" TargetMode="External"/><Relationship Id="rId4201" Type="http://schemas.openxmlformats.org/officeDocument/2006/relationships/hyperlink" Target="https://drive.google.com/open?id=1Y6SIHtLhRuRj9PjiZoARqmxxFmWzdKgr" TargetMode="External"/><Relationship Id="rId585" Type="http://schemas.openxmlformats.org/officeDocument/2006/relationships/hyperlink" Target="https://drive.google.com/open?id=1OUwN-SOTWdNgTsigk8bgcIewndn0x77g" TargetMode="External"/><Relationship Id="rId1178" Type="http://schemas.openxmlformats.org/officeDocument/2006/relationships/hyperlink" Target="https://drive.google.com/open?id=1LEKFFVsPlEv33CaWo4Dd7dL09fp8WHz5" TargetMode="External"/><Relationship Id="rId4204" Type="http://schemas.openxmlformats.org/officeDocument/2006/relationships/hyperlink" Target="https://drive.google.com/open?id=1NW7zEUcn5dTMw0orKM1liE-uSC30y663" TargetMode="External"/><Relationship Id="rId584" Type="http://schemas.openxmlformats.org/officeDocument/2006/relationships/hyperlink" Target="https://drive.google.com/open?id=1-CboscqGiyxknJ7ow3QusLJhscHdnvzw" TargetMode="External"/><Relationship Id="rId1179" Type="http://schemas.openxmlformats.org/officeDocument/2006/relationships/hyperlink" Target="https://drive.google.com/open?id=1_FE_JxOpAUXaUTcN86kTuZL9_ic7kQEZ" TargetMode="External"/><Relationship Id="rId4203" Type="http://schemas.openxmlformats.org/officeDocument/2006/relationships/hyperlink" Target="https://drive.google.com/open?id=1M01vMJxGS3RO-HrQlpQh9voTrJ4njeYE" TargetMode="External"/><Relationship Id="rId1169" Type="http://schemas.openxmlformats.org/officeDocument/2006/relationships/hyperlink" Target="https://drive.google.com/open?id=15ICRHxzWTQjGK_PLUR4Ip6_iJ82fZhIn" TargetMode="External"/><Relationship Id="rId579" Type="http://schemas.openxmlformats.org/officeDocument/2006/relationships/hyperlink" Target="https://drive.google.com/open?id=1YC58waCNbeiEfUyI4-pPmf4tQ6lIMNUk" TargetMode="External"/><Relationship Id="rId578" Type="http://schemas.openxmlformats.org/officeDocument/2006/relationships/hyperlink" Target="https://drive.google.com/open?id=1bUzjUX_ZzQk6NhB43eaGewC-2PBYsJoA" TargetMode="External"/><Relationship Id="rId577" Type="http://schemas.openxmlformats.org/officeDocument/2006/relationships/hyperlink" Target="https://preskilet.com/watch?v=62a570615d1aa800043461bc" TargetMode="External"/><Relationship Id="rId2490" Type="http://schemas.openxmlformats.org/officeDocument/2006/relationships/hyperlink" Target="https://drive.google.com/open?id=1jr9xQkJz61DNqObUwJtIbAze5EL3684B" TargetMode="External"/><Relationship Id="rId1160" Type="http://schemas.openxmlformats.org/officeDocument/2006/relationships/hyperlink" Target="https://drive.google.com/open?id=1e4poGIAb8sSJbEaR2unIyNX1LlLtBRVW" TargetMode="External"/><Relationship Id="rId2491" Type="http://schemas.openxmlformats.org/officeDocument/2006/relationships/hyperlink" Target="https://drive.google.com/open?id=1GD3RRjHslL_LZY9j1zf5r9u_ercSiB5L" TargetMode="External"/><Relationship Id="rId572" Type="http://schemas.openxmlformats.org/officeDocument/2006/relationships/hyperlink" Target="https://drive.google.com/open?id=13fRV0IUE1au2v6RJ5FxrtNO1a7PeJtt6" TargetMode="External"/><Relationship Id="rId1161" Type="http://schemas.openxmlformats.org/officeDocument/2006/relationships/hyperlink" Target="https://drive.google.com/open?id=13lqrdqOJgOk2Ot7dXbn5yAvbZ53UpuCF" TargetMode="External"/><Relationship Id="rId2492" Type="http://schemas.openxmlformats.org/officeDocument/2006/relationships/hyperlink" Target="https://drive.google.com/open?id=1GalvjkxStRux68TkkICsatdWjAXMFn_D" TargetMode="External"/><Relationship Id="rId571" Type="http://schemas.openxmlformats.org/officeDocument/2006/relationships/hyperlink" Target="https://drive.google.com/open?id=1bdU5XyGJsUR_VbVysgXue6I4bkd7xjEK" TargetMode="External"/><Relationship Id="rId1162" Type="http://schemas.openxmlformats.org/officeDocument/2006/relationships/hyperlink" Target="https://drive.google.com/open?id=1FBJAIF7is6IGyNRrsXrs9fPgrhA_-Obt" TargetMode="External"/><Relationship Id="rId2493" Type="http://schemas.openxmlformats.org/officeDocument/2006/relationships/hyperlink" Target="https://drive.google.com/open?id=190vUhqkYh15iXvqAOur3SPojXb9JQ8pm" TargetMode="External"/><Relationship Id="rId570" Type="http://schemas.openxmlformats.org/officeDocument/2006/relationships/hyperlink" Target="https://drive.google.com/open?id=1BKZ90pVe0emAabmqxRDSYa6awTQoncoK" TargetMode="External"/><Relationship Id="rId1163" Type="http://schemas.openxmlformats.org/officeDocument/2006/relationships/hyperlink" Target="http://www.linkedin.com/in/sharwari-ambade" TargetMode="External"/><Relationship Id="rId2494" Type="http://schemas.openxmlformats.org/officeDocument/2006/relationships/hyperlink" Target="https://www.linkedin.com/in/abhishek-sandhan-710752220" TargetMode="External"/><Relationship Id="rId1164" Type="http://schemas.openxmlformats.org/officeDocument/2006/relationships/hyperlink" Target="https://preskilet.com/sbambade@mitaoe.ac.in" TargetMode="External"/><Relationship Id="rId2495" Type="http://schemas.openxmlformats.org/officeDocument/2006/relationships/hyperlink" Target="https://preskilet.com/watch?v=62a361bea6956a00045fff78" TargetMode="External"/><Relationship Id="rId576" Type="http://schemas.openxmlformats.org/officeDocument/2006/relationships/hyperlink" Target="https://www.linkedin.com/in/shreya-karmankar-587961241" TargetMode="External"/><Relationship Id="rId1165" Type="http://schemas.openxmlformats.org/officeDocument/2006/relationships/hyperlink" Target="https://drive.google.com/open?id=14o5xugzH9DwPc84eVPvaMjDfBM8Htof7" TargetMode="External"/><Relationship Id="rId2496" Type="http://schemas.openxmlformats.org/officeDocument/2006/relationships/hyperlink" Target="https://drive.google.com/open?id=11_Gq2sbvEg-uZNI9QImAb697Huk3C2NA" TargetMode="External"/><Relationship Id="rId575" Type="http://schemas.openxmlformats.org/officeDocument/2006/relationships/hyperlink" Target="https://drive.google.com/open?id=1-CXCT-Ik6kBJA4PzZnIQuxjDLbJcr78m" TargetMode="External"/><Relationship Id="rId1166" Type="http://schemas.openxmlformats.org/officeDocument/2006/relationships/hyperlink" Target="https://drive.google.com/open?id=1-UqA1Q_6ZxUo6Di7M0RrdIz3UMd5-fAA" TargetMode="External"/><Relationship Id="rId2497" Type="http://schemas.openxmlformats.org/officeDocument/2006/relationships/hyperlink" Target="https://drive.google.com/open?id=1MpS86xn9u4z8GWsk10hHiejwtR5CyG8S" TargetMode="External"/><Relationship Id="rId574" Type="http://schemas.openxmlformats.org/officeDocument/2006/relationships/hyperlink" Target="https://drive.google.com/open?id=1UVHPRPNks6Oe5IDMLrst9M6IFpvIt1KN" TargetMode="External"/><Relationship Id="rId1167" Type="http://schemas.openxmlformats.org/officeDocument/2006/relationships/hyperlink" Target="https://drive.google.com/open?id=1_LFgIPMgYuWmGvxkRnkt_QGexOx9Qzxu" TargetMode="External"/><Relationship Id="rId2498" Type="http://schemas.openxmlformats.org/officeDocument/2006/relationships/hyperlink" Target="https://drive.google.com/open?id=17AlXut2VlPP3PdGpu93cIKVniPScyWNd" TargetMode="External"/><Relationship Id="rId573" Type="http://schemas.openxmlformats.org/officeDocument/2006/relationships/hyperlink" Target="https://drive.google.com/open?id=1tFknPV4v4AquUfpqvYFdesG5fBdy-Ja0" TargetMode="External"/><Relationship Id="rId1168" Type="http://schemas.openxmlformats.org/officeDocument/2006/relationships/hyperlink" Target="https://drive.google.com/open?id=1-ay8IMHC9tBeVK6iM_AIIh4Ef1tkAk7m" TargetMode="External"/><Relationship Id="rId2499" Type="http://schemas.openxmlformats.org/officeDocument/2006/relationships/hyperlink" Target="https://drive.google.com/open?id=1p3qtLlotVyKkhgALU1p2qAwWynE8wqag" TargetMode="External"/><Relationship Id="rId4228" Type="http://schemas.openxmlformats.org/officeDocument/2006/relationships/hyperlink" Target="http://www.linkedin.com/in/sayali-chaudhari-689ab91b4" TargetMode="External"/><Relationship Id="rId4227" Type="http://schemas.openxmlformats.org/officeDocument/2006/relationships/hyperlink" Target="https://drive.google.com/open?id=1815_8W9ucv1KBhf72oS9EQhpc_RE0q8n" TargetMode="External"/><Relationship Id="rId4229" Type="http://schemas.openxmlformats.org/officeDocument/2006/relationships/hyperlink" Target="https://preskilet.com/sschaudhari@mitaoe.ac.in" TargetMode="External"/><Relationship Id="rId1190" Type="http://schemas.openxmlformats.org/officeDocument/2006/relationships/hyperlink" Target="https://preskilet.com/watch?v=62a33c7da6956a00045ffc48" TargetMode="External"/><Relationship Id="rId1191" Type="http://schemas.openxmlformats.org/officeDocument/2006/relationships/hyperlink" Target="https://drive.google.com/open?id=1bJCWavG52boheLD6vnfHysYkftBkVko7" TargetMode="External"/><Relationship Id="rId1192" Type="http://schemas.openxmlformats.org/officeDocument/2006/relationships/hyperlink" Target="https://drive.google.com/open?id=1lvpgSsAPEbzHOINrWMiczJcWnpWv0UZE" TargetMode="External"/><Relationship Id="rId1193" Type="http://schemas.openxmlformats.org/officeDocument/2006/relationships/hyperlink" Target="https://drive.google.com/open?id=1iAQ0raeV5S3ggmHlpP3i2yow0INhU7_E" TargetMode="External"/><Relationship Id="rId1194" Type="http://schemas.openxmlformats.org/officeDocument/2006/relationships/hyperlink" Target="https://drive.google.com/open?id=1nR-g3gxUfOAOl5y0kHciS3fAQ0ML_wMu" TargetMode="External"/><Relationship Id="rId4220" Type="http://schemas.openxmlformats.org/officeDocument/2006/relationships/hyperlink" Target="https://www.linkedin.com/in/pruthviraje-deshmukh-069a06213/" TargetMode="External"/><Relationship Id="rId1195" Type="http://schemas.openxmlformats.org/officeDocument/2006/relationships/hyperlink" Target="https://drive.google.com/open?id=1WFcDBd0bzbQXjIDu89iynwZBkAeoj8nY" TargetMode="External"/><Relationship Id="rId1196" Type="http://schemas.openxmlformats.org/officeDocument/2006/relationships/hyperlink" Target="https://drive.google.com/open?id=1kOnSN3lzAeFkESWkxMI9vShM3MHkGUwK" TargetMode="External"/><Relationship Id="rId4222" Type="http://schemas.openxmlformats.org/officeDocument/2006/relationships/hyperlink" Target="https://drive.google.com/open?id=1iVXG_XVKinF2MQcYkevdCzu53GqQgrO3" TargetMode="External"/><Relationship Id="rId1197" Type="http://schemas.openxmlformats.org/officeDocument/2006/relationships/hyperlink" Target="https://drive.google.com/open?id=1lYeMDVk66GsktJvNrEHU_nSYMXm4LU3x" TargetMode="External"/><Relationship Id="rId4221" Type="http://schemas.openxmlformats.org/officeDocument/2006/relationships/hyperlink" Target="https://preskilet.com/watch?v=62a38ae6a6956a0004600712" TargetMode="External"/><Relationship Id="rId1198" Type="http://schemas.openxmlformats.org/officeDocument/2006/relationships/hyperlink" Target="https://drive.google.com/open?id=1Q8GYEUCUmfSYKKEy7GkCv0cMQDeW4-kK" TargetMode="External"/><Relationship Id="rId4224" Type="http://schemas.openxmlformats.org/officeDocument/2006/relationships/hyperlink" Target="https://drive.google.com/open?id=1CTdewbowJ9fLCSGtOOEtycEvNkVJT66z" TargetMode="External"/><Relationship Id="rId1199" Type="http://schemas.openxmlformats.org/officeDocument/2006/relationships/hyperlink" Target="https://drive.google.com/open?id=1UHJbDKD51N520aYt5vsXlh-yq3DsQ-R_" TargetMode="External"/><Relationship Id="rId4223" Type="http://schemas.openxmlformats.org/officeDocument/2006/relationships/hyperlink" Target="https://drive.google.com/open?id=1GZF_DVGwDDmVHxbkhwR9o5gnUPIu_0NC" TargetMode="External"/><Relationship Id="rId4226" Type="http://schemas.openxmlformats.org/officeDocument/2006/relationships/hyperlink" Target="https://drive.google.com/open?id=1Qu9k-KSi7p9wYxbOObZINFo7cUTbmykH" TargetMode="External"/><Relationship Id="rId4225" Type="http://schemas.openxmlformats.org/officeDocument/2006/relationships/hyperlink" Target="https://drive.google.com/open?id=1Z2T0iexpwDC6lr_Fwwjv08VOgXh4Rhts" TargetMode="External"/><Relationship Id="rId4217" Type="http://schemas.openxmlformats.org/officeDocument/2006/relationships/hyperlink" Target="https://drive.google.com/open?id=1NBVMfEFPD0BzUr258q6C7CobusUGkq9C" TargetMode="External"/><Relationship Id="rId4216" Type="http://schemas.openxmlformats.org/officeDocument/2006/relationships/hyperlink" Target="https://drive.google.com/open?id=1-ckoJ9G9ZQCUxQotR6ApZL-aYBJ9iLui" TargetMode="External"/><Relationship Id="rId4219" Type="http://schemas.openxmlformats.org/officeDocument/2006/relationships/hyperlink" Target="https://drive.google.com/open?id=1Lp7kfGRjD_kfVKZIjKNoddx5SJnsBFy2" TargetMode="External"/><Relationship Id="rId4218" Type="http://schemas.openxmlformats.org/officeDocument/2006/relationships/hyperlink" Target="https://drive.google.com/open?id=1qkV0gn40BCrgxBcCFFk3SDgcIkPiTsky" TargetMode="External"/><Relationship Id="rId599" Type="http://schemas.openxmlformats.org/officeDocument/2006/relationships/hyperlink" Target="https://preskilet.com/watch?v=62a35a4ca6956a00045ffeb8" TargetMode="External"/><Relationship Id="rId1180" Type="http://schemas.openxmlformats.org/officeDocument/2006/relationships/hyperlink" Target="https://drive.google.com/open?id=1W2HRsNH3XBtoWoRwo-NMFKk_fsp8C_4r" TargetMode="External"/><Relationship Id="rId1181" Type="http://schemas.openxmlformats.org/officeDocument/2006/relationships/hyperlink" Target="https://drive.google.com/open?id=1ENYSxl3eGybyPW9I8rB_8WNKbH6fVpRN" TargetMode="External"/><Relationship Id="rId1182" Type="http://schemas.openxmlformats.org/officeDocument/2006/relationships/hyperlink" Target="https://www.linkedin.com/in/krishnadhote153" TargetMode="External"/><Relationship Id="rId594" Type="http://schemas.openxmlformats.org/officeDocument/2006/relationships/hyperlink" Target="https://drive.google.com/open?id=1eiNTC8rrXqfkgC9g3Hn0xsPwBv-cDGee" TargetMode="External"/><Relationship Id="rId1183" Type="http://schemas.openxmlformats.org/officeDocument/2006/relationships/hyperlink" Target="https://preskilet.com/ksdhote@mitaoe.ac.in" TargetMode="External"/><Relationship Id="rId593" Type="http://schemas.openxmlformats.org/officeDocument/2006/relationships/hyperlink" Target="https://drive.google.com/open?id=127dH3CtXCT-Uwp-9E0QWV6iA6bI0iP0O" TargetMode="External"/><Relationship Id="rId1184" Type="http://schemas.openxmlformats.org/officeDocument/2006/relationships/hyperlink" Target="https://drive.google.com/open?id=1U0jZS-WyQqXEvSofC89AlZiXDv6bshTG" TargetMode="External"/><Relationship Id="rId592" Type="http://schemas.openxmlformats.org/officeDocument/2006/relationships/hyperlink" Target="https://drive.google.com/open?id=1VaRAYEn_yb4AFVC5fwtg9l_-V2awRCW_" TargetMode="External"/><Relationship Id="rId1185" Type="http://schemas.openxmlformats.org/officeDocument/2006/relationships/hyperlink" Target="https://drive.google.com/open?id=1odvmUM-Op_11dScdJjrHr-ogVqUabSoN" TargetMode="External"/><Relationship Id="rId4211" Type="http://schemas.openxmlformats.org/officeDocument/2006/relationships/hyperlink" Target="https://drive.google.com/open?id=1VVHpyogso_bLpkebnqbIrjGfZHOx_Adv" TargetMode="External"/><Relationship Id="rId591" Type="http://schemas.openxmlformats.org/officeDocument/2006/relationships/hyperlink" Target="https://drive.google.com/open?id=1MkdtG5i2yuja91niaIB8vFZO9x1jJ3ao" TargetMode="External"/><Relationship Id="rId1186" Type="http://schemas.openxmlformats.org/officeDocument/2006/relationships/hyperlink" Target="https://drive.google.com/open?id=1QIjQmT26aan9WJCQ13BkUdVU90COReeS" TargetMode="External"/><Relationship Id="rId4210" Type="http://schemas.openxmlformats.org/officeDocument/2006/relationships/hyperlink" Target="https://drive.google.com/open?id=1etlaPfF2jRleNCZ6GhUEtgjj__ZChhA-" TargetMode="External"/><Relationship Id="rId598" Type="http://schemas.openxmlformats.org/officeDocument/2006/relationships/hyperlink" Target="https://www.linkedin.com/in/ganesh-boyane-a25100241" TargetMode="External"/><Relationship Id="rId1187" Type="http://schemas.openxmlformats.org/officeDocument/2006/relationships/hyperlink" Target="https://drive.google.com/open?id=1L6hGkU0fce-_DtMl0A26Jh9mXLmyv7yY" TargetMode="External"/><Relationship Id="rId4213" Type="http://schemas.openxmlformats.org/officeDocument/2006/relationships/hyperlink" Target="https://preskilet.com/watch?v=62bc69715493430004e5efce" TargetMode="External"/><Relationship Id="rId597" Type="http://schemas.openxmlformats.org/officeDocument/2006/relationships/hyperlink" Target="https://drive.google.com/open?id=1GQbd7w35xfYDZtIt_NXPaXsZF9GZftR9" TargetMode="External"/><Relationship Id="rId1188" Type="http://schemas.openxmlformats.org/officeDocument/2006/relationships/hyperlink" Target="https://drive.google.com/open?id=1otBKxxtE_i40QHOYGa_uIydifGMYiZh7" TargetMode="External"/><Relationship Id="rId4212" Type="http://schemas.openxmlformats.org/officeDocument/2006/relationships/hyperlink" Target="https://www.linkedin.com/in/aniruddha-karad-934a86153" TargetMode="External"/><Relationship Id="rId596" Type="http://schemas.openxmlformats.org/officeDocument/2006/relationships/hyperlink" Target="https://drive.google.com/open?id=1lc4rj5JrZPyUskl-a7k94N9NBqosP-Zc" TargetMode="External"/><Relationship Id="rId1189" Type="http://schemas.openxmlformats.org/officeDocument/2006/relationships/hyperlink" Target="https://www.linkedin.com/in/nandini-barkul-56bb901b2" TargetMode="External"/><Relationship Id="rId4215" Type="http://schemas.openxmlformats.org/officeDocument/2006/relationships/hyperlink" Target="https://drive.google.com/open?id=1ElgBYz-6fWX738qD0BorDUUxw30VT3xl" TargetMode="External"/><Relationship Id="rId595" Type="http://schemas.openxmlformats.org/officeDocument/2006/relationships/hyperlink" Target="https://drive.google.com/open?id=1ioCJgbbdWL4alKtS6x82bT-TU1s5XjAq" TargetMode="External"/><Relationship Id="rId4214" Type="http://schemas.openxmlformats.org/officeDocument/2006/relationships/hyperlink" Target="https://drive.google.com/open?id=11J0OFswGHvPnBXSfwhH4JzkWmrymPanL" TargetMode="External"/><Relationship Id="rId1136" Type="http://schemas.openxmlformats.org/officeDocument/2006/relationships/hyperlink" Target="https://drive.google.com/open?id=19f3UOrumn0mq1prtXqV7zUkDaAqP-Co9" TargetMode="External"/><Relationship Id="rId2467" Type="http://schemas.openxmlformats.org/officeDocument/2006/relationships/hyperlink" Target="http://www.linkedin.com/in/venkatesh-yanganti-4aa373221" TargetMode="External"/><Relationship Id="rId3799" Type="http://schemas.openxmlformats.org/officeDocument/2006/relationships/hyperlink" Target="https://drive.google.com/open?id=16H0MQ_K33wNn607T1JcOAZ2zkgUf-ZAW" TargetMode="External"/><Relationship Id="rId1137" Type="http://schemas.openxmlformats.org/officeDocument/2006/relationships/hyperlink" Target="https://drive.google.com/open?id=1gZhkxkVGfZifwR8rDdK72Gc3bQ3V7aGi" TargetMode="External"/><Relationship Id="rId2468" Type="http://schemas.openxmlformats.org/officeDocument/2006/relationships/hyperlink" Target="https://preskilet.com/62b55805af4f2700045cdd09" TargetMode="External"/><Relationship Id="rId3798" Type="http://schemas.openxmlformats.org/officeDocument/2006/relationships/hyperlink" Target="https://drive.google.com/open?id=1E9L2eDqbmZLcaPWPnR9K7rLA0NhwYc1r" TargetMode="External"/><Relationship Id="rId1138" Type="http://schemas.openxmlformats.org/officeDocument/2006/relationships/hyperlink" Target="https://drive.google.com/open?id=1aX9taxo3TKdMnV-bDLBODvTRmAQAvFJR" TargetMode="External"/><Relationship Id="rId2469" Type="http://schemas.openxmlformats.org/officeDocument/2006/relationships/hyperlink" Target="https://drive.google.com/open?id=1mM8RGrE4kej-hKaSFNz89cZCRM-9BVqx" TargetMode="External"/><Relationship Id="rId1139" Type="http://schemas.openxmlformats.org/officeDocument/2006/relationships/hyperlink" Target="https://drive.google.com/open?id=12gZj97wv5sLT4yjJ427AZ8uJS67iy6qG" TargetMode="External"/><Relationship Id="rId547" Type="http://schemas.openxmlformats.org/officeDocument/2006/relationships/hyperlink" Target="https://drive.google.com/open?id=187R1DOlyFRUy_618cQabcGgOeHyVF80U" TargetMode="External"/><Relationship Id="rId546" Type="http://schemas.openxmlformats.org/officeDocument/2006/relationships/hyperlink" Target="https://drive.google.com/open?id=1pyqXLDWvQ20flACysuENmNekIufYTklO" TargetMode="External"/><Relationship Id="rId545" Type="http://schemas.openxmlformats.org/officeDocument/2006/relationships/hyperlink" Target="https://drive.google.com/open?id=1vx5HjpfzQuFttzF3OUCL0ebB7XgWZeUt" TargetMode="External"/><Relationship Id="rId544" Type="http://schemas.openxmlformats.org/officeDocument/2006/relationships/hyperlink" Target="https://drive.google.com/open?id=1xNs7EEvJFb6trNdP4DpYlPyWIJjYTr1I" TargetMode="External"/><Relationship Id="rId549" Type="http://schemas.openxmlformats.org/officeDocument/2006/relationships/hyperlink" Target="https://preskilet.com/watch?v=62a38af4a6956a0004600717" TargetMode="External"/><Relationship Id="rId548" Type="http://schemas.openxmlformats.org/officeDocument/2006/relationships/hyperlink" Target="https://www.linkedin.com/in/samadhan-kolekar-62584b233" TargetMode="External"/><Relationship Id="rId3791" Type="http://schemas.openxmlformats.org/officeDocument/2006/relationships/hyperlink" Target="https://drive.google.com/open?id=189S2nG-L2K4dViEkEZM1hWArNln_khyJ" TargetMode="External"/><Relationship Id="rId2460" Type="http://schemas.openxmlformats.org/officeDocument/2006/relationships/hyperlink" Target="https://drive.google.com/open?id=10S-8bYZgEEnk2PqrSGQ6-AZE3grjUVN-" TargetMode="External"/><Relationship Id="rId3790" Type="http://schemas.openxmlformats.org/officeDocument/2006/relationships/hyperlink" Target="https://drive.google.com/open?id=1wrvHjnDzgmChf8xX8Dpo1Z4CM7TU8JiW" TargetMode="External"/><Relationship Id="rId1130" Type="http://schemas.openxmlformats.org/officeDocument/2006/relationships/hyperlink" Target="https://drive.google.com/open?id=1MeZ0AI82Y3h-qfeR33jsesSRd6eDBcfI" TargetMode="External"/><Relationship Id="rId2461" Type="http://schemas.openxmlformats.org/officeDocument/2006/relationships/hyperlink" Target="https://drive.google.com/open?id=1njrl0OdoaPS1Hsq1CsRBE-AyTiYYgQ-Z" TargetMode="External"/><Relationship Id="rId3793" Type="http://schemas.openxmlformats.org/officeDocument/2006/relationships/hyperlink" Target="https://drive.google.com/open?id=1_B4yZ4EVU4DMf3Mnj-Q0ssS6o9jtduzW" TargetMode="External"/><Relationship Id="rId1131" Type="http://schemas.openxmlformats.org/officeDocument/2006/relationships/hyperlink" Target="https://drive.google.com/open?id=1gUXDOXlpJdSPtIIEUgTll0SG5dVJDkpl" TargetMode="External"/><Relationship Id="rId2462" Type="http://schemas.openxmlformats.org/officeDocument/2006/relationships/hyperlink" Target="https://drive.google.com/open?id=16Y0nhUzHPnPxAmsAZkrfA9CdOL9nN6GZ" TargetMode="External"/><Relationship Id="rId3792" Type="http://schemas.openxmlformats.org/officeDocument/2006/relationships/hyperlink" Target="https://drive.google.com/open?id=1mY2EEP7J9uVCp7cI-3kqHQfhySEcqaN-" TargetMode="External"/><Relationship Id="rId543" Type="http://schemas.openxmlformats.org/officeDocument/2006/relationships/hyperlink" Target="https://drive.google.com/open?id=17XOfSOinXUUJp2DKCD5t-XE-vaWF-RNf" TargetMode="External"/><Relationship Id="rId1132" Type="http://schemas.openxmlformats.org/officeDocument/2006/relationships/hyperlink" Target="https://drive.google.com/open?id=1kycxdN7CK7a4hr6YpUE2OslPsxqEm9oU" TargetMode="External"/><Relationship Id="rId2463" Type="http://schemas.openxmlformats.org/officeDocument/2006/relationships/hyperlink" Target="https://drive.google.com/open?id=1uRWyBSoXz3VDFhYptVa-8jRt2AtZkZur" TargetMode="External"/><Relationship Id="rId3795" Type="http://schemas.openxmlformats.org/officeDocument/2006/relationships/hyperlink" Target="https://www.linkedin.com/in/niranjan-ghadge-a3a890241" TargetMode="External"/><Relationship Id="rId542" Type="http://schemas.openxmlformats.org/officeDocument/2006/relationships/hyperlink" Target="https://drive.google.com/open?id=1j5tZeqAjRg3B0NRgfOhC3WtaWvxB8-nU" TargetMode="External"/><Relationship Id="rId1133" Type="http://schemas.openxmlformats.org/officeDocument/2006/relationships/hyperlink" Target="https://drive.google.com/open?id=1pe7UYQXEhap2gP84n0mndapbOxSEk_8M" TargetMode="External"/><Relationship Id="rId2464" Type="http://schemas.openxmlformats.org/officeDocument/2006/relationships/hyperlink" Target="https://drive.google.com/open?id=14BSabV8FufJiVPo0ZNXm_Ir0KVr7Pm4F" TargetMode="External"/><Relationship Id="rId3794" Type="http://schemas.openxmlformats.org/officeDocument/2006/relationships/hyperlink" Target="https://drive.google.com/open?id=1NAho1XEJCrh0t2Daxcm-Oe_WGQQkoF82" TargetMode="External"/><Relationship Id="rId541" Type="http://schemas.openxmlformats.org/officeDocument/2006/relationships/hyperlink" Target="https://drive.google.com/open?id=1FX0uJIqPlH5b3Zw2G-7u4-KyusEGMuBk" TargetMode="External"/><Relationship Id="rId1134" Type="http://schemas.openxmlformats.org/officeDocument/2006/relationships/hyperlink" Target="http://www.linkedin.com/in/mayur-gadhave-21072001" TargetMode="External"/><Relationship Id="rId2465" Type="http://schemas.openxmlformats.org/officeDocument/2006/relationships/hyperlink" Target="https://drive.google.com/open?id=11iDR-lbbuCJ1LVgvriOmh4q-ZtoEG6Z0" TargetMode="External"/><Relationship Id="rId3797" Type="http://schemas.openxmlformats.org/officeDocument/2006/relationships/hyperlink" Target="https://drive.google.com/open?id=1iq-EYAfxccNr_ynGF0s3VtdI3pwQH6yJ" TargetMode="External"/><Relationship Id="rId540" Type="http://schemas.openxmlformats.org/officeDocument/2006/relationships/hyperlink" Target="https://preskilet.com/629c7cd0300eb1000471f1b8" TargetMode="External"/><Relationship Id="rId1135" Type="http://schemas.openxmlformats.org/officeDocument/2006/relationships/hyperlink" Target="https://drive.google.com/drive/folders/10A2d1oG5Ce_esbdeIe2UL9Mo6-KZuoIs?usp=sharing" TargetMode="External"/><Relationship Id="rId2466" Type="http://schemas.openxmlformats.org/officeDocument/2006/relationships/hyperlink" Target="https://drive.google.com/open?id=1p7JS_diuzLueHn0JV016Ht1TadvKjeN0" TargetMode="External"/><Relationship Id="rId3796" Type="http://schemas.openxmlformats.org/officeDocument/2006/relationships/hyperlink" Target="https://preskilet.com/watch?v=62b5ca4eaf4f2700045ce026" TargetMode="External"/><Relationship Id="rId1125" Type="http://schemas.openxmlformats.org/officeDocument/2006/relationships/hyperlink" Target="https://drive.google.com/open?id=1Hc3M0w8Eod9m6TCniRgpYTlX6na9aboi" TargetMode="External"/><Relationship Id="rId2456" Type="http://schemas.openxmlformats.org/officeDocument/2006/relationships/hyperlink" Target="https://drive.google.com/open?id=1obLeaTA5SZwU363eRUwLbYYdxzXbRUyq" TargetMode="External"/><Relationship Id="rId3788" Type="http://schemas.openxmlformats.org/officeDocument/2006/relationships/hyperlink" Target="https://preskilet.com/watch?v=62b54d59af4f2700045cdb7a" TargetMode="External"/><Relationship Id="rId1126" Type="http://schemas.openxmlformats.org/officeDocument/2006/relationships/hyperlink" Target="https://www.linkedin.com/in/raj-pandey-82773a192" TargetMode="External"/><Relationship Id="rId2457" Type="http://schemas.openxmlformats.org/officeDocument/2006/relationships/hyperlink" Target="https://drive.google.com/open?id=1Zshtk2fwtplX9TwXv5-MNNVU_XWO5eTf" TargetMode="External"/><Relationship Id="rId3787" Type="http://schemas.openxmlformats.org/officeDocument/2006/relationships/hyperlink" Target="https://www.linkedin.com/in/sushant-ingawale-a4688119b" TargetMode="External"/><Relationship Id="rId1127" Type="http://schemas.openxmlformats.org/officeDocument/2006/relationships/hyperlink" Target="https://preskilet.com/watch?v=629665b7716ac1000498194a" TargetMode="External"/><Relationship Id="rId2458" Type="http://schemas.openxmlformats.org/officeDocument/2006/relationships/hyperlink" Target="https://drive.google.com/drive/folders/1LwjQRy4XKJVs6MAtSN2h6sEOCGK7Lk5t" TargetMode="External"/><Relationship Id="rId1128" Type="http://schemas.openxmlformats.org/officeDocument/2006/relationships/hyperlink" Target="https://drive.google.com/open?id=1uGoG_qIFJmcpQ8mpsDRLt1mtiVz-SMg_" TargetMode="External"/><Relationship Id="rId2459" Type="http://schemas.openxmlformats.org/officeDocument/2006/relationships/hyperlink" Target="https://drive.google.com/open?id=12OkiiHIA5oY_e1Ihq6jORGmDoWF0un-0" TargetMode="External"/><Relationship Id="rId3789" Type="http://schemas.openxmlformats.org/officeDocument/2006/relationships/hyperlink" Target="https://drive.google.com/open?id=1PkX5AO92gUqGO-5rWqGM6DwfiLXZJNev" TargetMode="External"/><Relationship Id="rId1129" Type="http://schemas.openxmlformats.org/officeDocument/2006/relationships/hyperlink" Target="https://drive.google.com/open?id=18dzjsM4CXT9VXwBIfaY_O_1Sbp_9uobG" TargetMode="External"/><Relationship Id="rId536" Type="http://schemas.openxmlformats.org/officeDocument/2006/relationships/hyperlink" Target="https://drive.google.com/open?id=11zaUMj-TCnm1fLO_cWHPGnfvW_uXjg_L" TargetMode="External"/><Relationship Id="rId535" Type="http://schemas.openxmlformats.org/officeDocument/2006/relationships/hyperlink" Target="https://drive.google.com/open?id=1zbD7VA4qM7bvmnt_ikND22vGLhDyd1sm" TargetMode="External"/><Relationship Id="rId534" Type="http://schemas.openxmlformats.org/officeDocument/2006/relationships/hyperlink" Target="https://preskilet.com/watch?v=62bde5da9535010004fd2bd0" TargetMode="External"/><Relationship Id="rId533" Type="http://schemas.openxmlformats.org/officeDocument/2006/relationships/hyperlink" Target="http://www.linkedin.com/in/sahil-sharma-00a51a1b4" TargetMode="External"/><Relationship Id="rId539" Type="http://schemas.openxmlformats.org/officeDocument/2006/relationships/hyperlink" Target="https://www.linkedin.com/in/sandip-butepwad-493a12211" TargetMode="External"/><Relationship Id="rId538" Type="http://schemas.openxmlformats.org/officeDocument/2006/relationships/hyperlink" Target="https://drive.google.com/open?id=1aLSCuSSnKIDsW7ctwxXhHQQPwuMYiVHo" TargetMode="External"/><Relationship Id="rId537" Type="http://schemas.openxmlformats.org/officeDocument/2006/relationships/hyperlink" Target="https://drive.google.com/open?id=1cQAnVzQ4_SSCqIV1yRK0vH8drIPJdnCb" TargetMode="External"/><Relationship Id="rId3780" Type="http://schemas.openxmlformats.org/officeDocument/2006/relationships/hyperlink" Target="https://drive.google.com/open?id=1p5BUsU9RPKC5Bef-KGpgVtUSvob7vL1o" TargetMode="External"/><Relationship Id="rId2450" Type="http://schemas.openxmlformats.org/officeDocument/2006/relationships/hyperlink" Target="https://www.linkedin.com/in/akash-bhingare-738245234/" TargetMode="External"/><Relationship Id="rId3782" Type="http://schemas.openxmlformats.org/officeDocument/2006/relationships/hyperlink" Target="https://drive.google.com/open?id=1JU-AuQ82c2dblruGN0ngXLyA8XOcbfOd" TargetMode="External"/><Relationship Id="rId1120" Type="http://schemas.openxmlformats.org/officeDocument/2006/relationships/hyperlink" Target="https://drive.google.com/open?id=1egS6VTgVObnEQtBAInfC17AaJTgLF5Dk" TargetMode="External"/><Relationship Id="rId2451" Type="http://schemas.openxmlformats.org/officeDocument/2006/relationships/hyperlink" Target="https://preskilet.com/watch?v=62c6ec90ad18420004a73548" TargetMode="External"/><Relationship Id="rId3781" Type="http://schemas.openxmlformats.org/officeDocument/2006/relationships/hyperlink" Target="https://drive.google.com/open?id=1UXp3Fok8EgdoJ5JxZ2HFDHfIXcfQ5Ylx" TargetMode="External"/><Relationship Id="rId532" Type="http://schemas.openxmlformats.org/officeDocument/2006/relationships/hyperlink" Target="https://drive.google.com/open?id=1rrLzV-rrIzFllOSAsxQweyiEwwMKiDdx" TargetMode="External"/><Relationship Id="rId1121" Type="http://schemas.openxmlformats.org/officeDocument/2006/relationships/hyperlink" Target="https://drive.google.com/open?id=1h-PhMW0b71dVVgcE73B88lWt1WAd_Nlc" TargetMode="External"/><Relationship Id="rId2452" Type="http://schemas.openxmlformats.org/officeDocument/2006/relationships/hyperlink" Target="https://drive.google.com/open?id=1q7qCUPP2rABOq0EFV_mhmMw9q40wkmzx" TargetMode="External"/><Relationship Id="rId3784" Type="http://schemas.openxmlformats.org/officeDocument/2006/relationships/hyperlink" Target="https://drive.google.com/open?id=11UXXfWL3jHmythxdIG2ERqBTcI3d8rui" TargetMode="External"/><Relationship Id="rId531" Type="http://schemas.openxmlformats.org/officeDocument/2006/relationships/hyperlink" Target="https://drive.google.com/open?id=1gdgXvckDpi3tFS2ujdKLJzw3lGwje3-7" TargetMode="External"/><Relationship Id="rId1122" Type="http://schemas.openxmlformats.org/officeDocument/2006/relationships/hyperlink" Target="https://drive.google.com/open?id=1CQ5w2esCX3L3FJU6JGg3nmYSkDxLmVA7" TargetMode="External"/><Relationship Id="rId2453" Type="http://schemas.openxmlformats.org/officeDocument/2006/relationships/hyperlink" Target="https://drive.google.com/open?id=1M8mJ_vN-0XsCFqEXM4k4qf7BaZ8YNwdW" TargetMode="External"/><Relationship Id="rId3783" Type="http://schemas.openxmlformats.org/officeDocument/2006/relationships/hyperlink" Target="https://drive.google.com/open?id=1TR1dRN6Hpq2yux5_rdL3qZLEIb2U3--9" TargetMode="External"/><Relationship Id="rId530" Type="http://schemas.openxmlformats.org/officeDocument/2006/relationships/hyperlink" Target="https://drive.google.com/open?id=1Y7Wo3c4TsjFetTgar2ZcBoNY9rort6md" TargetMode="External"/><Relationship Id="rId1123" Type="http://schemas.openxmlformats.org/officeDocument/2006/relationships/hyperlink" Target="https://drive.google.com/open?id=1rEz-xNj6mJCCCSy10swpqJgcvQg42rqd" TargetMode="External"/><Relationship Id="rId2454" Type="http://schemas.openxmlformats.org/officeDocument/2006/relationships/hyperlink" Target="https://drive.google.com/open?id=1ViA8pmSRIY-qFTg1b7exoBwGy7f4YEYF" TargetMode="External"/><Relationship Id="rId3786" Type="http://schemas.openxmlformats.org/officeDocument/2006/relationships/hyperlink" Target="https://drive.google.com/open?id=1eY2aTx8o2PcpVmdVXgt1KSXmdv8-PdwW" TargetMode="External"/><Relationship Id="rId1124" Type="http://schemas.openxmlformats.org/officeDocument/2006/relationships/hyperlink" Target="https://drive.google.com/open?id=1i0Av7GiPTQsBvRGdSDQrDa8igIsHqLUl" TargetMode="External"/><Relationship Id="rId2455" Type="http://schemas.openxmlformats.org/officeDocument/2006/relationships/hyperlink" Target="https://drive.google.com/open?id=1mET6dKr34HXcuNAT_UhperNF7tV1vx5A" TargetMode="External"/><Relationship Id="rId3785" Type="http://schemas.openxmlformats.org/officeDocument/2006/relationships/hyperlink" Target="https://drive.google.com/open?id=1W9fiqRpY5ElAHn5r3DvQ5yQNxTerSWdn" TargetMode="External"/><Relationship Id="rId1158" Type="http://schemas.openxmlformats.org/officeDocument/2006/relationships/hyperlink" Target="https://drive.google.com/open?id=1kHyjymP4LkrRE3bt7mLT-DZxvVu3_4k9" TargetMode="External"/><Relationship Id="rId2489" Type="http://schemas.openxmlformats.org/officeDocument/2006/relationships/hyperlink" Target="https://drive.google.com/open?id=1sJkXrdTcLMxyPiLRlYjSJBJYDAZgTcLm" TargetMode="External"/><Relationship Id="rId1159" Type="http://schemas.openxmlformats.org/officeDocument/2006/relationships/hyperlink" Target="https://drive.google.com/open?id=1ZIZDR3uVn_nSD_USydwg96f9kKJgkToU" TargetMode="External"/><Relationship Id="rId569" Type="http://schemas.openxmlformats.org/officeDocument/2006/relationships/hyperlink" Target="https://preskilet.com/watch?v=62b4c26930b2800004523918" TargetMode="External"/><Relationship Id="rId568" Type="http://schemas.openxmlformats.org/officeDocument/2006/relationships/hyperlink" Target="https://www.linkedin.com/in/nishant-kadam-02aa08210" TargetMode="External"/><Relationship Id="rId567" Type="http://schemas.openxmlformats.org/officeDocument/2006/relationships/hyperlink" Target="https://drive.google.com/open?id=1tAQKxqM6bB9iPHoEeK8MC8DCFP8BjUcP" TargetMode="External"/><Relationship Id="rId566" Type="http://schemas.openxmlformats.org/officeDocument/2006/relationships/hyperlink" Target="https://drive.google.com/open?id=1DtVYt95rvdGzBiKF8UEUs3dENScyaQXA" TargetMode="External"/><Relationship Id="rId2480" Type="http://schemas.openxmlformats.org/officeDocument/2006/relationships/hyperlink" Target="https://drive.google.com/open?id=14-QZb1VpgYzeY_-7C-fT324RugBDd1C4" TargetMode="External"/><Relationship Id="rId561" Type="http://schemas.openxmlformats.org/officeDocument/2006/relationships/hyperlink" Target="https://preskilet.com/watch?v=62a46028589aee0004d98475" TargetMode="External"/><Relationship Id="rId1150" Type="http://schemas.openxmlformats.org/officeDocument/2006/relationships/hyperlink" Target="https://www.linkedin.com/in/anurag-taparia-a1a981198/" TargetMode="External"/><Relationship Id="rId2481" Type="http://schemas.openxmlformats.org/officeDocument/2006/relationships/hyperlink" Target="https://drive.google.com/open?id=19lFp6C1IZsXHcqoogfsgWowAf41sDgNE" TargetMode="External"/><Relationship Id="rId560" Type="http://schemas.openxmlformats.org/officeDocument/2006/relationships/hyperlink" Target="https://www.linkedin.com/in/madhukar-shinde-020424211/" TargetMode="External"/><Relationship Id="rId1151" Type="http://schemas.openxmlformats.org/officeDocument/2006/relationships/hyperlink" Target="https://preskilet.com/watch?v=62a369f9a6956a000460008d" TargetMode="External"/><Relationship Id="rId2482" Type="http://schemas.openxmlformats.org/officeDocument/2006/relationships/hyperlink" Target="https://drive.google.com/open?id=1twYsmfcBM8ak9z376C9jqDA4OJCgt3p9" TargetMode="External"/><Relationship Id="rId1152" Type="http://schemas.openxmlformats.org/officeDocument/2006/relationships/hyperlink" Target="https://drive.google.com/open?id=1cm0_gre9VvC8c8mLtMee6eZi0zGyMkWP" TargetMode="External"/><Relationship Id="rId2483" Type="http://schemas.openxmlformats.org/officeDocument/2006/relationships/hyperlink" Target="https://drive.google.com/open?id=1YFGcOwZTucquAmMACZpq9EVEmLDC9QMu" TargetMode="External"/><Relationship Id="rId1153" Type="http://schemas.openxmlformats.org/officeDocument/2006/relationships/hyperlink" Target="https://drive.google.com/open?id=1j9cxD-s4IH6DzZK0vQigRCQlgC7tb9Ey" TargetMode="External"/><Relationship Id="rId2484" Type="http://schemas.openxmlformats.org/officeDocument/2006/relationships/hyperlink" Target="https://drive.google.com/open?id=19GxkVIg3UDLn_SytWe92KCeUqk_Huv6G" TargetMode="External"/><Relationship Id="rId565" Type="http://schemas.openxmlformats.org/officeDocument/2006/relationships/hyperlink" Target="https://drive.google.com/open?id=1C6CpvWKVXlPBpJ-7tq_V5AlyNsgSwT0h" TargetMode="External"/><Relationship Id="rId1154" Type="http://schemas.openxmlformats.org/officeDocument/2006/relationships/hyperlink" Target="https://drive.google.com/open?id=1dDas11FoaYClOCYTwYzk2y2ebRceHY7I" TargetMode="External"/><Relationship Id="rId2485" Type="http://schemas.openxmlformats.org/officeDocument/2006/relationships/hyperlink" Target="https://drive.google.com/open?id=17cTbOdAeCGxT8CaX-aLRA36D_7ybhfWH" TargetMode="External"/><Relationship Id="rId564" Type="http://schemas.openxmlformats.org/officeDocument/2006/relationships/hyperlink" Target="https://drive.google.com/open?id=1DZYA-vWarvjrsq5ubVWQ02EEsyp4uPUk" TargetMode="External"/><Relationship Id="rId1155" Type="http://schemas.openxmlformats.org/officeDocument/2006/relationships/hyperlink" Target="https://drive.google.com/open?id=1AGj9Ko4ocbDxsyPR0s86OW8_Sj8IvI_o" TargetMode="External"/><Relationship Id="rId2486" Type="http://schemas.openxmlformats.org/officeDocument/2006/relationships/hyperlink" Target="https://www.linkedin.com/authwall?trk=bf&amp;trkInfo=AQFGeUb1rvEcNQAAAYFObT2Y--hiRFt8aBtmeYwW0ndAed5fsl-z5E9oJyjM0ILg7GCsp9f4kJYgv83M6p2V4lVX0jWVVvg6jhk1EYrSbp8NBuhHvsSb1sEmZip_VMHxfSiLe98=&amp;original_referer=&amp;sessionRedirect=https%3A%2F%2Fwww.linkedin.com%2Fin%2Fsuraj-jaybhaye-1611a4175" TargetMode="External"/><Relationship Id="rId563" Type="http://schemas.openxmlformats.org/officeDocument/2006/relationships/hyperlink" Target="https://drive.google.com/open?id=13BL7rMV-GJPlaRN6PBf2UrwcVO8FSBa6" TargetMode="External"/><Relationship Id="rId1156" Type="http://schemas.openxmlformats.org/officeDocument/2006/relationships/hyperlink" Target="https://www.linkedin.com/in/adwait-kharkar-9060b723a" TargetMode="External"/><Relationship Id="rId2487" Type="http://schemas.openxmlformats.org/officeDocument/2006/relationships/hyperlink" Target="https://preskilet.com/watch?v=62bdcea29535010004fd2a6e" TargetMode="External"/><Relationship Id="rId562" Type="http://schemas.openxmlformats.org/officeDocument/2006/relationships/hyperlink" Target="https://drive.google.com/open?id=12JXUTx7ydUqG7UuZt70eBEAJcdwFHLZe" TargetMode="External"/><Relationship Id="rId1157" Type="http://schemas.openxmlformats.org/officeDocument/2006/relationships/hyperlink" Target="https://preskilet.com/watch?v=62b46a6e30b2800004523302" TargetMode="External"/><Relationship Id="rId2488" Type="http://schemas.openxmlformats.org/officeDocument/2006/relationships/hyperlink" Target="https://drive.google.com/open?id=1JiPPJW_coSkNnHuBzHPy3KJAacjV1HZy" TargetMode="External"/><Relationship Id="rId1147" Type="http://schemas.openxmlformats.org/officeDocument/2006/relationships/hyperlink" Target="https://drive.google.com/open?id=1Lpi8LJgEl90atXCd3OjFdu_lgPaQhKca" TargetMode="External"/><Relationship Id="rId2478" Type="http://schemas.openxmlformats.org/officeDocument/2006/relationships/hyperlink" Target="https://www.linkedin.com/in/akash-athani-ab6277205" TargetMode="External"/><Relationship Id="rId1148" Type="http://schemas.openxmlformats.org/officeDocument/2006/relationships/hyperlink" Target="https://drive.google.com/open?id=1_dAghIlHbEhJLi5dUJakqOeym4j97cQX" TargetMode="External"/><Relationship Id="rId2479" Type="http://schemas.openxmlformats.org/officeDocument/2006/relationships/hyperlink" Target="https://preskilet.com/watch?v=62a3732aa6956a0004600204" TargetMode="External"/><Relationship Id="rId1149" Type="http://schemas.openxmlformats.org/officeDocument/2006/relationships/hyperlink" Target="https://drive.google.com/open?id=1ZZVLLi719ee0XEPKKzWp56ZiMjZHypbH" TargetMode="External"/><Relationship Id="rId558" Type="http://schemas.openxmlformats.org/officeDocument/2006/relationships/hyperlink" Target="https://drive.google.com/open?id=1BPO7uPcuWa-CNPzOKloXezbku8rwXrnC" TargetMode="External"/><Relationship Id="rId557" Type="http://schemas.openxmlformats.org/officeDocument/2006/relationships/hyperlink" Target="https://drive.google.com/open?id=1Eh66WdcAeRpWhCONibW46bErxk7MR9HX" TargetMode="External"/><Relationship Id="rId556" Type="http://schemas.openxmlformats.org/officeDocument/2006/relationships/hyperlink" Target="https://preskilet.com/sspujari@mitaoe.ac.in" TargetMode="External"/><Relationship Id="rId555" Type="http://schemas.openxmlformats.org/officeDocument/2006/relationships/hyperlink" Target="http://na.na" TargetMode="External"/><Relationship Id="rId559" Type="http://schemas.openxmlformats.org/officeDocument/2006/relationships/hyperlink" Target="https://drive.google.com/open?id=1_ioGh_8bUFT6jI5ludwP77UaoIy88RV0" TargetMode="External"/><Relationship Id="rId550" Type="http://schemas.openxmlformats.org/officeDocument/2006/relationships/hyperlink" Target="https://drive.google.com/open?id=1M_itwRStctSnqurkCWue1lu3ji8JeIUx" TargetMode="External"/><Relationship Id="rId2470" Type="http://schemas.openxmlformats.org/officeDocument/2006/relationships/hyperlink" Target="https://drive.google.com/open?id=1POrf-ofdQFNuvBe-xUs-RK_TpZKXu9jb" TargetMode="External"/><Relationship Id="rId1140" Type="http://schemas.openxmlformats.org/officeDocument/2006/relationships/hyperlink" Target="https://drive.google.com/open?id=18XbQSU0PsljmMzXGgEWNuL4QNjbP1l7s" TargetMode="External"/><Relationship Id="rId2471" Type="http://schemas.openxmlformats.org/officeDocument/2006/relationships/hyperlink" Target="https://drive.google.com/open?id=1RCyhXrp-1N9kwTRrlOefuJBNcCemhvuf" TargetMode="External"/><Relationship Id="rId1141" Type="http://schemas.openxmlformats.org/officeDocument/2006/relationships/hyperlink" Target="https://drive.google.com/open?id=1VIKPNOawJchTTTUq_SbxhxtQ73OFpmh2" TargetMode="External"/><Relationship Id="rId2472" Type="http://schemas.openxmlformats.org/officeDocument/2006/relationships/hyperlink" Target="https://drive.google.com/open?id=1hEAt0FCZms1ryVHW0UV42rngsb4cfF6-" TargetMode="External"/><Relationship Id="rId1142" Type="http://schemas.openxmlformats.org/officeDocument/2006/relationships/hyperlink" Target="https://www.linkedin.com/in/sanket-nangare-97b6311ab/" TargetMode="External"/><Relationship Id="rId2473" Type="http://schemas.openxmlformats.org/officeDocument/2006/relationships/hyperlink" Target="https://drive.google.com/open?id=1DixOiZ3BFZLRTTQg8tRbokN1fiN5_gdw" TargetMode="External"/><Relationship Id="rId554" Type="http://schemas.openxmlformats.org/officeDocument/2006/relationships/hyperlink" Target="https://drive.google.com/open?id=1otsQqWujeOaWNibQ25Ud6TGGnJIfr-OX" TargetMode="External"/><Relationship Id="rId1143" Type="http://schemas.openxmlformats.org/officeDocument/2006/relationships/hyperlink" Target="https://drive.google.com/drive/folders/1nHYsN9mCtQCQ3RnHEXoADKLlF22517Ul?usp=sharing" TargetMode="External"/><Relationship Id="rId2474" Type="http://schemas.openxmlformats.org/officeDocument/2006/relationships/hyperlink" Target="http://linkedin.com/in/aditya-shirsat-25546a1a7" TargetMode="External"/><Relationship Id="rId553" Type="http://schemas.openxmlformats.org/officeDocument/2006/relationships/hyperlink" Target="https://drive.google.com/open?id=15n8l9nziSnaQOiUwYOliZ6RK-SSFXzoX" TargetMode="External"/><Relationship Id="rId1144" Type="http://schemas.openxmlformats.org/officeDocument/2006/relationships/hyperlink" Target="https://drive.google.com/open?id=1elxeGKg5SqLA71fas7F4860NAk4HRuuE" TargetMode="External"/><Relationship Id="rId2475" Type="http://schemas.openxmlformats.org/officeDocument/2006/relationships/hyperlink" Target="https://preskilet.com/watch?v=62a32f6ba6956a00045ffb0b" TargetMode="External"/><Relationship Id="rId552" Type="http://schemas.openxmlformats.org/officeDocument/2006/relationships/hyperlink" Target="https://drive.google.com/open?id=18QW4jTB2lG1thHjWMY7JjopqKi25Y4Yv" TargetMode="External"/><Relationship Id="rId1145" Type="http://schemas.openxmlformats.org/officeDocument/2006/relationships/hyperlink" Target="https://drive.google.com/open?id=1y0IYNPYyGfWEJVFjaHpM-IUvEIvSx-XB" TargetMode="External"/><Relationship Id="rId2476" Type="http://schemas.openxmlformats.org/officeDocument/2006/relationships/hyperlink" Target="https://drive.google.com/open?id=1E13o21VlpvPw6d5n_bXWeYp8ErmdQJSM" TargetMode="External"/><Relationship Id="rId551" Type="http://schemas.openxmlformats.org/officeDocument/2006/relationships/hyperlink" Target="https://drive.google.com/open?id=18awidNaBZiIfIFaFRfNFy9PDzlmnc1u4" TargetMode="External"/><Relationship Id="rId1146" Type="http://schemas.openxmlformats.org/officeDocument/2006/relationships/hyperlink" Target="https://drive.google.com/open?id=1bNuGNs8yIdIqTCSrRpSyM1W006cNd6fL" TargetMode="External"/><Relationship Id="rId2477" Type="http://schemas.openxmlformats.org/officeDocument/2006/relationships/hyperlink" Target="https://drive.google.com/open?id=15jmDrsB3vjXbNf6pUy2z4H8dbJDEFowb" TargetMode="External"/><Relationship Id="rId4280" Type="http://schemas.openxmlformats.org/officeDocument/2006/relationships/hyperlink" Target="https://drive.google.com/open?id=1KPafDVSp8cewbhjfY_sQwNkiZCh3w8Xv" TargetMode="External"/><Relationship Id="rId4282" Type="http://schemas.openxmlformats.org/officeDocument/2006/relationships/hyperlink" Target="https://www.linkedin.com/in/mihir-daiv-673192208/" TargetMode="External"/><Relationship Id="rId4281" Type="http://schemas.openxmlformats.org/officeDocument/2006/relationships/hyperlink" Target="https://drive.google.com/open?id=1Ackn4uUg7b_PgS7bh7QmI9dKvgzviu7O" TargetMode="External"/><Relationship Id="rId4284" Type="http://schemas.openxmlformats.org/officeDocument/2006/relationships/hyperlink" Target="https://drive.google.com/open?id=1q21JlAR2Ie0dQom3hwKFIUNzBc7P185M" TargetMode="External"/><Relationship Id="rId4283" Type="http://schemas.openxmlformats.org/officeDocument/2006/relationships/hyperlink" Target="https://preskilet.com/watch?v=62bee2322c9a6200041e12ed" TargetMode="External"/><Relationship Id="rId4286" Type="http://schemas.openxmlformats.org/officeDocument/2006/relationships/hyperlink" Target="https://drive.google.com/open?id=1tLxuIl2dmSOmH415bnpGBqzUR-p1yMSt" TargetMode="External"/><Relationship Id="rId4285" Type="http://schemas.openxmlformats.org/officeDocument/2006/relationships/hyperlink" Target="https://drive.google.com/open?id=150npBuY43Rpq5mpYCA7ykRySp-3XM8eL" TargetMode="External"/><Relationship Id="rId4288" Type="http://schemas.openxmlformats.org/officeDocument/2006/relationships/hyperlink" Target="https://preskilet.com/watch?v=62bd49ac9535010004fd2460" TargetMode="External"/><Relationship Id="rId4287" Type="http://schemas.openxmlformats.org/officeDocument/2006/relationships/hyperlink" Target="http://www.linkedin.com/in/akash-vishve-5b49a0236" TargetMode="External"/><Relationship Id="rId4289" Type="http://schemas.openxmlformats.org/officeDocument/2006/relationships/hyperlink" Target="https://drive.google.com/open?id=1e4_l3OUnxtImDbo1sQp7dZJbcabr8HOv" TargetMode="External"/><Relationship Id="rId4271" Type="http://schemas.openxmlformats.org/officeDocument/2006/relationships/hyperlink" Target="https://drive.google.com/open?id=1UTXTkrsIgdmWaFhUCDAHkkpJGOmMrY0I" TargetMode="External"/><Relationship Id="rId4270" Type="http://schemas.openxmlformats.org/officeDocument/2006/relationships/hyperlink" Target="https://drive.google.com/open?id=1Tk1tO9Vgf0CewhMdyuXfDqv2Wej_UdfO" TargetMode="External"/><Relationship Id="rId4273" Type="http://schemas.openxmlformats.org/officeDocument/2006/relationships/hyperlink" Target="https://www.linkedin.com/in/kaustubh-barge-0648481b4" TargetMode="External"/><Relationship Id="rId4272" Type="http://schemas.openxmlformats.org/officeDocument/2006/relationships/hyperlink" Target="https://drive.google.com/open?id=1C3VK_kMvUwZMCx8WO6DYH9-zyfPZRH-b" TargetMode="External"/><Relationship Id="rId4275" Type="http://schemas.openxmlformats.org/officeDocument/2006/relationships/hyperlink" Target="https://drive.google.com/open?id=15s4B2fFGEi-GLlT7PUispp1Nf12pVdRS" TargetMode="External"/><Relationship Id="rId4274" Type="http://schemas.openxmlformats.org/officeDocument/2006/relationships/hyperlink" Target="https://preskilet.com/watch?v=62bdef3f9535010004fd2d00" TargetMode="External"/><Relationship Id="rId4277" Type="http://schemas.openxmlformats.org/officeDocument/2006/relationships/hyperlink" Target="https://drive.google.com/open?id=1aoHXBBPHFqSprqr19j-TbPms63lW_-jB" TargetMode="External"/><Relationship Id="rId4276" Type="http://schemas.openxmlformats.org/officeDocument/2006/relationships/hyperlink" Target="https://drive.google.com/open?id=1x8c95TcZlOzO4adqkJqY6yTjLxlM4h5c" TargetMode="External"/><Relationship Id="rId4279" Type="http://schemas.openxmlformats.org/officeDocument/2006/relationships/hyperlink" Target="https://drive.google.com/open?id=10PA0E6YGweJ2AvV8oPwZYo0i7lc-djHC" TargetMode="External"/><Relationship Id="rId4278" Type="http://schemas.openxmlformats.org/officeDocument/2006/relationships/hyperlink" Target="https://drive.google.com/open?id=1ZT8kwCQDnN3WzeGMcXMdcW8Pyy_xkKsn" TargetMode="External"/><Relationship Id="rId4291" Type="http://schemas.openxmlformats.org/officeDocument/2006/relationships/hyperlink" Target="https://drive.google.com/open?id=1Qw-HwCAO3aNKjDz26Pp4toFFFgQidJsx" TargetMode="External"/><Relationship Id="rId4290" Type="http://schemas.openxmlformats.org/officeDocument/2006/relationships/hyperlink" Target="https://drive.google.com/open?id=1R2IUBbbV0La9DqC3Fqnc_u_iD2xFhdqQ" TargetMode="External"/><Relationship Id="rId4293" Type="http://schemas.openxmlformats.org/officeDocument/2006/relationships/hyperlink" Target="https://drive.google.com/open?id=1eykZTy1k_Pg15o9HIpv0q4XNxnz2JcXH" TargetMode="External"/><Relationship Id="rId4292" Type="http://schemas.openxmlformats.org/officeDocument/2006/relationships/hyperlink" Target="https://drive.google.com/open?id=1X7KeoARz9kwouKgH6P7Bzdq8OVmbx7Y0" TargetMode="External"/><Relationship Id="rId4295" Type="http://schemas.openxmlformats.org/officeDocument/2006/relationships/hyperlink" Target="https://drive.google.com/open?id=1fmCVby7zhjRroVFRjEh6OgxacNDrm9ak" TargetMode="External"/><Relationship Id="rId4294" Type="http://schemas.openxmlformats.org/officeDocument/2006/relationships/hyperlink" Target="https://drive.google.com/open?id=1frEe00ur8e9vr3OuSrMYQlwLZOuaf7eQ" TargetMode="External"/><Relationship Id="rId4297" Type="http://schemas.openxmlformats.org/officeDocument/2006/relationships/hyperlink" Target="https://www.linkedin.com/in/prathamesh-deshpande-0ba379219/" TargetMode="External"/><Relationship Id="rId4296" Type="http://schemas.openxmlformats.org/officeDocument/2006/relationships/hyperlink" Target="https://drive.google.com/open?id=1HDFxYHFxro3i_jIkDcrhR5J4vRWHhVAa" TargetMode="External"/><Relationship Id="rId4299" Type="http://schemas.openxmlformats.org/officeDocument/2006/relationships/hyperlink" Target="https://drive.google.com/open?id=16uBERXWcgZgmC3WdXumVFLljYRfdH5di" TargetMode="External"/><Relationship Id="rId4298" Type="http://schemas.openxmlformats.org/officeDocument/2006/relationships/hyperlink" Target="https://preskilet.com/watch?v=62a3902da6956a0004600894" TargetMode="External"/><Relationship Id="rId4249" Type="http://schemas.openxmlformats.org/officeDocument/2006/relationships/hyperlink" Target="https://preskilet.com/nihalmulla18122000@gmail.com" TargetMode="External"/><Relationship Id="rId4240" Type="http://schemas.openxmlformats.org/officeDocument/2006/relationships/hyperlink" Target="https://drive.google.com/open?id=1Ttk0cjIgryKYzihQbzrESotBa6ELqXJF" TargetMode="External"/><Relationship Id="rId4242" Type="http://schemas.openxmlformats.org/officeDocument/2006/relationships/hyperlink" Target="https://preskilet.com/watch?v=62a380eea6956a00046004fc" TargetMode="External"/><Relationship Id="rId4241" Type="http://schemas.openxmlformats.org/officeDocument/2006/relationships/hyperlink" Target="https://www.linkedin.com/in/chougule-mechanical-2345121a9" TargetMode="External"/><Relationship Id="rId4244" Type="http://schemas.openxmlformats.org/officeDocument/2006/relationships/hyperlink" Target="https://drive.google.com/open?id=1OYh9USurnhCqo9tcKft64sDyh5hAOacq" TargetMode="External"/><Relationship Id="rId4243" Type="http://schemas.openxmlformats.org/officeDocument/2006/relationships/hyperlink" Target="https://drive.google.com/open?id=19P5LQBgdrEcKHKpv9T9FXzEiRMy1vXvN" TargetMode="External"/><Relationship Id="rId4246" Type="http://schemas.openxmlformats.org/officeDocument/2006/relationships/hyperlink" Target="https://drive.google.com/open?id=1Bl7HaLpaLWPG06iy_-MVL_CQGtHORKIm" TargetMode="External"/><Relationship Id="rId4245" Type="http://schemas.openxmlformats.org/officeDocument/2006/relationships/hyperlink" Target="https://drive.google.com/open?id=16_qU5NpGJRqyIKim-M7keAyuU3Q_C-P-" TargetMode="External"/><Relationship Id="rId4248" Type="http://schemas.openxmlformats.org/officeDocument/2006/relationships/hyperlink" Target="http://linkedin.com/in/nihal-mulla-b5b58b1a7" TargetMode="External"/><Relationship Id="rId4247" Type="http://schemas.openxmlformats.org/officeDocument/2006/relationships/hyperlink" Target="https://drive.google.com/open?id=1mMrwPPB_1FoLMsP22l7_6a31_uKznVag" TargetMode="External"/><Relationship Id="rId4239" Type="http://schemas.openxmlformats.org/officeDocument/2006/relationships/hyperlink" Target="https://drive.google.com/open?id=1jrhrnEoAO1_t-DfpUODssLopA3y7Uw2j" TargetMode="External"/><Relationship Id="rId4238" Type="http://schemas.openxmlformats.org/officeDocument/2006/relationships/hyperlink" Target="https://drive.google.com/open?id=1p-sWAPnxdHpsI-LhE6Ckd3pWrdxvEHvq" TargetMode="External"/><Relationship Id="rId495" Type="http://schemas.openxmlformats.org/officeDocument/2006/relationships/hyperlink" Target="https://drive.google.com/open?id=1KRkjNoYseq-piRW2c1vGMZTKgOyVOWLn" TargetMode="External"/><Relationship Id="rId4231" Type="http://schemas.openxmlformats.org/officeDocument/2006/relationships/hyperlink" Target="https://drive.google.com/open?id=17GYxol48v8s01w89YNyVR2cMF8TvBxba" TargetMode="External"/><Relationship Id="rId494" Type="http://schemas.openxmlformats.org/officeDocument/2006/relationships/hyperlink" Target="https://drive.google.com/open?id=1_A7zyD8zAVLd456F0KdSWHLHkCWRAqn-" TargetMode="External"/><Relationship Id="rId4230" Type="http://schemas.openxmlformats.org/officeDocument/2006/relationships/hyperlink" Target="https://drive.google.com/open?id=1V3ljoQ-EqrqZ6V7RnOLTitTvxh2xB4cb" TargetMode="External"/><Relationship Id="rId493" Type="http://schemas.openxmlformats.org/officeDocument/2006/relationships/hyperlink" Target="https://drive.google.com/open?id=1OTHHleY8KvobQXVxqYoasQil4XojV4Dd" TargetMode="External"/><Relationship Id="rId4233" Type="http://schemas.openxmlformats.org/officeDocument/2006/relationships/hyperlink" Target="https://drive.google.com/open?id=1F54oHj2wXKR7jVzVqZJZAgeAHnOKOlxr" TargetMode="External"/><Relationship Id="rId492" Type="http://schemas.openxmlformats.org/officeDocument/2006/relationships/hyperlink" Target="https://drive.google.com/open?id=1QTIC5mmGsrMhkR3xLn6KPY0Wd34hSzs2" TargetMode="External"/><Relationship Id="rId4232" Type="http://schemas.openxmlformats.org/officeDocument/2006/relationships/hyperlink" Target="https://drive.google.com/open?id=1zPbgtuxFz9SLjzhzBPp6nuuWw4QsFHeE" TargetMode="External"/><Relationship Id="rId499" Type="http://schemas.openxmlformats.org/officeDocument/2006/relationships/hyperlink" Target="https://drive.google.com/open?id=1QGiUHewaBt56bCTucPT_yJ6ba1ZupxRV" TargetMode="External"/><Relationship Id="rId4235" Type="http://schemas.openxmlformats.org/officeDocument/2006/relationships/hyperlink" Target="https://drive.google.com/open?id=1tTWyh3t5zh93YNB4twK9ZnH4Miw75GDG" TargetMode="External"/><Relationship Id="rId498" Type="http://schemas.openxmlformats.org/officeDocument/2006/relationships/hyperlink" Target="https://drive.google.com/open?id=13svwMCqm_0SYbwGmLJwjpPw6Ev7kwEUv" TargetMode="External"/><Relationship Id="rId4234" Type="http://schemas.openxmlformats.org/officeDocument/2006/relationships/hyperlink" Target="https://drive.google.com/open?id=18EdhHVUHH20M6J2lieQC9aOdxqgn-RZa" TargetMode="External"/><Relationship Id="rId497" Type="http://schemas.openxmlformats.org/officeDocument/2006/relationships/hyperlink" Target="https://drive.google.com/open?id=1CkPmzLXNAOLqFUZODmIcsfHpUOWn-r7q" TargetMode="External"/><Relationship Id="rId4237" Type="http://schemas.openxmlformats.org/officeDocument/2006/relationships/hyperlink" Target="https://drive.google.com/open?id=1LfvKAEsyyIrm7xABPY9AzT8scXpLCYpE" TargetMode="External"/><Relationship Id="rId496" Type="http://schemas.openxmlformats.org/officeDocument/2006/relationships/hyperlink" Target="https://drive.google.com/open?id=1jVukwaFSilesQwOcWoTAa9Ys3suKhwBe" TargetMode="External"/><Relationship Id="rId4236" Type="http://schemas.openxmlformats.org/officeDocument/2006/relationships/hyperlink" Target="https://drive.google.com/open?id=1Y3OPRtKPQgufqbJWY-8scfA6v41W7MRu" TargetMode="External"/><Relationship Id="rId4260" Type="http://schemas.openxmlformats.org/officeDocument/2006/relationships/hyperlink" Target="https://preskilet.com/shubham.urmode@mitaoe.ac.in" TargetMode="External"/><Relationship Id="rId4262" Type="http://schemas.openxmlformats.org/officeDocument/2006/relationships/hyperlink" Target="https://drive.google.com/open?id=1XI4m-I7Od0hviKLWycXgzWMB9sYH8EH2" TargetMode="External"/><Relationship Id="rId4261" Type="http://schemas.openxmlformats.org/officeDocument/2006/relationships/hyperlink" Target="https://drive.google.com/open?id=17kIM2UgZJsBnh_zswFWA9FaXmJcjVOFi" TargetMode="External"/><Relationship Id="rId4264" Type="http://schemas.openxmlformats.org/officeDocument/2006/relationships/hyperlink" Target="https://drive.google.com/open?id=1c7hykpcyTqA_FY2mitTcKPYx08zD51jJ" TargetMode="External"/><Relationship Id="rId4263" Type="http://schemas.openxmlformats.org/officeDocument/2006/relationships/hyperlink" Target="https://drive.google.com/open?id=1jsOm5umKFj0DOPP053CJL40NGvxPOinY" TargetMode="External"/><Relationship Id="rId4266" Type="http://schemas.openxmlformats.org/officeDocument/2006/relationships/hyperlink" Target="https://www.linkedin.com/feed/?trk=onboarding-landing" TargetMode="External"/><Relationship Id="rId4265" Type="http://schemas.openxmlformats.org/officeDocument/2006/relationships/hyperlink" Target="https://drive.google.com/open?id=1DHAgg_AvxCZenJNSzBtQn_0Rv230HY-2" TargetMode="External"/><Relationship Id="rId4268" Type="http://schemas.openxmlformats.org/officeDocument/2006/relationships/hyperlink" Target="https://drive.google.com/open?id=1VPd8fruoj6L2hKobdVfo3EA4NTYgAnXy" TargetMode="External"/><Relationship Id="rId4267" Type="http://schemas.openxmlformats.org/officeDocument/2006/relationships/hyperlink" Target="https://preskilet.com/watch?v=62b54e65af4f2700045cdbae" TargetMode="External"/><Relationship Id="rId4269" Type="http://schemas.openxmlformats.org/officeDocument/2006/relationships/hyperlink" Target="https://drive.google.com/open?id=1PE8lHYVcC0jzvkB7mnMdJHxYoZS6xxoI" TargetMode="External"/><Relationship Id="rId4251" Type="http://schemas.openxmlformats.org/officeDocument/2006/relationships/hyperlink" Target="https://drive.google.com/open?id=1Msmp9ZGozq-ObLmECdn_PcWNAUvoTyGA" TargetMode="External"/><Relationship Id="rId4250" Type="http://schemas.openxmlformats.org/officeDocument/2006/relationships/hyperlink" Target="https://drive.google.com/open?id=1VZjoWVUC6aj5KWOuw1nn4qIZbf0prfY9" TargetMode="External"/><Relationship Id="rId4253" Type="http://schemas.openxmlformats.org/officeDocument/2006/relationships/hyperlink" Target="https://drive.google.com/open?id=1WqHD_681veG7ImSu7lkQsVCxJw2EpJEC" TargetMode="External"/><Relationship Id="rId4252" Type="http://schemas.openxmlformats.org/officeDocument/2006/relationships/hyperlink" Target="https://drive.google.com/open?id=1T8p_3rzyvBHCWymhDzPXNKy8Fd5BRSgK" TargetMode="External"/><Relationship Id="rId4255" Type="http://schemas.openxmlformats.org/officeDocument/2006/relationships/hyperlink" Target="https://drive.google.com/open?id=1Z-Y1WnIyWqnNhM6PticljvgBw2U2LrBm" TargetMode="External"/><Relationship Id="rId4254" Type="http://schemas.openxmlformats.org/officeDocument/2006/relationships/hyperlink" Target="https://drive.google.com/open?id=1rMmpTVM1_ks_IDPc3CBPO7Jja4sENARu" TargetMode="External"/><Relationship Id="rId4257" Type="http://schemas.openxmlformats.org/officeDocument/2006/relationships/hyperlink" Target="https://drive.google.com/open?id=1PGgBg5ht5PIcMbzLl-WSecNPyjqCd_m_" TargetMode="External"/><Relationship Id="rId4256" Type="http://schemas.openxmlformats.org/officeDocument/2006/relationships/hyperlink" Target="https://drive.google.com/open?id=1ICnhN7XAJVFvFEt8ylyVfruXHA_aym4y" TargetMode="External"/><Relationship Id="rId4259" Type="http://schemas.openxmlformats.org/officeDocument/2006/relationships/hyperlink" Target="https://www.linkedin.com/in/shubham-urmode-5128b122a/" TargetMode="External"/><Relationship Id="rId4258" Type="http://schemas.openxmlformats.org/officeDocument/2006/relationships/hyperlink" Target="https://drive.google.com/open?id=15XAUQh6H4rJEBX5dcWACoH4b6gcTjUpP" TargetMode="External"/><Relationship Id="rId3810" Type="http://schemas.openxmlformats.org/officeDocument/2006/relationships/hyperlink" Target="https://drive.google.com/open?id=1TZ9E_2IGbcF0ZcZTJQBEN8ixb6tKuDKz" TargetMode="External"/><Relationship Id="rId3812" Type="http://schemas.openxmlformats.org/officeDocument/2006/relationships/hyperlink" Target="https://drive.google.com/open?id=1AIdzb6tOr3Bs0W1GN6l7KKW6VpTqN5Kp" TargetMode="External"/><Relationship Id="rId3811" Type="http://schemas.openxmlformats.org/officeDocument/2006/relationships/hyperlink" Target="https://drive.google.com/open?id=1w7yWCYbRx-FnSRtmytE5o5GkucSXWKUH" TargetMode="External"/><Relationship Id="rId3814" Type="http://schemas.openxmlformats.org/officeDocument/2006/relationships/hyperlink" Target="https://drive.google.com/open?id=1xtL7RCE0yJOE8JyArLSWgheWDqzt1Tzt" TargetMode="External"/><Relationship Id="rId3813" Type="http://schemas.openxmlformats.org/officeDocument/2006/relationships/hyperlink" Target="https://drive.google.com/open?id=1iNRy7mKhScy8LIaY9kCBJpkj0YTORU-O" TargetMode="External"/><Relationship Id="rId3816" Type="http://schemas.openxmlformats.org/officeDocument/2006/relationships/hyperlink" Target="https://drive.google.com/open?id=1pbTzFNALWKmJUXIdhCU3g2EFXClGSYVg" TargetMode="External"/><Relationship Id="rId3815" Type="http://schemas.openxmlformats.org/officeDocument/2006/relationships/hyperlink" Target="https://drive.google.com/open?id=1x4iQ3N6Ao-oIw72Azoyi8baz0AcDbIPR" TargetMode="External"/><Relationship Id="rId3818" Type="http://schemas.openxmlformats.org/officeDocument/2006/relationships/hyperlink" Target="https://www.linkedin.com/in/nimesh-zanje-522768237" TargetMode="External"/><Relationship Id="rId3817" Type="http://schemas.openxmlformats.org/officeDocument/2006/relationships/hyperlink" Target="https://drive.google.com/open?id=1Bjf7lrdzolbexKTWAC9dafl1JNP037lJ" TargetMode="External"/><Relationship Id="rId3819" Type="http://schemas.openxmlformats.org/officeDocument/2006/relationships/hyperlink" Target="https://preskilet.com/watch?v=62a1945dfed70c00042b6561" TargetMode="External"/><Relationship Id="rId3801" Type="http://schemas.openxmlformats.org/officeDocument/2006/relationships/hyperlink" Target="https://preskilet.com/svkamble@mitaoe.ac.in" TargetMode="External"/><Relationship Id="rId3800" Type="http://schemas.openxmlformats.org/officeDocument/2006/relationships/hyperlink" Target="http://www.linkedin.com/in/subodh-kamble-0420911a7" TargetMode="External"/><Relationship Id="rId3803" Type="http://schemas.openxmlformats.org/officeDocument/2006/relationships/hyperlink" Target="https://drive.google.com/open?id=1OfTblWiGzybjYYT7g6_NbxlfMsJK_B_k" TargetMode="External"/><Relationship Id="rId3802" Type="http://schemas.openxmlformats.org/officeDocument/2006/relationships/hyperlink" Target="https://drive.google.com/open?id=1W9mH3vF8MhSnerktyYoeUoNGpABc9Fr-" TargetMode="External"/><Relationship Id="rId3805" Type="http://schemas.openxmlformats.org/officeDocument/2006/relationships/hyperlink" Target="https://drive.google.com/open?id=1tEW7d5CtgmvEbZOQmw9_cco2RZ3WgI2X" TargetMode="External"/><Relationship Id="rId3804" Type="http://schemas.openxmlformats.org/officeDocument/2006/relationships/hyperlink" Target="https://drive.google.com/open?id=14W5WqoY5-7vqRUoDLe0vfcowff4mV7su" TargetMode="External"/><Relationship Id="rId3807" Type="http://schemas.openxmlformats.org/officeDocument/2006/relationships/hyperlink" Target="https://drive.google.com/open?id=187w53A3KcdjY2WD54CGD8isIzcj-dsWL" TargetMode="External"/><Relationship Id="rId3806" Type="http://schemas.openxmlformats.org/officeDocument/2006/relationships/hyperlink" Target="https://drive.google.com/open?id=1Lkymw5k0wuFUfh3nJHbaYMy72sU9hHIB" TargetMode="External"/><Relationship Id="rId3809" Type="http://schemas.openxmlformats.org/officeDocument/2006/relationships/hyperlink" Target="https://preskilet.com/watch?v=62a33e3ba6956a00045ffc59" TargetMode="External"/><Relationship Id="rId3808" Type="http://schemas.openxmlformats.org/officeDocument/2006/relationships/hyperlink" Target="https://www.linkedin.com/in/yash-deshpande-a47909219" TargetMode="External"/><Relationship Id="rId1213" Type="http://schemas.openxmlformats.org/officeDocument/2006/relationships/hyperlink" Target="https://drive.google.com/open?id=1NhQyo0PVgkgiEDDQVQwCR7uEM1_ceEI5" TargetMode="External"/><Relationship Id="rId2544" Type="http://schemas.openxmlformats.org/officeDocument/2006/relationships/hyperlink" Target="https://drive.google.com/open?id=13bW2m5m7bXOdadCdZMyL7URC-qoCI4FH" TargetMode="External"/><Relationship Id="rId3876" Type="http://schemas.openxmlformats.org/officeDocument/2006/relationships/hyperlink" Target="https://drive.google.com/open?id=1mu_SedcZqlPjHQRcn9fC7UVEXrl5SAEW" TargetMode="External"/><Relationship Id="rId1214" Type="http://schemas.openxmlformats.org/officeDocument/2006/relationships/hyperlink" Target="http://www.linkedin.com/in/prerana-painter-6110a323a" TargetMode="External"/><Relationship Id="rId2545" Type="http://schemas.openxmlformats.org/officeDocument/2006/relationships/hyperlink" Target="https://drive.google.com/open?id=1B0fyMEcYUfh12DBVUwWRCpXBIShOO1hf" TargetMode="External"/><Relationship Id="rId3875" Type="http://schemas.openxmlformats.org/officeDocument/2006/relationships/hyperlink" Target="https://drive.google.com/open?id=1CimJtwvNLftxUj-TW2LHMtqyFUHdesfJ" TargetMode="External"/><Relationship Id="rId1215" Type="http://schemas.openxmlformats.org/officeDocument/2006/relationships/hyperlink" Target="https://preskilet.com/watch?v=62a38ac1a6956a0004600709" TargetMode="External"/><Relationship Id="rId2546" Type="http://schemas.openxmlformats.org/officeDocument/2006/relationships/hyperlink" Target="https://drive.google.com/open?id=1vKR-vSXzVb3rw19E9YEdZu1zZFPqtk8U" TargetMode="External"/><Relationship Id="rId3878" Type="http://schemas.openxmlformats.org/officeDocument/2006/relationships/hyperlink" Target="http://www.linkedin.com/in/tanaya-raut-a24858241" TargetMode="External"/><Relationship Id="rId1216" Type="http://schemas.openxmlformats.org/officeDocument/2006/relationships/hyperlink" Target="https://drive.google.com/open?id=1x1-VnfjoE1zwC6zkgVAwhrjJdgzPOieH" TargetMode="External"/><Relationship Id="rId2547" Type="http://schemas.openxmlformats.org/officeDocument/2006/relationships/hyperlink" Target="https://www.linkedin.com/in/abhishek-mishra31/" TargetMode="External"/><Relationship Id="rId3877" Type="http://schemas.openxmlformats.org/officeDocument/2006/relationships/hyperlink" Target="https://drive.google.com/open?id=1rsYLlsz3k9EbBqbgW_isbYj-cOnOzi6-" TargetMode="External"/><Relationship Id="rId1217" Type="http://schemas.openxmlformats.org/officeDocument/2006/relationships/hyperlink" Target="https://drive.google.com/open?id=1x9ukVzI1wdssjfflci6xn8GbnJNVj8JZ" TargetMode="External"/><Relationship Id="rId2548" Type="http://schemas.openxmlformats.org/officeDocument/2006/relationships/hyperlink" Target="https://amcatglobal.aspiringminds.com/" TargetMode="External"/><Relationship Id="rId1218" Type="http://schemas.openxmlformats.org/officeDocument/2006/relationships/hyperlink" Target="https://drive.google.com/open?id=1G39E3O6iflEOnwn38bCLkjupSeT7sp9Q" TargetMode="External"/><Relationship Id="rId2549" Type="http://schemas.openxmlformats.org/officeDocument/2006/relationships/hyperlink" Target="https://drive.google.com/open?id=1jBsYINNI2bPW78LLM-w88mX27SqjKljT" TargetMode="External"/><Relationship Id="rId3879" Type="http://schemas.openxmlformats.org/officeDocument/2006/relationships/hyperlink" Target="https://preskilet.com/ttraut@mitaoe.ac.in" TargetMode="External"/><Relationship Id="rId1219" Type="http://schemas.openxmlformats.org/officeDocument/2006/relationships/hyperlink" Target="https://drive.google.com/open?id=1P7lnLyHsNVDu_fJxIOCCoZ5V7KaNLe1u" TargetMode="External"/><Relationship Id="rId3870" Type="http://schemas.openxmlformats.org/officeDocument/2006/relationships/hyperlink" Target="https://www.linkedin.com/in/vidhi-thakare-a57b03212/" TargetMode="External"/><Relationship Id="rId2540" Type="http://schemas.openxmlformats.org/officeDocument/2006/relationships/hyperlink" Target="https://drive.google.com/open?id=1_elTgbBuyHN-tdE03BuzL-aDkGHXiw4L" TargetMode="External"/><Relationship Id="rId3872" Type="http://schemas.openxmlformats.org/officeDocument/2006/relationships/hyperlink" Target="https://drive.google.com/open?id=1wfGcr3wPqJRrQ6Gqtlqf0OuznUzZrzzF" TargetMode="External"/><Relationship Id="rId1210" Type="http://schemas.openxmlformats.org/officeDocument/2006/relationships/hyperlink" Target="https://drive.google.com/open?id=1Kr2ZDGxwzPqqea6zV-SDxfDb9qJmDoxO" TargetMode="External"/><Relationship Id="rId2541" Type="http://schemas.openxmlformats.org/officeDocument/2006/relationships/hyperlink" Target="https://drive.google.com/open?id=1xpfkmK6J6ZWeHeZsgfs3jocvFs7BkvdM" TargetMode="External"/><Relationship Id="rId3871" Type="http://schemas.openxmlformats.org/officeDocument/2006/relationships/hyperlink" Target="https://preskilet.com/watch?v=62a358a8a6956a00045ffe92" TargetMode="External"/><Relationship Id="rId1211" Type="http://schemas.openxmlformats.org/officeDocument/2006/relationships/hyperlink" Target="https://drive.google.com/open?id=1cG3eR5ezC1Q3_ZR6fWq3jTDsfZ_zQ1-m" TargetMode="External"/><Relationship Id="rId2542" Type="http://schemas.openxmlformats.org/officeDocument/2006/relationships/hyperlink" Target="https://drive.google.com/open?id=1amRTPAsrMWdYpVyIL8ORonot3bCngQuQ" TargetMode="External"/><Relationship Id="rId3874" Type="http://schemas.openxmlformats.org/officeDocument/2006/relationships/hyperlink" Target="https://drive.google.com/open?id=1Mvfxs8W1yNlRMQ5SMWk3DlNgTPZhEoBq" TargetMode="External"/><Relationship Id="rId1212" Type="http://schemas.openxmlformats.org/officeDocument/2006/relationships/hyperlink" Target="https://drive.google.com/open?id=17j9d52piVf2IioxbbWIh6Kf5YMxSOIyk" TargetMode="External"/><Relationship Id="rId2543" Type="http://schemas.openxmlformats.org/officeDocument/2006/relationships/hyperlink" Target="https://drive.google.com/open?id=1sUju03iS7zBd7f5ItPY6aAoQB6GqjUE1" TargetMode="External"/><Relationship Id="rId3873" Type="http://schemas.openxmlformats.org/officeDocument/2006/relationships/hyperlink" Target="https://drive.google.com/open?id=1AMLc_znFKQIS3FFBJzWurdAnsSbD-gPp" TargetMode="External"/><Relationship Id="rId1202" Type="http://schemas.openxmlformats.org/officeDocument/2006/relationships/hyperlink" Target="https://preskilet.com/watch?v=62a46602589aee0004d98482" TargetMode="External"/><Relationship Id="rId2533" Type="http://schemas.openxmlformats.org/officeDocument/2006/relationships/hyperlink" Target="https://drive.google.com/open?id=1jkc-n8KZE4KhwIzmejlE8sgHdY51P3We" TargetMode="External"/><Relationship Id="rId3865" Type="http://schemas.openxmlformats.org/officeDocument/2006/relationships/hyperlink" Target="https://preskilet.com/watch?v=62b53e3daf4f2700045cd9ce" TargetMode="External"/><Relationship Id="rId1203" Type="http://schemas.openxmlformats.org/officeDocument/2006/relationships/hyperlink" Target="https://drive.google.com/open?id=1F3ixGSP5XZlwGvwo6-9JqGhJr37BYezN" TargetMode="External"/><Relationship Id="rId2534" Type="http://schemas.openxmlformats.org/officeDocument/2006/relationships/hyperlink" Target="https://www.linkedin.com/in/viraj-jadhav-776513226" TargetMode="External"/><Relationship Id="rId3864" Type="http://schemas.openxmlformats.org/officeDocument/2006/relationships/hyperlink" Target="http://www.linkedin.com/in/sumedh-patil-sp04" TargetMode="External"/><Relationship Id="rId1204" Type="http://schemas.openxmlformats.org/officeDocument/2006/relationships/hyperlink" Target="https://drive.google.com/open?id=1IXMtnVb5jHmEtQLOeqRkCkgFHinwKlpa" TargetMode="External"/><Relationship Id="rId2535" Type="http://schemas.openxmlformats.org/officeDocument/2006/relationships/hyperlink" Target="https://drive.google.com/drive/folders/1Blh-poFPp8J3kCJklj2vt9Mc23OJrM2c" TargetMode="External"/><Relationship Id="rId3867" Type="http://schemas.openxmlformats.org/officeDocument/2006/relationships/hyperlink" Target="https://drive.google.com/open?id=1mVo8dOO-1mzG5KLyEcikpVF_T229WEdF" TargetMode="External"/><Relationship Id="rId1205" Type="http://schemas.openxmlformats.org/officeDocument/2006/relationships/hyperlink" Target="https://drive.google.com/open?id=1IHRlk9l2qi8z4FJ-I5afOB5LKGa7aIcN" TargetMode="External"/><Relationship Id="rId2536" Type="http://schemas.openxmlformats.org/officeDocument/2006/relationships/hyperlink" Target="https://drive.google.com/open?id=1Q-RSLiGGxwzXeTAZ707ErGk94J8ClrGo" TargetMode="External"/><Relationship Id="rId3866" Type="http://schemas.openxmlformats.org/officeDocument/2006/relationships/hyperlink" Target="https://drive.google.com/open?id=10-vkBIyBpyYIPkM0HgK1enhC3Xb48-M2" TargetMode="External"/><Relationship Id="rId1206" Type="http://schemas.openxmlformats.org/officeDocument/2006/relationships/hyperlink" Target="https://drive.google.com/open?id=1-NxXUPwWum_8RTJNqwcPmkuX87osyli9" TargetMode="External"/><Relationship Id="rId2537" Type="http://schemas.openxmlformats.org/officeDocument/2006/relationships/hyperlink" Target="https://drive.google.com/open?id=1NtPcV5OvXAx3dcRMe5b6TEQtUfYnnI6l" TargetMode="External"/><Relationship Id="rId3869" Type="http://schemas.openxmlformats.org/officeDocument/2006/relationships/hyperlink" Target="https://drive.google.com/open?id=1t6hcUNgr2y4lWxDp2VnLMOCmko2cWAfA" TargetMode="External"/><Relationship Id="rId1207" Type="http://schemas.openxmlformats.org/officeDocument/2006/relationships/hyperlink" Target="https://www.linkedin.com/in/shriharsh-agrawal-22b5011aa" TargetMode="External"/><Relationship Id="rId2538" Type="http://schemas.openxmlformats.org/officeDocument/2006/relationships/hyperlink" Target="https://www.linkedin.com/in/vaishnavi-limbhore-a5623821a" TargetMode="External"/><Relationship Id="rId3868" Type="http://schemas.openxmlformats.org/officeDocument/2006/relationships/hyperlink" Target="https://drive.google.com/open?id=1IjC3MycMfbgDf-O0xLLBYwldqjJWPpf7" TargetMode="External"/><Relationship Id="rId1208" Type="http://schemas.openxmlformats.org/officeDocument/2006/relationships/hyperlink" Target="https://preskilet.com/watch?v=62a37f8ca6956a00046004b8" TargetMode="External"/><Relationship Id="rId2539" Type="http://schemas.openxmlformats.org/officeDocument/2006/relationships/hyperlink" Target="https://preskilet.com/watch?v=62c85d590d4c4600040cd9f9" TargetMode="External"/><Relationship Id="rId1209" Type="http://schemas.openxmlformats.org/officeDocument/2006/relationships/hyperlink" Target="https://drive.google.com/open?id=1i8LzGfxuWcjB0cyvT9KKQ-A7QEU0rjsJ" TargetMode="External"/><Relationship Id="rId3861" Type="http://schemas.openxmlformats.org/officeDocument/2006/relationships/hyperlink" Target="https://drive.google.com/open?id=1irk_0n4tcxwm9fXJV19MFaAgzU4m3sji" TargetMode="External"/><Relationship Id="rId2530" Type="http://schemas.openxmlformats.org/officeDocument/2006/relationships/hyperlink" Target="https://drive.google.com/open?id=1F3Vv08vhcLTVGp3lCdk69onyR4xI2saR" TargetMode="External"/><Relationship Id="rId3860" Type="http://schemas.openxmlformats.org/officeDocument/2006/relationships/hyperlink" Target="https://drive.google.com/open?id=1WlulpT7H4r1S5WksjBKuFjn9rBsmxBxb" TargetMode="External"/><Relationship Id="rId1200" Type="http://schemas.openxmlformats.org/officeDocument/2006/relationships/hyperlink" Target="https://drive.google.com/open?id=1x1OrEJjZL3syrchpdZh0Oez9gbN4p-Sr" TargetMode="External"/><Relationship Id="rId2531" Type="http://schemas.openxmlformats.org/officeDocument/2006/relationships/hyperlink" Target="https://drive.google.com/open?id=1KB4pTt75ams_Rf_k8HAc5ADOnYOGquU8" TargetMode="External"/><Relationship Id="rId3863" Type="http://schemas.openxmlformats.org/officeDocument/2006/relationships/hyperlink" Target="https://drive.google.com/open?id=1nBMD32tmfePOJDnyQoedajjHEdw8b0Ti" TargetMode="External"/><Relationship Id="rId1201" Type="http://schemas.openxmlformats.org/officeDocument/2006/relationships/hyperlink" Target="https://www.linkedin.com/in/smita-jadhav-818b87203/" TargetMode="External"/><Relationship Id="rId2532" Type="http://schemas.openxmlformats.org/officeDocument/2006/relationships/hyperlink" Target="https://drive.google.com/open?id=1dNP680T__ra31iCRQFlUsIZjpE7CEu58" TargetMode="External"/><Relationship Id="rId3862" Type="http://schemas.openxmlformats.org/officeDocument/2006/relationships/hyperlink" Target="https://drive.google.com/open?id=10_tCxj-K5kfxjvVNNU54cNUrjfGu0mwz" TargetMode="External"/><Relationship Id="rId1235" Type="http://schemas.openxmlformats.org/officeDocument/2006/relationships/hyperlink" Target="https://www.linkedin.com/in/kedar-shukla-4299a7238" TargetMode="External"/><Relationship Id="rId2566" Type="http://schemas.openxmlformats.org/officeDocument/2006/relationships/hyperlink" Target="https://drive.google.com/open?id=1Jucn3BFvQzhQ1Y0HHXHv3DlKmbHTresF" TargetMode="External"/><Relationship Id="rId3898" Type="http://schemas.openxmlformats.org/officeDocument/2006/relationships/hyperlink" Target="https://www.linkedin.com/mwlite/in/pooja-khente-87321a21a" TargetMode="External"/><Relationship Id="rId1236" Type="http://schemas.openxmlformats.org/officeDocument/2006/relationships/hyperlink" Target="https://preskilet.com/watch?v=62b2dffdcd590700045fb3f7" TargetMode="External"/><Relationship Id="rId2567" Type="http://schemas.openxmlformats.org/officeDocument/2006/relationships/hyperlink" Target="https://drive.google.com/open?id=1IaGT2yebCE-IEI3dTt1oxErvP7wKuxRt" TargetMode="External"/><Relationship Id="rId3897" Type="http://schemas.openxmlformats.org/officeDocument/2006/relationships/hyperlink" Target="https://drive.google.com/open?id=1-rPjuM8AgpVOpAi_cZXYSfjrKHzGfgSv" TargetMode="External"/><Relationship Id="rId1237" Type="http://schemas.openxmlformats.org/officeDocument/2006/relationships/hyperlink" Target="https://drive.google.com/open?id=195DX1QJXXdFYJbY1nmv5iqLE5sFOi7sb" TargetMode="External"/><Relationship Id="rId2568" Type="http://schemas.openxmlformats.org/officeDocument/2006/relationships/hyperlink" Target="http://www.linkedin.com/in/snehankita-bankar-89277522b" TargetMode="External"/><Relationship Id="rId1238" Type="http://schemas.openxmlformats.org/officeDocument/2006/relationships/hyperlink" Target="https://drive.google.com/open?id=1xFK415fvJraObgYKP9TPlb6I3VKU2jg5" TargetMode="External"/><Relationship Id="rId2569" Type="http://schemas.openxmlformats.org/officeDocument/2006/relationships/hyperlink" Target="https://preskilet.com/watch?v=62b55c29af4f2700045cdd95" TargetMode="External"/><Relationship Id="rId3899" Type="http://schemas.openxmlformats.org/officeDocument/2006/relationships/hyperlink" Target="https://preskilet.com/pooja.khente@mitaoe.ac.in" TargetMode="External"/><Relationship Id="rId1239" Type="http://schemas.openxmlformats.org/officeDocument/2006/relationships/hyperlink" Target="https://www.linkedin.com/in/somu-sharma-b057721b5" TargetMode="External"/><Relationship Id="rId409" Type="http://schemas.openxmlformats.org/officeDocument/2006/relationships/hyperlink" Target="https://www.linkedin.com/in/sejalramteke" TargetMode="External"/><Relationship Id="rId404" Type="http://schemas.openxmlformats.org/officeDocument/2006/relationships/hyperlink" Target="https://drive.google.com/open?id=16SLTIeUvzRJniUdda4ZHWo0fjjRKI-lO" TargetMode="External"/><Relationship Id="rId403" Type="http://schemas.openxmlformats.org/officeDocument/2006/relationships/hyperlink" Target="https://drive.google.com/open?id=1o-WzeO1trmNi7CW397Tn92jl-CBxE9gf" TargetMode="External"/><Relationship Id="rId402" Type="http://schemas.openxmlformats.org/officeDocument/2006/relationships/hyperlink" Target="https://drive.google.com/open?id=11vQIFPFSbM5cNwTPYaw_362zjt2OW2-P" TargetMode="External"/><Relationship Id="rId401" Type="http://schemas.openxmlformats.org/officeDocument/2006/relationships/hyperlink" Target="https://drive.google.com/open?id=1hgW67GcXsJFZ-t35055jA6fA0Z_3yFg3" TargetMode="External"/><Relationship Id="rId408" Type="http://schemas.openxmlformats.org/officeDocument/2006/relationships/hyperlink" Target="https://drive.google.com/open?id=1ko1ejfu0d4e2L1eFVmh5pi5MODGCBm4s" TargetMode="External"/><Relationship Id="rId407" Type="http://schemas.openxmlformats.org/officeDocument/2006/relationships/hyperlink" Target="https://drive.google.com/open?id=1vZMWoPVhd3i5ah1kSDH3rrVV_Hmuv4EP" TargetMode="External"/><Relationship Id="rId406" Type="http://schemas.openxmlformats.org/officeDocument/2006/relationships/hyperlink" Target="https://drive.google.com/open?id=1SiHTc1WjO4ckVxvnnzjQUhpcg3NkG0Xk" TargetMode="External"/><Relationship Id="rId405" Type="http://schemas.openxmlformats.org/officeDocument/2006/relationships/hyperlink" Target="https://drive.google.com/open?id=1DOpB-jLtiaBfnuUuMi8pyrDFvyJDC6B3" TargetMode="External"/><Relationship Id="rId3890" Type="http://schemas.openxmlformats.org/officeDocument/2006/relationships/hyperlink" Target="https://preskilet.com/ritul.chirde@mitaoe.ac.in" TargetMode="External"/><Relationship Id="rId2560" Type="http://schemas.openxmlformats.org/officeDocument/2006/relationships/hyperlink" Target="https://drive.google.com/open?id=1yqEgEcpNdIb76OgtiEjVSh7oU1hBEL11" TargetMode="External"/><Relationship Id="rId3892" Type="http://schemas.openxmlformats.org/officeDocument/2006/relationships/hyperlink" Target="https://drive.google.com/open?id=1XL1mjpv3lAzTiVCNk2zn-_RoH0VlA_ia" TargetMode="External"/><Relationship Id="rId1230" Type="http://schemas.openxmlformats.org/officeDocument/2006/relationships/hyperlink" Target="https://drive.google.com/open?id=1KD-kplVfWkTcnddZtysR000QoTcVJTRq" TargetMode="External"/><Relationship Id="rId2561" Type="http://schemas.openxmlformats.org/officeDocument/2006/relationships/hyperlink" Target="https://drive.google.com/open?id=1k7e85NdLMe0SMO1YP804oKZNmCEIRhj0" TargetMode="External"/><Relationship Id="rId3891" Type="http://schemas.openxmlformats.org/officeDocument/2006/relationships/hyperlink" Target="https://drive.google.com/open?id=1p4zxOpcNoK43y3ikV6-m7xLjQwii7dyL" TargetMode="External"/><Relationship Id="rId400" Type="http://schemas.openxmlformats.org/officeDocument/2006/relationships/hyperlink" Target="https://drive.google.com/open?id=1ysqwNZGi4cSZchILrUhVVj_9UA9tyo1q" TargetMode="External"/><Relationship Id="rId1231" Type="http://schemas.openxmlformats.org/officeDocument/2006/relationships/hyperlink" Target="https://drive.google.com/open?id=1hWWOojTIpmCCXR870bo_YJ_VwU813TmX" TargetMode="External"/><Relationship Id="rId2562" Type="http://schemas.openxmlformats.org/officeDocument/2006/relationships/hyperlink" Target="https://www.linkedin.com/in/adwait-thangan-8a8695215" TargetMode="External"/><Relationship Id="rId3894" Type="http://schemas.openxmlformats.org/officeDocument/2006/relationships/hyperlink" Target="https://drive.google.com/open?id=1M6h27iEFY8nJOL9sq2SJfUI9OhQV-gPD" TargetMode="External"/><Relationship Id="rId1232" Type="http://schemas.openxmlformats.org/officeDocument/2006/relationships/hyperlink" Target="https://drive.google.com/open?id=11GblpZvLjG-0ZKFu3apoSDRsbp0OrY7k" TargetMode="External"/><Relationship Id="rId2563" Type="http://schemas.openxmlformats.org/officeDocument/2006/relationships/hyperlink" Target="https://drive.google.com/drive/folders/1hNv3dD4grYYPj-nw5pAP4SE1hWAZdUPy" TargetMode="External"/><Relationship Id="rId3893" Type="http://schemas.openxmlformats.org/officeDocument/2006/relationships/hyperlink" Target="https://drive.google.com/open?id=1eP48q5eodXYoHbBv-d4OsaHqZxsCd3um" TargetMode="External"/><Relationship Id="rId1233" Type="http://schemas.openxmlformats.org/officeDocument/2006/relationships/hyperlink" Target="https://drive.google.com/open?id=1j6ZvmeA_X8sdd7mKNBzDfhRPIsOf2Plp" TargetMode="External"/><Relationship Id="rId2564" Type="http://schemas.openxmlformats.org/officeDocument/2006/relationships/hyperlink" Target="https://drive.google.com/open?id=1p6e-r4tfVyHjFqNkGotDQ_byfZqQ8mmn" TargetMode="External"/><Relationship Id="rId3896" Type="http://schemas.openxmlformats.org/officeDocument/2006/relationships/hyperlink" Target="https://drive.google.com/open?id=1U5YDwt6To7zC-AeoqFhGdUWPcJzkVYK9" TargetMode="External"/><Relationship Id="rId1234" Type="http://schemas.openxmlformats.org/officeDocument/2006/relationships/hyperlink" Target="https://drive.google.com/open?id=1iFkL70Xip4XbSpwfXM2ryKK2SF6emWxo" TargetMode="External"/><Relationship Id="rId2565" Type="http://schemas.openxmlformats.org/officeDocument/2006/relationships/hyperlink" Target="https://drive.google.com/open?id=1l0hbUnPb9OIIsOCuWMLUM5BrgBg4k3wb" TargetMode="External"/><Relationship Id="rId3895" Type="http://schemas.openxmlformats.org/officeDocument/2006/relationships/hyperlink" Target="https://drive.google.com/open?id=17cKzQY63o7f-n4305jzjm9Bm2t1mFBAQ" TargetMode="External"/><Relationship Id="rId1224" Type="http://schemas.openxmlformats.org/officeDocument/2006/relationships/hyperlink" Target="https://drive.google.com/open?id=1pd_P-UKzqSAZq9T1sFLUmQMTQ4cV2vm9" TargetMode="External"/><Relationship Id="rId2555" Type="http://schemas.openxmlformats.org/officeDocument/2006/relationships/hyperlink" Target="https://www.linkedin.com/in/vaibhav-shinde-278027235/" TargetMode="External"/><Relationship Id="rId3887" Type="http://schemas.openxmlformats.org/officeDocument/2006/relationships/hyperlink" Target="https://drive.google.com/open?id=1I4-_KDB4xcGEuY82EE_IccTgImq9KKv9" TargetMode="External"/><Relationship Id="rId1225" Type="http://schemas.openxmlformats.org/officeDocument/2006/relationships/hyperlink" Target="https://drive.google.com/open?id=1lJQO6rSTkmeXqSR3bMjP6DtL5ta-TZo4" TargetMode="External"/><Relationship Id="rId2556" Type="http://schemas.openxmlformats.org/officeDocument/2006/relationships/hyperlink" Target="https://preskilet.com/watch?v=62b54d53af4f2700045cdb79" TargetMode="External"/><Relationship Id="rId3886" Type="http://schemas.openxmlformats.org/officeDocument/2006/relationships/hyperlink" Target="https://drive.google.com/open?id=1kCb8cgl2W56kCq8F2k08WIzbyt_RUaOF" TargetMode="External"/><Relationship Id="rId1226" Type="http://schemas.openxmlformats.org/officeDocument/2006/relationships/hyperlink" Target="https://drive.google.com/open?id=1vPCKr-17hW7Lr8oyoNLoi2MokO9OvFrg" TargetMode="External"/><Relationship Id="rId2557" Type="http://schemas.openxmlformats.org/officeDocument/2006/relationships/hyperlink" Target="https://drive.google.com/open?id=1ApcXn9Yn2-rLCYxv5b6G25j4P6B2iXqA" TargetMode="External"/><Relationship Id="rId3889" Type="http://schemas.openxmlformats.org/officeDocument/2006/relationships/hyperlink" Target="https://www.linkedin.com/mwlite/in/ritul-chirde-137558240" TargetMode="External"/><Relationship Id="rId1227" Type="http://schemas.openxmlformats.org/officeDocument/2006/relationships/hyperlink" Target="https://www.linkedin.com/in/anuj-barave-a9539a1b4/" TargetMode="External"/><Relationship Id="rId2558" Type="http://schemas.openxmlformats.org/officeDocument/2006/relationships/hyperlink" Target="https://drive.google.com/open?id=1bHRkT8iAgMLRgGsiNIBpm7aSf0bqft6L" TargetMode="External"/><Relationship Id="rId3888" Type="http://schemas.openxmlformats.org/officeDocument/2006/relationships/hyperlink" Target="https://drive.google.com/open?id=1OCBiGYj7EfAcxdQweEVI6ET6SnCAozNn" TargetMode="External"/><Relationship Id="rId1228" Type="http://schemas.openxmlformats.org/officeDocument/2006/relationships/hyperlink" Target="https://preskilet.com/watch?v=62b53e6daf4f2700045cd9cf" TargetMode="External"/><Relationship Id="rId2559" Type="http://schemas.openxmlformats.org/officeDocument/2006/relationships/hyperlink" Target="https://drive.google.com/open?id=1HznaLvg8_Ww_bscY7jGE24w1uNHdGiiD" TargetMode="External"/><Relationship Id="rId1229" Type="http://schemas.openxmlformats.org/officeDocument/2006/relationships/hyperlink" Target="https://drive.google.com/open?id=1TzBXsFGAJ-YdGIDjTy_PsunvQQm7M8R2" TargetMode="External"/><Relationship Id="rId3881" Type="http://schemas.openxmlformats.org/officeDocument/2006/relationships/hyperlink" Target="https://drive.google.com/open?id=1ZtiSk13upa8JM8jfTC7OwOD-_q8n71JO" TargetMode="External"/><Relationship Id="rId2550" Type="http://schemas.openxmlformats.org/officeDocument/2006/relationships/hyperlink" Target="https://drive.google.com/open?id=1WZqhcLB8cdWNDaIs6d_QzI3r94QPQvhV" TargetMode="External"/><Relationship Id="rId3880" Type="http://schemas.openxmlformats.org/officeDocument/2006/relationships/hyperlink" Target="https://drive.google.com/open?id=1en2HEkEf66hqquS0z-UWmRec0azhRLS3" TargetMode="External"/><Relationship Id="rId1220" Type="http://schemas.openxmlformats.org/officeDocument/2006/relationships/hyperlink" Target="https://drive.google.com/open?id=1RUNt9hSYo7cRaX8SIH38M15-hn4b0d8T" TargetMode="External"/><Relationship Id="rId2551" Type="http://schemas.openxmlformats.org/officeDocument/2006/relationships/hyperlink" Target="https://drive.google.com/open?id=13XgBsSixejvpdGHtByt0mxklZX9VuuEm" TargetMode="External"/><Relationship Id="rId3883" Type="http://schemas.openxmlformats.org/officeDocument/2006/relationships/hyperlink" Target="https://drive.google.com/open?id=13w54M1sLa-cLNfz44oZ7gBxAa4fSfOUK" TargetMode="External"/><Relationship Id="rId1221" Type="http://schemas.openxmlformats.org/officeDocument/2006/relationships/hyperlink" Target="https://drive.google.com/open?id=1-NjZoPcWidyg7d89tDW06kFMb3NaFNJM" TargetMode="External"/><Relationship Id="rId2552" Type="http://schemas.openxmlformats.org/officeDocument/2006/relationships/hyperlink" Target="https://drive.google.com/open?id=18y2PjlhA-pyzoeWv2an-sQUqB5wCCpzW" TargetMode="External"/><Relationship Id="rId3882" Type="http://schemas.openxmlformats.org/officeDocument/2006/relationships/hyperlink" Target="https://drive.google.com/open?id=1s_PRHStjof5T30WeLxg2NzTWGZE2_hIe" TargetMode="External"/><Relationship Id="rId1222" Type="http://schemas.openxmlformats.org/officeDocument/2006/relationships/hyperlink" Target="https://drive.google.com/open?id=12Yo9T4A8_4ybe9pPk8KXUlpmWiYOOF9v" TargetMode="External"/><Relationship Id="rId2553" Type="http://schemas.openxmlformats.org/officeDocument/2006/relationships/hyperlink" Target="https://drive.google.com/open?id=1_xTBvWbDorCcfhN0W4QN11deznfVXoki" TargetMode="External"/><Relationship Id="rId3885" Type="http://schemas.openxmlformats.org/officeDocument/2006/relationships/hyperlink" Target="https://drive.google.com/open?id=15AikRSt8tTon2PORmIaecnS4zQkZOlPe" TargetMode="External"/><Relationship Id="rId1223" Type="http://schemas.openxmlformats.org/officeDocument/2006/relationships/hyperlink" Target="https://drive.google.com/open?id=1p7PV8BZwQGzwSG9v00dNTs_NEYhl0LiY" TargetMode="External"/><Relationship Id="rId2554" Type="http://schemas.openxmlformats.org/officeDocument/2006/relationships/hyperlink" Target="https://drive.google.com/open?id=1L4vZKQmAsOcUy5bZwLNudf7EvYEvBIz5" TargetMode="External"/><Relationship Id="rId3884" Type="http://schemas.openxmlformats.org/officeDocument/2006/relationships/hyperlink" Target="https://drive.google.com/open?id=1GDwlU1kql2Uz1uLrWEFt6L7jlcS8Fo9e" TargetMode="External"/><Relationship Id="rId2500" Type="http://schemas.openxmlformats.org/officeDocument/2006/relationships/hyperlink" Target="https://drive.google.com/open?id=1xsRaskPwvvJ1c2O5s8gxi4_kdp3YSO0G" TargetMode="External"/><Relationship Id="rId3832" Type="http://schemas.openxmlformats.org/officeDocument/2006/relationships/hyperlink" Target="https://drive.google.com/open?id=1HbTxIYq2B9ylOV8rg_IfNUc6dQmkNaEd" TargetMode="External"/><Relationship Id="rId2501" Type="http://schemas.openxmlformats.org/officeDocument/2006/relationships/hyperlink" Target="https://drive.google.com/open?id=1ML6OhOmlYujk95j-fpHOmfiFwtACEu-5" TargetMode="External"/><Relationship Id="rId3831" Type="http://schemas.openxmlformats.org/officeDocument/2006/relationships/hyperlink" Target="https://drive.google.com/open?id=1_gQ8sJok8oc9Wy845l-_B3jS10mex0G2" TargetMode="External"/><Relationship Id="rId2502" Type="http://schemas.openxmlformats.org/officeDocument/2006/relationships/hyperlink" Target="https://drive.google.com/open?id=1jUIjS0e2MCKrx_P-FSb-WekICHIyDSu1" TargetMode="External"/><Relationship Id="rId3834" Type="http://schemas.openxmlformats.org/officeDocument/2006/relationships/hyperlink" Target="https://preskilet.com/watch?v=62a35e1fa6956a00045fff1d" TargetMode="External"/><Relationship Id="rId2503" Type="http://schemas.openxmlformats.org/officeDocument/2006/relationships/hyperlink" Target="https://drive.google.com/open?id=1g1tD9wTTG68R4GJDIsipDa6ShjxR5Tbi" TargetMode="External"/><Relationship Id="rId3833" Type="http://schemas.openxmlformats.org/officeDocument/2006/relationships/hyperlink" Target="https://www.linkedin.com/in/akshay-gite-003598215/" TargetMode="External"/><Relationship Id="rId2504" Type="http://schemas.openxmlformats.org/officeDocument/2006/relationships/hyperlink" Target="https://drive.google.com/open?id=1adqUbzToyLE3OOL8BapqMV8t7yYQ3CX8" TargetMode="External"/><Relationship Id="rId3836" Type="http://schemas.openxmlformats.org/officeDocument/2006/relationships/hyperlink" Target="https://drive.google.com/open?id=1wCF73slDXIRBkkvryqzNYHVk66Y0QIu7" TargetMode="External"/><Relationship Id="rId2505" Type="http://schemas.openxmlformats.org/officeDocument/2006/relationships/hyperlink" Target="https://drive.google.com/open?id=1QRokcxOVuTbw6PnD20mftwUiXyg1AFxe" TargetMode="External"/><Relationship Id="rId3835" Type="http://schemas.openxmlformats.org/officeDocument/2006/relationships/hyperlink" Target="https://drive.google.com/open?id=1bHddcqvJ7Sxtcoj2mc7o7q3cGNcjaKMb" TargetMode="External"/><Relationship Id="rId2506" Type="http://schemas.openxmlformats.org/officeDocument/2006/relationships/hyperlink" Target="https://drive.google.com/open?id=1ExVNgltIrZ7nPsIuOVmxCLCxBIyNH4As" TargetMode="External"/><Relationship Id="rId3838" Type="http://schemas.openxmlformats.org/officeDocument/2006/relationships/hyperlink" Target="https://drive.google.com/open?id=1ru49yHzDQ6WIPKW35ijTSx_1EBXAsgPw" TargetMode="External"/><Relationship Id="rId2507" Type="http://schemas.openxmlformats.org/officeDocument/2006/relationships/hyperlink" Target="https://in.linkedin.com/in/sagar-bokefode-577b5623a" TargetMode="External"/><Relationship Id="rId3837" Type="http://schemas.openxmlformats.org/officeDocument/2006/relationships/hyperlink" Target="https://drive.google.com/open?id=1xh1WEL4aAra6CnZQXdYuSp6ecDLtM1nz" TargetMode="External"/><Relationship Id="rId2508" Type="http://schemas.openxmlformats.org/officeDocument/2006/relationships/hyperlink" Target="https://preskilet.com/watch?v=62bc922d5493430004e5f068" TargetMode="External"/><Relationship Id="rId2509" Type="http://schemas.openxmlformats.org/officeDocument/2006/relationships/hyperlink" Target="https://drive.google.com/open?id=1dqvUR3xBcQRKrZSHNPYlHM2ULK2ql3hV" TargetMode="External"/><Relationship Id="rId3839" Type="http://schemas.openxmlformats.org/officeDocument/2006/relationships/hyperlink" Target="https://drive.google.com/open?id=1qQuRyV4yoCAnXYJMpD6PatkYv4yZHJJH" TargetMode="External"/><Relationship Id="rId3830" Type="http://schemas.openxmlformats.org/officeDocument/2006/relationships/hyperlink" Target="https://drive.google.com/open?id=1ZuqxCJDQY7mSwmPXEDrfgsL1JBeo6o9t" TargetMode="External"/><Relationship Id="rId3821" Type="http://schemas.openxmlformats.org/officeDocument/2006/relationships/hyperlink" Target="https://drive.google.com/open?id=1C_EIihh1RUZEcX1dvuDdDTxWWVWcrTfh" TargetMode="External"/><Relationship Id="rId3820" Type="http://schemas.openxmlformats.org/officeDocument/2006/relationships/hyperlink" Target="https://drive.google.com/open?id=11IWJFCjB7OzwswE58wbqQwjsuk-kkAJR" TargetMode="External"/><Relationship Id="rId3823" Type="http://schemas.openxmlformats.org/officeDocument/2006/relationships/hyperlink" Target="https://drive.google.com/open?id=18jC3ZSdlUMHoxqYPZ6s_OnxCHKRwuVp_" TargetMode="External"/><Relationship Id="rId3822" Type="http://schemas.openxmlformats.org/officeDocument/2006/relationships/hyperlink" Target="https://drive.google.com/open?id=1xOHrEDlmDvrjBCI9QFF7ffH2MrHxNSCc" TargetMode="External"/><Relationship Id="rId3825" Type="http://schemas.openxmlformats.org/officeDocument/2006/relationships/hyperlink" Target="https://preskilet.com/shankar.karhale@mitaoe.ac.in" TargetMode="External"/><Relationship Id="rId3824" Type="http://schemas.openxmlformats.org/officeDocument/2006/relationships/hyperlink" Target="https://www.linkedin.com/in/shankar-karhale-4b5308238?lipi=urn%3Ali%3Apage%3Ad_flagship3_profile_view_base_contact_details%3BQUAOKN%2FkSFqCU5wi76tbtQ%3D%3D" TargetMode="External"/><Relationship Id="rId3827" Type="http://schemas.openxmlformats.org/officeDocument/2006/relationships/hyperlink" Target="https://drive.google.com/open?id=1GfLAq2DP_hQVuBgEnhT5pFeOe5gyqwKp" TargetMode="External"/><Relationship Id="rId3826" Type="http://schemas.openxmlformats.org/officeDocument/2006/relationships/hyperlink" Target="https://drive.google.com/open?id=1x7ZaAQmpirRtRmMj5qxsYUtbz3tMNhxP" TargetMode="External"/><Relationship Id="rId3829" Type="http://schemas.openxmlformats.org/officeDocument/2006/relationships/hyperlink" Target="https://drive.google.com/drive/folders/1TbiRULvsQl4AtQXYUxPArhGJCt73rULP?usp=sharing" TargetMode="External"/><Relationship Id="rId3828" Type="http://schemas.openxmlformats.org/officeDocument/2006/relationships/hyperlink" Target="https://www.linkedin.com/in/jaydeep-/" TargetMode="External"/><Relationship Id="rId2522" Type="http://schemas.openxmlformats.org/officeDocument/2006/relationships/hyperlink" Target="https://drive.google.com/drive/folders/10Wa0WNhXg-eHhlJOED6I7HfwpRFLeXhW" TargetMode="External"/><Relationship Id="rId3854" Type="http://schemas.openxmlformats.org/officeDocument/2006/relationships/hyperlink" Target="https://drive.google.com/open?id=1d67n9xH2EPN0DwJlwKjyZPdyCIN6Bkcf" TargetMode="External"/><Relationship Id="rId2523" Type="http://schemas.openxmlformats.org/officeDocument/2006/relationships/hyperlink" Target="https://drive.google.com/open?id=1yyPKAQWb_l4-cwVGjFnV64leeIYDrjo5" TargetMode="External"/><Relationship Id="rId3853" Type="http://schemas.openxmlformats.org/officeDocument/2006/relationships/hyperlink" Target="https://drive.google.com/open?id=1kaFxKFqrtD7nuHJGuBwC9sOr87_lu_u8" TargetMode="External"/><Relationship Id="rId2524" Type="http://schemas.openxmlformats.org/officeDocument/2006/relationships/hyperlink" Target="https://drive.google.com/open?id=1NmCxP8-kNDGKD6-g0YLJ2pSWOlZ2w0Vb" TargetMode="External"/><Relationship Id="rId3856" Type="http://schemas.openxmlformats.org/officeDocument/2006/relationships/hyperlink" Target="https://drive.google.com/open?id=1jywQHntr8HyMOjN5pKFu7WyBtOgauW6d" TargetMode="External"/><Relationship Id="rId2525" Type="http://schemas.openxmlformats.org/officeDocument/2006/relationships/hyperlink" Target="https://drive.google.com/open?id=1e1Jw__n4m3KUbjPcXZfR-JLd-3W_ylUp" TargetMode="External"/><Relationship Id="rId3855" Type="http://schemas.openxmlformats.org/officeDocument/2006/relationships/hyperlink" Target="https://drive.google.com/open?id=1V_t3oTgBl77cHTS4Mk6C0LKFom5ULeoy" TargetMode="External"/><Relationship Id="rId2526" Type="http://schemas.openxmlformats.org/officeDocument/2006/relationships/hyperlink" Target="https://drive.google.com/open?id=1kyJx-CQ1tAyBTRPbNEg8Sdebny7X8Eb1" TargetMode="External"/><Relationship Id="rId3858" Type="http://schemas.openxmlformats.org/officeDocument/2006/relationships/hyperlink" Target="https://preskilet.com/rohit.fulzele@mitaoe.ac.in" TargetMode="External"/><Relationship Id="rId2527" Type="http://schemas.openxmlformats.org/officeDocument/2006/relationships/hyperlink" Target="https://drive.google.com/open?id=1ArBeRzQUexbqgWuiFvTcCB0laF0nm2F_" TargetMode="External"/><Relationship Id="rId3857" Type="http://schemas.openxmlformats.org/officeDocument/2006/relationships/hyperlink" Target="https://www.linkedin.com/in/rohit-fulzele-209050217" TargetMode="External"/><Relationship Id="rId2528" Type="http://schemas.openxmlformats.org/officeDocument/2006/relationships/hyperlink" Target="http://www.linkedin.com/in/aarti-chaure-755560215" TargetMode="External"/><Relationship Id="rId2529" Type="http://schemas.openxmlformats.org/officeDocument/2006/relationships/hyperlink" Target="https://drive.google.com/file/d/1obGJ4KF9WS8uJRKj4Fvi4KKs4TYaK8MF/view?usp=sharing" TargetMode="External"/><Relationship Id="rId3859" Type="http://schemas.openxmlformats.org/officeDocument/2006/relationships/hyperlink" Target="https://drive.google.com/open?id=1gX0KRxkgi1OYnZNMuq7uvLCHMHSvLo4d" TargetMode="External"/><Relationship Id="rId3850" Type="http://schemas.openxmlformats.org/officeDocument/2006/relationships/hyperlink" Target="https://preskilet.com/watch?v=62a3657ca6956a00045ffff4" TargetMode="External"/><Relationship Id="rId2520" Type="http://schemas.openxmlformats.org/officeDocument/2006/relationships/hyperlink" Target="https://drive.google.com/open?id=13-hvz02AsHn0HyS9rQaBsOT-_GJxlLrd" TargetMode="External"/><Relationship Id="rId3852" Type="http://schemas.openxmlformats.org/officeDocument/2006/relationships/hyperlink" Target="https://drive.google.com/open?id=1qWG1PZuDe3cva4nlvQ_rlHZgMj5LpNmt" TargetMode="External"/><Relationship Id="rId2521" Type="http://schemas.openxmlformats.org/officeDocument/2006/relationships/hyperlink" Target="https://www.linkedin.com/in/jaya-sonawane-520601222" TargetMode="External"/><Relationship Id="rId3851" Type="http://schemas.openxmlformats.org/officeDocument/2006/relationships/hyperlink" Target="https://drive.google.com/open?id=1ZN8DzLSBT4BQSbr9q4RB2LXuJE6_9EG2" TargetMode="External"/><Relationship Id="rId2511" Type="http://schemas.openxmlformats.org/officeDocument/2006/relationships/hyperlink" Target="https://drive.google.com/open?id=1RMmr_NtzcoHCIAkQWs-ohb54gmoiHqFX" TargetMode="External"/><Relationship Id="rId3843" Type="http://schemas.openxmlformats.org/officeDocument/2006/relationships/hyperlink" Target="https://drive.google.com/open?id=1WemDsS_f3W_z5F0ebmxU0-3wbkL8bsbL" TargetMode="External"/><Relationship Id="rId2512" Type="http://schemas.openxmlformats.org/officeDocument/2006/relationships/hyperlink" Target="https://drive.google.com/open?id=1tNj5DZPQnJ8GXDpb3DWKaTHwkjSIr6Y4" TargetMode="External"/><Relationship Id="rId3842" Type="http://schemas.openxmlformats.org/officeDocument/2006/relationships/hyperlink" Target="https://drive.google.com/open?id=1_EqPHgcVXpBfupVJa02d1IMZLb_StmwS" TargetMode="External"/><Relationship Id="rId2513" Type="http://schemas.openxmlformats.org/officeDocument/2006/relationships/hyperlink" Target="https://drive.google.com/open?id=11r_XZop9nc_dAavV1uvM8cCSD14Y9bpx" TargetMode="External"/><Relationship Id="rId3845" Type="http://schemas.openxmlformats.org/officeDocument/2006/relationships/hyperlink" Target="https://drive.google.com/open?id=1aEwoXrdDGK-j57JmjTwCHQodEk6OKJza" TargetMode="External"/><Relationship Id="rId2514" Type="http://schemas.openxmlformats.org/officeDocument/2006/relationships/hyperlink" Target="https://drive.google.com/open?id=10Z6g_5dd3HQinOs0wKp8yqLxm7eud5hE" TargetMode="External"/><Relationship Id="rId3844" Type="http://schemas.openxmlformats.org/officeDocument/2006/relationships/hyperlink" Target="https://drive.google.com/open?id=1RHt_hgzub-lrbfZO7RPKehwKq8mKWeIK" TargetMode="External"/><Relationship Id="rId2515" Type="http://schemas.openxmlformats.org/officeDocument/2006/relationships/hyperlink" Target="https://drive.google.com/open?id=13FEjzcWEjocXYvtaOeyaX2ZI2i6Ph1jY" TargetMode="External"/><Relationship Id="rId3847" Type="http://schemas.openxmlformats.org/officeDocument/2006/relationships/hyperlink" Target="https://drive.google.com/open?id=1n72BMI18A0MqzmJ16M6l5d3TS3uUeBDb" TargetMode="External"/><Relationship Id="rId2516" Type="http://schemas.openxmlformats.org/officeDocument/2006/relationships/hyperlink" Target="https://www.linkedin.com/in/abhishek-morope-3665421a1" TargetMode="External"/><Relationship Id="rId3846" Type="http://schemas.openxmlformats.org/officeDocument/2006/relationships/hyperlink" Target="https://drive.google.com/open?id=1aQmI0iqTl3X0lFIX4gxMo0fXMvVCWGVo" TargetMode="External"/><Relationship Id="rId2517" Type="http://schemas.openxmlformats.org/officeDocument/2006/relationships/hyperlink" Target="https://www.linkedin.com/in/abhishek-morope-3665421a1" TargetMode="External"/><Relationship Id="rId3849" Type="http://schemas.openxmlformats.org/officeDocument/2006/relationships/hyperlink" Target="https://www.linkedin.com/in/prathamesh-kulkarni-747b1a20a/" TargetMode="External"/><Relationship Id="rId2518" Type="http://schemas.openxmlformats.org/officeDocument/2006/relationships/hyperlink" Target="https://drive.google.com/open?id=1m6Pm3obxdetRsl_5UvzDfOx3h7-czFQ4" TargetMode="External"/><Relationship Id="rId3848" Type="http://schemas.openxmlformats.org/officeDocument/2006/relationships/hyperlink" Target="https://drive.google.com/open?id=1FjAdekdKlLh9H0r8YfkGxN0m2a-_kMbc" TargetMode="External"/><Relationship Id="rId2519" Type="http://schemas.openxmlformats.org/officeDocument/2006/relationships/hyperlink" Target="https://drive.google.com/open?id=1Jp4TrOC1uVsl8tryaIGqfd1iOwDtY2IF" TargetMode="External"/><Relationship Id="rId3841" Type="http://schemas.openxmlformats.org/officeDocument/2006/relationships/hyperlink" Target="https://preskilet.com/rbthange@mitaoe.ac.in" TargetMode="External"/><Relationship Id="rId2510" Type="http://schemas.openxmlformats.org/officeDocument/2006/relationships/hyperlink" Target="https://drive.google.com/open?id=1Lh3mDpVwMC3DcEdFBG_a8OXU42atzZgj" TargetMode="External"/><Relationship Id="rId3840" Type="http://schemas.openxmlformats.org/officeDocument/2006/relationships/hyperlink" Target="https://www.linkedin.com/in/rushikesh-thange-a0b047241" TargetMode="External"/><Relationship Id="rId4327" Type="http://schemas.openxmlformats.org/officeDocument/2006/relationships/hyperlink" Target="https://drive.google.com/open?id=1Arj0AQzCUElKa_EmyVaVwdTNnhENb2fG" TargetMode="External"/><Relationship Id="rId4326" Type="http://schemas.openxmlformats.org/officeDocument/2006/relationships/hyperlink" Target="https://drive.google.com/open?id=1g3XFMuOYi5btBUE3qdMFXuHq22yGzYfq" TargetMode="External"/><Relationship Id="rId4329" Type="http://schemas.openxmlformats.org/officeDocument/2006/relationships/hyperlink" Target="https://drive.google.com/open?id=1BnCDcePWH1-HP9RtwF_AXW-5HRj9vU5X" TargetMode="External"/><Relationship Id="rId4328" Type="http://schemas.openxmlformats.org/officeDocument/2006/relationships/hyperlink" Target="https://drive.google.com/open?id=1tWcmLFuo_Ziz4ViLR5IDyAQOp4dix5UC" TargetMode="External"/><Relationship Id="rId469" Type="http://schemas.openxmlformats.org/officeDocument/2006/relationships/hyperlink" Target="https://drive.google.com/open?id=1W4h5VSKykaQRP3K3GJVLw38u3p8EglQ4" TargetMode="External"/><Relationship Id="rId468" Type="http://schemas.openxmlformats.org/officeDocument/2006/relationships/hyperlink" Target="https://drive.google.com/open?id=1SB5cowl9JJm59XhjrXvC6xbKN6VIoO5D" TargetMode="External"/><Relationship Id="rId467" Type="http://schemas.openxmlformats.org/officeDocument/2006/relationships/hyperlink" Target="https://drive.google.com/open?id=1vKGXx7ogn71b8C02PiyoniCQE60k60zi" TargetMode="External"/><Relationship Id="rId1290" Type="http://schemas.openxmlformats.org/officeDocument/2006/relationships/hyperlink" Target="https://www.linkedin.com/in/yash-fulzele-6ba010204/" TargetMode="External"/><Relationship Id="rId1291" Type="http://schemas.openxmlformats.org/officeDocument/2006/relationships/hyperlink" Target="https://preskilet.com/watch?v=62b49f0230b280000452362e" TargetMode="External"/><Relationship Id="rId1292" Type="http://schemas.openxmlformats.org/officeDocument/2006/relationships/hyperlink" Target="https://drive.google.com/open?id=16JXX2KRLbAvWcHHVRVb84R_420yoeDe6" TargetMode="External"/><Relationship Id="rId462" Type="http://schemas.openxmlformats.org/officeDocument/2006/relationships/hyperlink" Target="https://drive.google.com/open?id=1PNl2VMFHw0tefBZwU39wza4beXG8K9Pt" TargetMode="External"/><Relationship Id="rId1293" Type="http://schemas.openxmlformats.org/officeDocument/2006/relationships/hyperlink" Target="https://drive.google.com/open?id=1wl5nKZKqgZy7j92PjpqvAR9_2iw9ZPcr" TargetMode="External"/><Relationship Id="rId461" Type="http://schemas.openxmlformats.org/officeDocument/2006/relationships/hyperlink" Target="https://drive.google.com/open?id=1FlIII8kpZEb9DobmJ5-rkB_HChOJoX6h" TargetMode="External"/><Relationship Id="rId1294" Type="http://schemas.openxmlformats.org/officeDocument/2006/relationships/hyperlink" Target="https://drive.google.com/open?id=1NgQlzdaKCFK7_Yva-CPFmKMvqK14aVKO" TargetMode="External"/><Relationship Id="rId460" Type="http://schemas.openxmlformats.org/officeDocument/2006/relationships/hyperlink" Target="https://drive.google.com/open?id=1D-xavV7cUpJJvsAsB-2GbUtuIyIjsGmj" TargetMode="External"/><Relationship Id="rId1295" Type="http://schemas.openxmlformats.org/officeDocument/2006/relationships/hyperlink" Target="https://drive.google.com/open?id=1tGvEPPUie0tax85gA8FMoSglSUcgpiK8" TargetMode="External"/><Relationship Id="rId4321" Type="http://schemas.openxmlformats.org/officeDocument/2006/relationships/hyperlink" Target="https://preskilet.com/watch?v=62a3a359a6956a0004600b2c" TargetMode="External"/><Relationship Id="rId1296" Type="http://schemas.openxmlformats.org/officeDocument/2006/relationships/hyperlink" Target="https://drive.google.com/open?id=1s93LrVy4RvxS8Cgje3VrI6z_avDlAZul" TargetMode="External"/><Relationship Id="rId4320" Type="http://schemas.openxmlformats.org/officeDocument/2006/relationships/hyperlink" Target="https://www.linkedin.com/in/vedant-ghodki-02540a1b7" TargetMode="External"/><Relationship Id="rId466" Type="http://schemas.openxmlformats.org/officeDocument/2006/relationships/hyperlink" Target="https://drive.google.com/open?id=14h7JcUOEDMZzViP7c83J9xeWQm9yxUHc" TargetMode="External"/><Relationship Id="rId1297" Type="http://schemas.openxmlformats.org/officeDocument/2006/relationships/hyperlink" Target="http://www.linkedin.com/in/ritik-bhasarkar" TargetMode="External"/><Relationship Id="rId4323" Type="http://schemas.openxmlformats.org/officeDocument/2006/relationships/hyperlink" Target="https://drive.google.com/open?id=1x-Ie0abznxWMpY8y276rdEzy13YzcT_3" TargetMode="External"/><Relationship Id="rId465" Type="http://schemas.openxmlformats.org/officeDocument/2006/relationships/hyperlink" Target="https://drive.google.com/file/d/1b-_Fbm7rUtDk-DKC5CaCHXTr8xWrwapx/view?usp=sharing" TargetMode="External"/><Relationship Id="rId1298" Type="http://schemas.openxmlformats.org/officeDocument/2006/relationships/hyperlink" Target="https://preskilet.com/watch?v=62b53932af4f2700045cd963" TargetMode="External"/><Relationship Id="rId4322" Type="http://schemas.openxmlformats.org/officeDocument/2006/relationships/hyperlink" Target="https://drive.google.com/open?id=1P6oOm-7QUdX_YFKrC-WqSQoQ-3PDALfU" TargetMode="External"/><Relationship Id="rId464" Type="http://schemas.openxmlformats.org/officeDocument/2006/relationships/hyperlink" Target="https://www.linkedin.com/in/vaibhavi-chopade-9860b2213/" TargetMode="External"/><Relationship Id="rId1299" Type="http://schemas.openxmlformats.org/officeDocument/2006/relationships/hyperlink" Target="https://drive.google.com/open?id=1IxOdfwx6g03aO-uA3n7N1ZXn8GhoXYIQ" TargetMode="External"/><Relationship Id="rId4325" Type="http://schemas.openxmlformats.org/officeDocument/2006/relationships/hyperlink" Target="https://drive.google.com/open?id=1-RwvqU0qS8o1vH1dv5zlm3CGW0hjmMmT" TargetMode="External"/><Relationship Id="rId463" Type="http://schemas.openxmlformats.org/officeDocument/2006/relationships/hyperlink" Target="https://drive.google.com/open?id=19vMIPZZ_RSyTGFS5aDZKawdDrKmAfoDf" TargetMode="External"/><Relationship Id="rId4324" Type="http://schemas.openxmlformats.org/officeDocument/2006/relationships/hyperlink" Target="https://drive.google.com/open?id=15S-NiOWNgm30t5XLYv4BOZjqQyXJmWcP" TargetMode="External"/><Relationship Id="rId4316" Type="http://schemas.openxmlformats.org/officeDocument/2006/relationships/hyperlink" Target="https://drive.google.com/open?id=1ANrHuAaHPG2Zcg1Sf1BXmArd59KouKOF" TargetMode="External"/><Relationship Id="rId4315" Type="http://schemas.openxmlformats.org/officeDocument/2006/relationships/hyperlink" Target="https://drive.google.com/open?id=1gUDMpyVoCWzi4NyFiLQC0M9f3ZoKgxQT" TargetMode="External"/><Relationship Id="rId4318" Type="http://schemas.openxmlformats.org/officeDocument/2006/relationships/hyperlink" Target="https://drive.google.com/open?id=1zXK2tfmdqFCHCujfLXGLisgxuvLJUChX" TargetMode="External"/><Relationship Id="rId4317" Type="http://schemas.openxmlformats.org/officeDocument/2006/relationships/hyperlink" Target="https://drive.google.com/open?id=1STCGLocppcmbSGfc2FnmYWECVUH1qM_a" TargetMode="External"/><Relationship Id="rId4319" Type="http://schemas.openxmlformats.org/officeDocument/2006/relationships/hyperlink" Target="https://drive.google.com/open?id=1_JdAbv38kfgTwuj-kHQuN-rmqjv1ilbH" TargetMode="External"/><Relationship Id="rId459" Type="http://schemas.openxmlformats.org/officeDocument/2006/relationships/hyperlink" Target="https://drive.google.com/open?id=1FIit2nrPk6x3DECeefYGMoZ5uqkjwqXV" TargetMode="External"/><Relationship Id="rId458" Type="http://schemas.openxmlformats.org/officeDocument/2006/relationships/hyperlink" Target="https://drive.google.com/open?id=1T0f-bKyVc4C4hxE5NihDokESIcdYvZZa" TargetMode="External"/><Relationship Id="rId457" Type="http://schemas.openxmlformats.org/officeDocument/2006/relationships/hyperlink" Target="https://drive.google.com/open?id=1VodTMOr8KTEsotElDrb8dfREqSRYI-PE" TargetMode="External"/><Relationship Id="rId456" Type="http://schemas.openxmlformats.org/officeDocument/2006/relationships/hyperlink" Target="https://drive.google.com/open?id=1fyWv0CqoSJfrWBszTiQq503Xqs7x7JGn" TargetMode="External"/><Relationship Id="rId1280" Type="http://schemas.openxmlformats.org/officeDocument/2006/relationships/hyperlink" Target="https://drive.google.com/open?id=15EIjlBMwcNwk3gWlJCFLYlZws2oSWJKn" TargetMode="External"/><Relationship Id="rId1281" Type="http://schemas.openxmlformats.org/officeDocument/2006/relationships/hyperlink" Target="https://drive.google.com/open?id=1fEF01vJ2h1y4GX_P0Vck4Hr5REEP52hE" TargetMode="External"/><Relationship Id="rId451" Type="http://schemas.openxmlformats.org/officeDocument/2006/relationships/hyperlink" Target="https://drive.google.com/open?id=1Yheoy-7OSpIqfH6ew2hqb_Q7y5Skn9-G" TargetMode="External"/><Relationship Id="rId1282" Type="http://schemas.openxmlformats.org/officeDocument/2006/relationships/hyperlink" Target="https://www.linkedin.com/in/sanket-mahajan-87652119b" TargetMode="External"/><Relationship Id="rId450" Type="http://schemas.openxmlformats.org/officeDocument/2006/relationships/hyperlink" Target="https://drive.google.com/open?id=1okYfMJFGOwy4G-OQsh4oQIsMIL5HIBFJ" TargetMode="External"/><Relationship Id="rId1283" Type="http://schemas.openxmlformats.org/officeDocument/2006/relationships/hyperlink" Target="https://preskilet.com/watch?v=629d9d51486670000441290a" TargetMode="External"/><Relationship Id="rId1284" Type="http://schemas.openxmlformats.org/officeDocument/2006/relationships/hyperlink" Target="https://drive.google.com/open?id=1n-rQmcx9YQzsVPDFERO72Z5RbtYM1sO-" TargetMode="External"/><Relationship Id="rId4310" Type="http://schemas.openxmlformats.org/officeDocument/2006/relationships/hyperlink" Target="https://drive.google.com/open?id=1ijA2HTFlJsEJ2kWLqICQjI04CbrbSPCN" TargetMode="External"/><Relationship Id="rId1285" Type="http://schemas.openxmlformats.org/officeDocument/2006/relationships/hyperlink" Target="https://drive.google.com/open?id=1EPVzzTUY4ymaySzjoHWaElfyNhgF9JK1" TargetMode="External"/><Relationship Id="rId455" Type="http://schemas.openxmlformats.org/officeDocument/2006/relationships/hyperlink" Target="https://preskilet.com/watch?v=62b4a67930b280000452371b" TargetMode="External"/><Relationship Id="rId1286" Type="http://schemas.openxmlformats.org/officeDocument/2006/relationships/hyperlink" Target="https://drive.google.com/open?id=1rmy99AFBxPNHoW5yLEyX5l4FQpH3MeD6" TargetMode="External"/><Relationship Id="rId4312" Type="http://schemas.openxmlformats.org/officeDocument/2006/relationships/hyperlink" Target="https://www.linkedin.com/in/shubham-shikhare-b3bb60215/" TargetMode="External"/><Relationship Id="rId454" Type="http://schemas.openxmlformats.org/officeDocument/2006/relationships/hyperlink" Target="https://www.linkedin.com/in/pranjal-gawali-aa8749241" TargetMode="External"/><Relationship Id="rId1287" Type="http://schemas.openxmlformats.org/officeDocument/2006/relationships/hyperlink" Target="https://drive.google.com/open?id=1qBsk0tRfgmpn-ZEa_8UFRzBAPczcUYxk" TargetMode="External"/><Relationship Id="rId4311" Type="http://schemas.openxmlformats.org/officeDocument/2006/relationships/hyperlink" Target="https://drive.google.com/open?id=1l_mRljbIAooRvEl8U6O6Zcn6QYIVd--x" TargetMode="External"/><Relationship Id="rId453" Type="http://schemas.openxmlformats.org/officeDocument/2006/relationships/hyperlink" Target="https://drive.google.com/open?id=1WUibW1BxdUo0Ivdg5uhv7BVfc2Ox24U5" TargetMode="External"/><Relationship Id="rId1288" Type="http://schemas.openxmlformats.org/officeDocument/2006/relationships/hyperlink" Target="https://drive.google.com/open?id=1VVsqRWNZ15MIa5G7d8r-R-c5uuTIZEdg" TargetMode="External"/><Relationship Id="rId4314" Type="http://schemas.openxmlformats.org/officeDocument/2006/relationships/hyperlink" Target="https://drive.google.com/open?id=10PnHMR0RpSwLwrgpl2HggXBrpO5tdPIG" TargetMode="External"/><Relationship Id="rId452" Type="http://schemas.openxmlformats.org/officeDocument/2006/relationships/hyperlink" Target="https://drive.google.com/open?id=1TnL3B02Buu_8Sfi95PbgSw6q2DT1k5st" TargetMode="External"/><Relationship Id="rId1289" Type="http://schemas.openxmlformats.org/officeDocument/2006/relationships/hyperlink" Target="https://drive.google.com/open?id=1NpJzzGZYHAEgVaJQLCAaiXlinZw7KALp" TargetMode="External"/><Relationship Id="rId4313" Type="http://schemas.openxmlformats.org/officeDocument/2006/relationships/hyperlink" Target="https://drive.google.com/drive/folders/1nDG66V7FrEXqN3W9ARjgRdtRLwwd4N32?usp=sharing" TargetMode="External"/><Relationship Id="rId3018" Type="http://schemas.openxmlformats.org/officeDocument/2006/relationships/hyperlink" Target="https://drive.google.com/open?id=1wd9v7cueNVeObWvOuavPHeK76KQo-qQW" TargetMode="External"/><Relationship Id="rId4349" Type="http://schemas.openxmlformats.org/officeDocument/2006/relationships/hyperlink" Target="https://drive.google.com/open?id=1yWm6wrYwPXOSEIzACGMVUjvOHWQg1ODq" TargetMode="External"/><Relationship Id="rId3017" Type="http://schemas.openxmlformats.org/officeDocument/2006/relationships/hyperlink" Target="https://preskilet.com/watch?v=62a243cafed70c00042b6978" TargetMode="External"/><Relationship Id="rId4348" Type="http://schemas.openxmlformats.org/officeDocument/2006/relationships/hyperlink" Target="https://drive.google.com/open?id=1xxswoMmfl51rGuVhTaF0VDPgcY72PQtq" TargetMode="External"/><Relationship Id="rId3019" Type="http://schemas.openxmlformats.org/officeDocument/2006/relationships/hyperlink" Target="https://drive.google.com/open?id=1ebYn0fFO1vDeKIQS87liZUKbkzAO6bWK" TargetMode="External"/><Relationship Id="rId491" Type="http://schemas.openxmlformats.org/officeDocument/2006/relationships/hyperlink" Target="https://drive.google.com/file/d/1IOOQEvG7tp97yAAPQ1xu7DYuYZq0lstu/view?usp=sharing" TargetMode="External"/><Relationship Id="rId490" Type="http://schemas.openxmlformats.org/officeDocument/2006/relationships/hyperlink" Target="http://linkedin.com/in/smriti-singh-880a781ab/" TargetMode="External"/><Relationship Id="rId489" Type="http://schemas.openxmlformats.org/officeDocument/2006/relationships/hyperlink" Target="https://drive.google.com/open?id=1PvIdBfFykibVxIOJzK0-gwPylnBTyoSE" TargetMode="External"/><Relationship Id="rId484" Type="http://schemas.openxmlformats.org/officeDocument/2006/relationships/hyperlink" Target="https://drive.google.com/open?id=1GoTvXUN1sBAbQarJROUl6ybZMcQG5unC" TargetMode="External"/><Relationship Id="rId3010" Type="http://schemas.openxmlformats.org/officeDocument/2006/relationships/hyperlink" Target="https://preskilet.com/watch?v=62a38ef9a6956a000460084a" TargetMode="External"/><Relationship Id="rId4341" Type="http://schemas.openxmlformats.org/officeDocument/2006/relationships/hyperlink" Target="https://drive.google.com/open?id=1RfVqFnL-hvK9F0Vndh99HvyM7Qde_vzy" TargetMode="External"/><Relationship Id="rId483" Type="http://schemas.openxmlformats.org/officeDocument/2006/relationships/hyperlink" Target="https://drive.google.com/open?id=1aiRVQ3loMmxcQQSEE9-kn3qbIYkXUnaI" TargetMode="External"/><Relationship Id="rId4340" Type="http://schemas.openxmlformats.org/officeDocument/2006/relationships/hyperlink" Target="https://drive.google.com/open?id=1BY0uLZrvh7eeCDFhSwy3J2-0SUbEVvL4" TargetMode="External"/><Relationship Id="rId482" Type="http://schemas.openxmlformats.org/officeDocument/2006/relationships/hyperlink" Target="https://drive.google.com/open?id=1El7P9Bw9AAaFilRiB2hLPc52hnoLltOl" TargetMode="External"/><Relationship Id="rId3012" Type="http://schemas.openxmlformats.org/officeDocument/2006/relationships/hyperlink" Target="https://drive.google.com/open?id=1HRY_6O90Bw5WD5EJVsk958PxWyrc3rsi" TargetMode="External"/><Relationship Id="rId4343" Type="http://schemas.openxmlformats.org/officeDocument/2006/relationships/hyperlink" Target="https://drive.google.com/open?id=1_mxQYIaunvwpYFhvoKAjRXq0IlmGo10B" TargetMode="External"/><Relationship Id="rId481" Type="http://schemas.openxmlformats.org/officeDocument/2006/relationships/hyperlink" Target="https://drive.google.com/open?id=1s0tsBG-vxdZFptwZ4sbmPCj9Rys2-0tn" TargetMode="External"/><Relationship Id="rId3011" Type="http://schemas.openxmlformats.org/officeDocument/2006/relationships/hyperlink" Target="https://drive.google.com/open?id=1R9rxnr17UdJQS_E1_uCSD96Hi5G4Q1fF" TargetMode="External"/><Relationship Id="rId4342" Type="http://schemas.openxmlformats.org/officeDocument/2006/relationships/hyperlink" Target="https://drive.google.com/open?id=1CJ_SBcWiH9STVjj1wNtzAhQWzteT7SgD" TargetMode="External"/><Relationship Id="rId488" Type="http://schemas.openxmlformats.org/officeDocument/2006/relationships/hyperlink" Target="https://drive.google.com/open?id=1USQTT99eRhYCIrLpzz5qD-qxkyDhmBv0" TargetMode="External"/><Relationship Id="rId3014" Type="http://schemas.openxmlformats.org/officeDocument/2006/relationships/hyperlink" Target="https://drive.google.com/open?id=1ET0BvUaFs5gMWrQBBHniUVedy0WiYJsv" TargetMode="External"/><Relationship Id="rId4345" Type="http://schemas.openxmlformats.org/officeDocument/2006/relationships/hyperlink" Target="https://drive.google.com/open?id=18Ldh_-KyohwsxF3KFbew98fRT8oAo5fa" TargetMode="External"/><Relationship Id="rId487" Type="http://schemas.openxmlformats.org/officeDocument/2006/relationships/hyperlink" Target="https://drive.google.com/open?id=17JL1ZmPJk7L_iKUX3W54Oy9YoqYryenE" TargetMode="External"/><Relationship Id="rId3013" Type="http://schemas.openxmlformats.org/officeDocument/2006/relationships/hyperlink" Target="https://drive.google.com/open?id=1bZyKBvu6kA82U-ASIZbFcnnASPhxRFH5" TargetMode="External"/><Relationship Id="rId4344" Type="http://schemas.openxmlformats.org/officeDocument/2006/relationships/hyperlink" Target="https://drive.google.com/open?id=1O5CeQ1vzjngrbxwei3PePg_o_y3J3PBZ" TargetMode="External"/><Relationship Id="rId486" Type="http://schemas.openxmlformats.org/officeDocument/2006/relationships/hyperlink" Target="https://drive.google.com/open?id=1SWVeaE5nzhSaZzsAxaPe1ZHSRrjMEFMA" TargetMode="External"/><Relationship Id="rId3016" Type="http://schemas.openxmlformats.org/officeDocument/2006/relationships/hyperlink" Target="https://www.linkedin.com/in/aniket-sharma-link/" TargetMode="External"/><Relationship Id="rId4347" Type="http://schemas.openxmlformats.org/officeDocument/2006/relationships/hyperlink" Target="https://preskilet.com/csdhande@mitaoe.ac.in" TargetMode="External"/><Relationship Id="rId485" Type="http://schemas.openxmlformats.org/officeDocument/2006/relationships/hyperlink" Target="https://drive.google.com/open?id=1jXTFXf0aSLHI_VvLcDDwdr6VzIDeLuO-" TargetMode="External"/><Relationship Id="rId3015" Type="http://schemas.openxmlformats.org/officeDocument/2006/relationships/hyperlink" Target="https://drive.google.com/open?id=1Z0hWDufnaAMIS5ZNRRKGp7WabvWYuLRd" TargetMode="External"/><Relationship Id="rId4346" Type="http://schemas.openxmlformats.org/officeDocument/2006/relationships/hyperlink" Target="https://www.linkedin.com/in/chirag-dhande-09561a212" TargetMode="External"/><Relationship Id="rId3007" Type="http://schemas.openxmlformats.org/officeDocument/2006/relationships/hyperlink" Target="https://drive.google.com/open?id=1RybSerfAG8tNCTxXPBfZ5PjSj6PyFN_t" TargetMode="External"/><Relationship Id="rId4338" Type="http://schemas.openxmlformats.org/officeDocument/2006/relationships/hyperlink" Target="https://drive.google.com/open?id=1xmqLLCnRlPONRtlkJbtNr0dSQWOhdj-6" TargetMode="External"/><Relationship Id="rId3006" Type="http://schemas.openxmlformats.org/officeDocument/2006/relationships/hyperlink" Target="https://drive.google.com/open?id=1dg4Nj3vhxi4LyhaTgACAW45YrUzajRY6" TargetMode="External"/><Relationship Id="rId4337" Type="http://schemas.openxmlformats.org/officeDocument/2006/relationships/hyperlink" Target="https://drive.google.com/open?id=1Q9-uH5ijjiqLdh-_OcDqUvcp4O2_FNK_" TargetMode="External"/><Relationship Id="rId3009" Type="http://schemas.openxmlformats.org/officeDocument/2006/relationships/hyperlink" Target="https://www.linkedin.com/in/adarshzamwar/" TargetMode="External"/><Relationship Id="rId3008" Type="http://schemas.openxmlformats.org/officeDocument/2006/relationships/hyperlink" Target="https://drive.google.com/open?id=18HZ1Gzgj_VbG4QgyvieJbce9VF4Cp3sk" TargetMode="External"/><Relationship Id="rId4339" Type="http://schemas.openxmlformats.org/officeDocument/2006/relationships/hyperlink" Target="https://drive.google.com/open?id=1GdSXBf7hOPhhlMNzjCKbJoJz-12e1djL" TargetMode="External"/><Relationship Id="rId480" Type="http://schemas.openxmlformats.org/officeDocument/2006/relationships/hyperlink" Target="https://preskilet.com/sumit.chhatre@mitaoe.ac.in" TargetMode="External"/><Relationship Id="rId479" Type="http://schemas.openxmlformats.org/officeDocument/2006/relationships/hyperlink" Target="https://www.linkedin.com/in/sumit-chhatre-02b760232" TargetMode="External"/><Relationship Id="rId478" Type="http://schemas.openxmlformats.org/officeDocument/2006/relationships/hyperlink" Target="https://drive.google.com/open?id=1pjtlfUoG7iqS0rFTZmUKfIj0hovRJUG6" TargetMode="External"/><Relationship Id="rId473" Type="http://schemas.openxmlformats.org/officeDocument/2006/relationships/hyperlink" Target="https://drive.google.com/open?id=1d37g3oi2nEBh6-EZbedFAu0FO3vVbvJh" TargetMode="External"/><Relationship Id="rId4330" Type="http://schemas.openxmlformats.org/officeDocument/2006/relationships/hyperlink" Target="https://drive.google.com/open?id=1YlzmuveYN6vBzvW5snKJikC5D8ovIQN2" TargetMode="External"/><Relationship Id="rId472" Type="http://schemas.openxmlformats.org/officeDocument/2006/relationships/hyperlink" Target="https://preskilet.com/hemant.bhore@mitaoe.ac.in" TargetMode="External"/><Relationship Id="rId471" Type="http://schemas.openxmlformats.org/officeDocument/2006/relationships/hyperlink" Target="https://www.linkedin.com/in/hemant-bhore-11a2111a4" TargetMode="External"/><Relationship Id="rId3001" Type="http://schemas.openxmlformats.org/officeDocument/2006/relationships/hyperlink" Target="https://www.linkedin.com/in/sujata-khairkar-a086b81b7/" TargetMode="External"/><Relationship Id="rId4332" Type="http://schemas.openxmlformats.org/officeDocument/2006/relationships/hyperlink" Target="https://drive.google.com/open?id=1O2NT1sGkk9ttMUjvV7sfva2dfZFLeFka" TargetMode="External"/><Relationship Id="rId470" Type="http://schemas.openxmlformats.org/officeDocument/2006/relationships/hyperlink" Target="https://drive.google.com/open?id=1n4oaToZLwdhiP1EcSXsB7bn3xzDRx10R" TargetMode="External"/><Relationship Id="rId3000" Type="http://schemas.openxmlformats.org/officeDocument/2006/relationships/hyperlink" Target="https://drive.google.com/open?id=1ytEixx-B1IVgiexLOax5wr4qLn-K6eGa" TargetMode="External"/><Relationship Id="rId4331" Type="http://schemas.openxmlformats.org/officeDocument/2006/relationships/hyperlink" Target="https://drive.google.com/open?id=1aLodq5GVNEfYS6qmLz_q1-RH70SsxQR4" TargetMode="External"/><Relationship Id="rId477" Type="http://schemas.openxmlformats.org/officeDocument/2006/relationships/hyperlink" Target="https://drive.google.com/open?id=1cN9G5I35vQ283TgERmdqBrQtSFROss36" TargetMode="External"/><Relationship Id="rId3003" Type="http://schemas.openxmlformats.org/officeDocument/2006/relationships/hyperlink" Target="https://drive.google.com/open?id=1m8IFmX3mAarpsX-gmvWYSDQXPnASL65P" TargetMode="External"/><Relationship Id="rId4334" Type="http://schemas.openxmlformats.org/officeDocument/2006/relationships/hyperlink" Target="https://drive.google.com/file/d/1vtgfzsyUVqVQRHqrZc4B_wsxxQc1C_06/view?usp=sharing" TargetMode="External"/><Relationship Id="rId476" Type="http://schemas.openxmlformats.org/officeDocument/2006/relationships/hyperlink" Target="https://drive.google.com/open?id=1HYjS7Rw-my3CVqHpq8DSaGUqORovsOWn" TargetMode="External"/><Relationship Id="rId3002" Type="http://schemas.openxmlformats.org/officeDocument/2006/relationships/hyperlink" Target="https://preskilet.com/sujatamkhairkar10@gmail.com" TargetMode="External"/><Relationship Id="rId4333" Type="http://schemas.openxmlformats.org/officeDocument/2006/relationships/hyperlink" Target="https://www.linkedin.com/in/tauhid-sheikh-204a27232" TargetMode="External"/><Relationship Id="rId475" Type="http://schemas.openxmlformats.org/officeDocument/2006/relationships/hyperlink" Target="https://drive.google.com/open?id=1RDRjlUg78CjkTMqYKPFlYkIwulFB7y5Z" TargetMode="External"/><Relationship Id="rId3005" Type="http://schemas.openxmlformats.org/officeDocument/2006/relationships/hyperlink" Target="https://drive.google.com/open?id=1OZdxQvEzukX8vR9DRQIbqeo-KYnDUE7c" TargetMode="External"/><Relationship Id="rId4336" Type="http://schemas.openxmlformats.org/officeDocument/2006/relationships/hyperlink" Target="https://drive.google.com/open?id=1W4hAFgNn35VrwBJwT-epx3LPQZG-h9nK" TargetMode="External"/><Relationship Id="rId474" Type="http://schemas.openxmlformats.org/officeDocument/2006/relationships/hyperlink" Target="https://drive.google.com/open?id=1aZ15cH_3RefuJk3wjcTUwhUjDo3XcKLv" TargetMode="External"/><Relationship Id="rId3004" Type="http://schemas.openxmlformats.org/officeDocument/2006/relationships/hyperlink" Target="https://drive.google.com/open?id=12w-q6peL5wbJ---_fcegCB9QXQ4RXRNb" TargetMode="External"/><Relationship Id="rId4335" Type="http://schemas.openxmlformats.org/officeDocument/2006/relationships/hyperlink" Target="https://drive.google.com/open?id=1YXwWQgxsTBxSBlwMZJ1XU2NI-oy7RWzm" TargetMode="External"/><Relationship Id="rId1257" Type="http://schemas.openxmlformats.org/officeDocument/2006/relationships/hyperlink" Target="https://drive.google.com/open?id=1TMTkK0rV0VVGnsk_MBn_BdczmKcOySvl" TargetMode="External"/><Relationship Id="rId2588" Type="http://schemas.openxmlformats.org/officeDocument/2006/relationships/hyperlink" Target="https://drive.google.com/open?id=1UMGlWSXLyNIRYmLP_OQODuOZKGk91fCv" TargetMode="External"/><Relationship Id="rId1258" Type="http://schemas.openxmlformats.org/officeDocument/2006/relationships/hyperlink" Target="https://drive.google.com/open?id=1ybqGIOTYjMLZej8NEJqDcGigSZAKtDcm" TargetMode="External"/><Relationship Id="rId2589" Type="http://schemas.openxmlformats.org/officeDocument/2006/relationships/hyperlink" Target="https://www.linkedin.com/in/vaibhav-dabgotra-889209202/" TargetMode="External"/><Relationship Id="rId1259" Type="http://schemas.openxmlformats.org/officeDocument/2006/relationships/hyperlink" Target="https://drive.google.com/open?id=1v1fWYJzMn6dQuAJciSTJ5f8XK7sDls4-" TargetMode="External"/><Relationship Id="rId426" Type="http://schemas.openxmlformats.org/officeDocument/2006/relationships/hyperlink" Target="https://preskilet.com/watch?v=62b535faaf4f2700045cd91c" TargetMode="External"/><Relationship Id="rId425" Type="http://schemas.openxmlformats.org/officeDocument/2006/relationships/hyperlink" Target="http://www.linkedin.com/in/milind-ujgare-480869241" TargetMode="External"/><Relationship Id="rId424" Type="http://schemas.openxmlformats.org/officeDocument/2006/relationships/hyperlink" Target="https://drive.google.com/open?id=1_9rI-DSr39bPww0UsV2USHgRe6k1Toix" TargetMode="External"/><Relationship Id="rId423" Type="http://schemas.openxmlformats.org/officeDocument/2006/relationships/hyperlink" Target="https://drive.google.com/open?id=1eQPgw8SohZvlbldGrjiXq5DzujeAEKJ8" TargetMode="External"/><Relationship Id="rId429" Type="http://schemas.openxmlformats.org/officeDocument/2006/relationships/hyperlink" Target="https://drive.google.com/open?id=19H5yE9lYgj26CNIWFgCU1Omc9Yi8sjSM" TargetMode="External"/><Relationship Id="rId428" Type="http://schemas.openxmlformats.org/officeDocument/2006/relationships/hyperlink" Target="https://drive.google.com/open?id=1CJzDE8hCsn8de-qwf9X3mgaIAwNr4PR1" TargetMode="External"/><Relationship Id="rId427" Type="http://schemas.openxmlformats.org/officeDocument/2006/relationships/hyperlink" Target="https://drive.google.com/open?id=1vLX9BbLeVlIlefZw61iN5x2D76-zyzTd" TargetMode="External"/><Relationship Id="rId2580" Type="http://schemas.openxmlformats.org/officeDocument/2006/relationships/hyperlink" Target="https://drive.google.com/open?id=1Qje23xyn3zknJFUDf2Ol55D5fXW0n99v" TargetMode="External"/><Relationship Id="rId1250" Type="http://schemas.openxmlformats.org/officeDocument/2006/relationships/hyperlink" Target="https://drive.google.com/open?id=1PH6asHSewYbGhcRev8jo0JG9tGGFklys" TargetMode="External"/><Relationship Id="rId2581" Type="http://schemas.openxmlformats.org/officeDocument/2006/relationships/hyperlink" Target="https://drive.google.com/open?id=1PB_-NXSTBw_0A3ku6Gk3JFKe-tnyddwP" TargetMode="External"/><Relationship Id="rId1251" Type="http://schemas.openxmlformats.org/officeDocument/2006/relationships/hyperlink" Target="https://drive.google.com/open?id=1lxVvzqhDZc9N5UblD9bX6nwyp2ji10aH" TargetMode="External"/><Relationship Id="rId2582" Type="http://schemas.openxmlformats.org/officeDocument/2006/relationships/hyperlink" Target="https://drive.google.com/open?id=1r_-QOgzWgbVUr7tDW1b46UrGjH64JBhC" TargetMode="External"/><Relationship Id="rId1252" Type="http://schemas.openxmlformats.org/officeDocument/2006/relationships/hyperlink" Target="https://drive.google.com/open?id=1HPPBD5OV9dMKMNq9o_EUdTH4XUUl6q3C" TargetMode="External"/><Relationship Id="rId2583" Type="http://schemas.openxmlformats.org/officeDocument/2006/relationships/hyperlink" Target="https://www.linkedin.com/in/kshitij-patil-10bab3243/" TargetMode="External"/><Relationship Id="rId422" Type="http://schemas.openxmlformats.org/officeDocument/2006/relationships/hyperlink" Target="https://drive.google.com/open?id=1Z2pHWBDEUeeuAaCU8_dnYVw7YPCM8TMj" TargetMode="External"/><Relationship Id="rId1253" Type="http://schemas.openxmlformats.org/officeDocument/2006/relationships/hyperlink" Target="https://drive.google.com/open?id=1EBOstCJSt0r5-PP3QzaGNqt0kKwFIpqY" TargetMode="External"/><Relationship Id="rId2584" Type="http://schemas.openxmlformats.org/officeDocument/2006/relationships/hyperlink" Target="https://preskilet.com/knpatil@mitaoe.ac.in" TargetMode="External"/><Relationship Id="rId421" Type="http://schemas.openxmlformats.org/officeDocument/2006/relationships/hyperlink" Target="https://drive.google.com/open?id=1Ef5I96eQ1wZhNFP-TNSznq-wDlR5fe_Y" TargetMode="External"/><Relationship Id="rId1254" Type="http://schemas.openxmlformats.org/officeDocument/2006/relationships/hyperlink" Target="https://drive.google.com/open?id=1PjRmf8bqf7evamvJ4rznG96xbC4RQo5Y" TargetMode="External"/><Relationship Id="rId2585" Type="http://schemas.openxmlformats.org/officeDocument/2006/relationships/hyperlink" Target="https://drive.google.com/open?id=1uj4iw4bc5wQeWEuclO7mGJgDJ80Q3xCe" TargetMode="External"/><Relationship Id="rId420" Type="http://schemas.openxmlformats.org/officeDocument/2006/relationships/hyperlink" Target="https://drive.google.com/open?id=1zhm6OWKg2JZC2cFKcL6UpEbqpTdcUkMd" TargetMode="External"/><Relationship Id="rId1255" Type="http://schemas.openxmlformats.org/officeDocument/2006/relationships/hyperlink" Target="https://linkedin.com/in/abhijeet-dhanwate" TargetMode="External"/><Relationship Id="rId2586" Type="http://schemas.openxmlformats.org/officeDocument/2006/relationships/hyperlink" Target="https://drive.google.com/open?id=1HPmn6g_VgiWm6JWTTlrUYdmwUn12jn7n" TargetMode="External"/><Relationship Id="rId1256" Type="http://schemas.openxmlformats.org/officeDocument/2006/relationships/hyperlink" Target="https://preskilet.com/watch?v=62b3e95b30b2800004522db3" TargetMode="External"/><Relationship Id="rId2587" Type="http://schemas.openxmlformats.org/officeDocument/2006/relationships/hyperlink" Target="https://drive.google.com/open?id=1oA6T5lFmijM7ejEfSQXxwZaon4ddZ7sL" TargetMode="External"/><Relationship Id="rId1246" Type="http://schemas.openxmlformats.org/officeDocument/2006/relationships/hyperlink" Target="https://drive.google.com/open?id=1bvHBjQzZqavETOtZC14JFYw7U0oHM9uJ" TargetMode="External"/><Relationship Id="rId2577" Type="http://schemas.openxmlformats.org/officeDocument/2006/relationships/hyperlink" Target="https://drive.google.com/open?id=1zSCjXfSh5fATsvfoXmADHc1KUzUs3ClL" TargetMode="External"/><Relationship Id="rId1247" Type="http://schemas.openxmlformats.org/officeDocument/2006/relationships/hyperlink" Target="https://www.linkedin.com/in/vinayak-deshpande-5088391a9/" TargetMode="External"/><Relationship Id="rId2578" Type="http://schemas.openxmlformats.org/officeDocument/2006/relationships/hyperlink" Target="https://drive.google.com/open?id=1oRBNO5qANWQ3WuBXyZbtqNn7N3qg-kCi" TargetMode="External"/><Relationship Id="rId1248" Type="http://schemas.openxmlformats.org/officeDocument/2006/relationships/hyperlink" Target="https://preskilet.com/watch?v=6295a565716ac100049813a1" TargetMode="External"/><Relationship Id="rId2579" Type="http://schemas.openxmlformats.org/officeDocument/2006/relationships/hyperlink" Target="https://drive.google.com/open?id=1GbS2-YR9agUOfr03xsKdVJPuozMPpYI0" TargetMode="External"/><Relationship Id="rId1249" Type="http://schemas.openxmlformats.org/officeDocument/2006/relationships/hyperlink" Target="https://drive.google.com/open?id=1RZQtl-omK1z6U-uQGK_nibDQJMohkNAD" TargetMode="External"/><Relationship Id="rId415" Type="http://schemas.openxmlformats.org/officeDocument/2006/relationships/hyperlink" Target="https://drive.google.com/open?id=18GAdWi37aIupe42bMnIdPsmM3wiXm94c" TargetMode="External"/><Relationship Id="rId414" Type="http://schemas.openxmlformats.org/officeDocument/2006/relationships/hyperlink" Target="https://drive.google.com/open?id=13-hwr1q0pt_N0QbuiSihK5pgtpSns9uF" TargetMode="External"/><Relationship Id="rId413" Type="http://schemas.openxmlformats.org/officeDocument/2006/relationships/hyperlink" Target="https://drive.google.com/open?id=1_VqLLZs7ccAdDmH4lFmwmzqVKZXIp-Cg" TargetMode="External"/><Relationship Id="rId412" Type="http://schemas.openxmlformats.org/officeDocument/2006/relationships/hyperlink" Target="https://drive.google.com/open?id=177VAik1HHj4CQ-zjYFWVqO17ZSNAIYD3" TargetMode="External"/><Relationship Id="rId419" Type="http://schemas.openxmlformats.org/officeDocument/2006/relationships/hyperlink" Target="https://drive.google.com/open?id=1fNbIjHAmL7VYydKehM-N-cbsQex-SHCO" TargetMode="External"/><Relationship Id="rId418" Type="http://schemas.openxmlformats.org/officeDocument/2006/relationships/hyperlink" Target="https://preskilet.com/watch?v=6294cc136dfec60004591057" TargetMode="External"/><Relationship Id="rId417" Type="http://schemas.openxmlformats.org/officeDocument/2006/relationships/hyperlink" Target="https://www.linkedin.com/in/chinmay-katruwar-1811031b9" TargetMode="External"/><Relationship Id="rId416" Type="http://schemas.openxmlformats.org/officeDocument/2006/relationships/hyperlink" Target="https://drive.google.com/open?id=1a-xt7ZTO96R2yPkF4nCmrD0zxwdqGE_-" TargetMode="External"/><Relationship Id="rId2570" Type="http://schemas.openxmlformats.org/officeDocument/2006/relationships/hyperlink" Target="https://drive.google.com/open?id=1FYwRKEAZdw7ZdiBWkYHkXZrHFglyI0_G" TargetMode="External"/><Relationship Id="rId1240" Type="http://schemas.openxmlformats.org/officeDocument/2006/relationships/hyperlink" Target="https://preskilet.com/watch?v=62b556f6af4f2700045cdcdc" TargetMode="External"/><Relationship Id="rId2571" Type="http://schemas.openxmlformats.org/officeDocument/2006/relationships/hyperlink" Target="https://drive.google.com/open?id=1lKCH_rpgQBy2ukjl_HstPNnnpomKTxBD" TargetMode="External"/><Relationship Id="rId1241" Type="http://schemas.openxmlformats.org/officeDocument/2006/relationships/hyperlink" Target="https://drive.google.com/open?id=1dKCmkYS2BL_pxYMMfDIJC1tjRGCXutBb" TargetMode="External"/><Relationship Id="rId2572" Type="http://schemas.openxmlformats.org/officeDocument/2006/relationships/hyperlink" Target="https://drive.google.com/open?id=13zJXoabka-yiRmWl_2Bxodx7elas-Onx" TargetMode="External"/><Relationship Id="rId411" Type="http://schemas.openxmlformats.org/officeDocument/2006/relationships/hyperlink" Target="https://drive.google.com/open?id=13n54FcbvewPMS6Bg4tAU37AGO4NswNve" TargetMode="External"/><Relationship Id="rId1242" Type="http://schemas.openxmlformats.org/officeDocument/2006/relationships/hyperlink" Target="https://drive.google.com/open?id=1zfEvDF859_FA9RQU7VNdwIfdCZPJ_woN" TargetMode="External"/><Relationship Id="rId2573" Type="http://schemas.openxmlformats.org/officeDocument/2006/relationships/hyperlink" Target="https://drive.google.com/open?id=1NcZTHlZx-eo08Oy1WVARdFPyc7q8BcxK" TargetMode="External"/><Relationship Id="rId410" Type="http://schemas.openxmlformats.org/officeDocument/2006/relationships/hyperlink" Target="https://preskilet.com/watch?v=62bdd2099535010004fd2af9" TargetMode="External"/><Relationship Id="rId1243" Type="http://schemas.openxmlformats.org/officeDocument/2006/relationships/hyperlink" Target="https://drive.google.com/open?id=17nemReMUuw3YWIcBZhSN0jDkfElwDFDA" TargetMode="External"/><Relationship Id="rId2574" Type="http://schemas.openxmlformats.org/officeDocument/2006/relationships/hyperlink" Target="https://drive.google.com/open?id=1JCI5A-z5I2QEcijw3eZjyySvgExlsoAX" TargetMode="External"/><Relationship Id="rId1244" Type="http://schemas.openxmlformats.org/officeDocument/2006/relationships/hyperlink" Target="https://drive.google.com/open?id=1SN8K7RXW2Lcw2g7NltHILjf3BxFR4Oif" TargetMode="External"/><Relationship Id="rId2575" Type="http://schemas.openxmlformats.org/officeDocument/2006/relationships/hyperlink" Target="https://www.linkedin.com/in/pratik-parekh-326b431ab" TargetMode="External"/><Relationship Id="rId1245" Type="http://schemas.openxmlformats.org/officeDocument/2006/relationships/hyperlink" Target="https://drive.google.com/open?id=19tz_14quj34Z4E_x2yCYrKqMeyso2YPU" TargetMode="External"/><Relationship Id="rId2576" Type="http://schemas.openxmlformats.org/officeDocument/2006/relationships/hyperlink" Target="https://preskilet.com/62ba9ee645522f0004b17979" TargetMode="External"/><Relationship Id="rId1279" Type="http://schemas.openxmlformats.org/officeDocument/2006/relationships/hyperlink" Target="https://drive.google.com/open?id=10zm2KhQ9cLZtPFXd-QGD3KL0QkxlCaxD" TargetMode="External"/><Relationship Id="rId4305" Type="http://schemas.openxmlformats.org/officeDocument/2006/relationships/hyperlink" Target="https://jzf2ied1kupsb4_5jrdunwncn7fb" TargetMode="External"/><Relationship Id="rId4304" Type="http://schemas.openxmlformats.org/officeDocument/2006/relationships/hyperlink" Target="https://www.linkedin.com/in/priyanka-karad-66333b195" TargetMode="External"/><Relationship Id="rId4307" Type="http://schemas.openxmlformats.org/officeDocument/2006/relationships/hyperlink" Target="https://drive.google.com/open?id=1uJa1yII5MMc79qlXpZe6I3NtefVGP5a1" TargetMode="External"/><Relationship Id="rId4306" Type="http://schemas.openxmlformats.org/officeDocument/2006/relationships/hyperlink" Target="https://drive.google.com/open?id=1SosQjQMS2PQBZjL7TwX3IZ1XGpYW8CWc" TargetMode="External"/><Relationship Id="rId4309" Type="http://schemas.openxmlformats.org/officeDocument/2006/relationships/hyperlink" Target="https://drive.google.com/open?id=1_gAUtujlgm8YIVVeidhQzSPE6VsiEGjX" TargetMode="External"/><Relationship Id="rId4308" Type="http://schemas.openxmlformats.org/officeDocument/2006/relationships/hyperlink" Target="https://drive.google.com/open?id=1GcfkqCp1gTA5FzuwhVauPWjB1iwhOjpe" TargetMode="External"/><Relationship Id="rId448" Type="http://schemas.openxmlformats.org/officeDocument/2006/relationships/hyperlink" Target="https://www.linkedin.com/in/prathamesh-patil-1094b1208" TargetMode="External"/><Relationship Id="rId447" Type="http://schemas.openxmlformats.org/officeDocument/2006/relationships/hyperlink" Target="https://drive.google.com/open?id=1XBV2lQOHyn8JajCr6M4T5K0r0twSX-bU" TargetMode="External"/><Relationship Id="rId446" Type="http://schemas.openxmlformats.org/officeDocument/2006/relationships/hyperlink" Target="https://drive.google.com/open?id=1mxuBfxgkJEKqtjtiNKpKnCSwGjsofviW" TargetMode="External"/><Relationship Id="rId445" Type="http://schemas.openxmlformats.org/officeDocument/2006/relationships/hyperlink" Target="https://drive.google.com/open?id=1qcFPgTazC_9OpRcEWDCJEAP30feaj-UB" TargetMode="External"/><Relationship Id="rId449" Type="http://schemas.openxmlformats.org/officeDocument/2006/relationships/hyperlink" Target="https://preskilet.com/watch?v=629695c2716ac10004981a1e" TargetMode="External"/><Relationship Id="rId1270" Type="http://schemas.openxmlformats.org/officeDocument/2006/relationships/hyperlink" Target="https://preskilet.com/watch?v=62a40f5b589aee0004d98299" TargetMode="External"/><Relationship Id="rId440" Type="http://schemas.openxmlformats.org/officeDocument/2006/relationships/hyperlink" Target="https://drive.google.com/open?id=1GfFyzNitH5Vu-F8fwUBcX0yCfaiTOELI" TargetMode="External"/><Relationship Id="rId1271" Type="http://schemas.openxmlformats.org/officeDocument/2006/relationships/hyperlink" Target="https://drive.google.com/open?id=1akfs_nLz7bZCgptW5djus6k5byhCDWHo" TargetMode="External"/><Relationship Id="rId1272" Type="http://schemas.openxmlformats.org/officeDocument/2006/relationships/hyperlink" Target="https://drive.google.com/open?id=113N_HdsTXpHtyCaQBZXRgXKO4wA_cJmD" TargetMode="External"/><Relationship Id="rId1273" Type="http://schemas.openxmlformats.org/officeDocument/2006/relationships/hyperlink" Target="https://drive.google.com/open?id=1c4EE-6DW3OoxAdP--6-i2A0RR_PE9mAe" TargetMode="External"/><Relationship Id="rId1274" Type="http://schemas.openxmlformats.org/officeDocument/2006/relationships/hyperlink" Target="https://drive.google.com/open?id=1jHzcSk9kK-LFcDGeIzFdntTaOfGHDHwg" TargetMode="External"/><Relationship Id="rId444" Type="http://schemas.openxmlformats.org/officeDocument/2006/relationships/hyperlink" Target="https://drive.google.com/open?id=18RGAk-VN_x8L5Tkixh4LdJac6JuqsaxQ" TargetMode="External"/><Relationship Id="rId1275" Type="http://schemas.openxmlformats.org/officeDocument/2006/relationships/hyperlink" Target="https://drive.google.com/open?id=1rIeMlYuAm-idNpVoSSUELc1OZu8fb1ts" TargetMode="External"/><Relationship Id="rId4301" Type="http://schemas.openxmlformats.org/officeDocument/2006/relationships/hyperlink" Target="https://drive.google.com/open?id=1BCC9PnYDaKBTXLTHgAuD3Bj2ZuUx4KUV" TargetMode="External"/><Relationship Id="rId443" Type="http://schemas.openxmlformats.org/officeDocument/2006/relationships/hyperlink" Target="https://drive.google.com/open?id=1Wu8AGUUHqUKvUDTmSWKjE3zevpvTpzQU" TargetMode="External"/><Relationship Id="rId1276" Type="http://schemas.openxmlformats.org/officeDocument/2006/relationships/hyperlink" Target="https://drive.google.com/open?id=1XyIJ2eMYlBSx7EB7u6ywnLj-g1p7jngB" TargetMode="External"/><Relationship Id="rId4300" Type="http://schemas.openxmlformats.org/officeDocument/2006/relationships/hyperlink" Target="https://drive.google.com/open?id=12qcq95Jd90dX9CVBToBEKMNKsIRo83wJ" TargetMode="External"/><Relationship Id="rId442" Type="http://schemas.openxmlformats.org/officeDocument/2006/relationships/hyperlink" Target="https://preskilet.com/watch?v=629a24a8f2f4ce0004f45979" TargetMode="External"/><Relationship Id="rId1277" Type="http://schemas.openxmlformats.org/officeDocument/2006/relationships/hyperlink" Target="https://drive.google.com/open?id=1LAdeaHuXGwwlKZD0EUGQHiwkM4CpYQbu" TargetMode="External"/><Relationship Id="rId4303" Type="http://schemas.openxmlformats.org/officeDocument/2006/relationships/hyperlink" Target="https://drive.google.com/open?id=1ekrY_KOE4mAjk2l0muqrSddjGNTaTDrs" TargetMode="External"/><Relationship Id="rId441" Type="http://schemas.openxmlformats.org/officeDocument/2006/relationships/hyperlink" Target="https://www.linkedin.com/in/shailesh-budharam-8231a3202" TargetMode="External"/><Relationship Id="rId1278" Type="http://schemas.openxmlformats.org/officeDocument/2006/relationships/hyperlink" Target="https://drive.google.com/open?id=1jFSOh6TDAA7HKR3En5P9nPSaon6Rsozb" TargetMode="External"/><Relationship Id="rId4302" Type="http://schemas.openxmlformats.org/officeDocument/2006/relationships/hyperlink" Target="https://drive.google.com/open?id=1QIrSBFNxVeIHeo_x51Z-VXlmYSCZ71Fj" TargetMode="External"/><Relationship Id="rId1268" Type="http://schemas.openxmlformats.org/officeDocument/2006/relationships/hyperlink" Target="https://drive.google.com/open?id=1IebMsrJ4NoecltfaNCLV4a_XJGakpApz" TargetMode="External"/><Relationship Id="rId2599" Type="http://schemas.openxmlformats.org/officeDocument/2006/relationships/hyperlink" Target="https://drive.google.com/open?id=1qaVP8YL-l25P7I3GSHMMWTm3Wa_UoV-J" TargetMode="External"/><Relationship Id="rId1269" Type="http://schemas.openxmlformats.org/officeDocument/2006/relationships/hyperlink" Target="https://linkedin.com/in/mukeshgurpude" TargetMode="External"/><Relationship Id="rId437" Type="http://schemas.openxmlformats.org/officeDocument/2006/relationships/hyperlink" Target="https://drive.google.com/open?id=1MyPNBd-_4d95QZ7rCBiCPG8T7XAy5SQV" TargetMode="External"/><Relationship Id="rId436" Type="http://schemas.openxmlformats.org/officeDocument/2006/relationships/hyperlink" Target="https://drive.google.com/open?id=1WaVqkQpki_wjAZflOLMpZ9fUY2olqYri" TargetMode="External"/><Relationship Id="rId435" Type="http://schemas.openxmlformats.org/officeDocument/2006/relationships/hyperlink" Target="https://drive.google.com/open?id=1pjZdoe_p81HyYuadiyGByeQcTKCBUFn-" TargetMode="External"/><Relationship Id="rId434" Type="http://schemas.openxmlformats.org/officeDocument/2006/relationships/hyperlink" Target="https://preskilet.com/watch?v=62b4bd2b30b28000045238dd" TargetMode="External"/><Relationship Id="rId439" Type="http://schemas.openxmlformats.org/officeDocument/2006/relationships/hyperlink" Target="https://drive.google.com/open?id=1N02PUCjq4uM6pUFYcYVSqqgfc13QymWg" TargetMode="External"/><Relationship Id="rId438" Type="http://schemas.openxmlformats.org/officeDocument/2006/relationships/hyperlink" Target="https://drive.google.com/open?id=18_eYwHEFKAxdxVHjR3Sijc7KN-VKXYyp" TargetMode="External"/><Relationship Id="rId2590" Type="http://schemas.openxmlformats.org/officeDocument/2006/relationships/hyperlink" Target="https://preskilet.com/watch?v=62bdd1719535010004fd2ae9" TargetMode="External"/><Relationship Id="rId1260" Type="http://schemas.openxmlformats.org/officeDocument/2006/relationships/hyperlink" Target="https://drive.google.com/open?id=1Gk-pUJT1uKpbUmwwGZ3xv4fsfUcGPU-U" TargetMode="External"/><Relationship Id="rId2591" Type="http://schemas.openxmlformats.org/officeDocument/2006/relationships/hyperlink" Target="https://drive.google.com/open?id=1t4iPhPgj56RnsR7ykPnTWodBqKEGahax" TargetMode="External"/><Relationship Id="rId1261" Type="http://schemas.openxmlformats.org/officeDocument/2006/relationships/hyperlink" Target="https://drive.google.com/open?id=1B72cdcaflm1dGkuGwrE8oZXZaVzx4bDV" TargetMode="External"/><Relationship Id="rId2592" Type="http://schemas.openxmlformats.org/officeDocument/2006/relationships/hyperlink" Target="https://drive.google.com/open?id=1Gf1dbWfhkq1pc0ZqA0Iwe79RZUBvrely" TargetMode="External"/><Relationship Id="rId1262" Type="http://schemas.openxmlformats.org/officeDocument/2006/relationships/hyperlink" Target="https://drive.google.com/open?id=1d2yuUAkDCgqJnc1NiIK-aThpv0ck-UCm" TargetMode="External"/><Relationship Id="rId2593" Type="http://schemas.openxmlformats.org/officeDocument/2006/relationships/hyperlink" Target="https://drive.google.com/open?id=1TEcoMEvUG85dp4rEYoHX8aRkI6tJ0THO" TargetMode="External"/><Relationship Id="rId1263" Type="http://schemas.openxmlformats.org/officeDocument/2006/relationships/hyperlink" Target="https://www.linkedin.com/in/sameer-sha-67732222a/" TargetMode="External"/><Relationship Id="rId2594" Type="http://schemas.openxmlformats.org/officeDocument/2006/relationships/hyperlink" Target="https://drive.google.com/open?id=1Dp0y_Mqk_pRFGa_hcfnMTdoq1XQAvZSh" TargetMode="External"/><Relationship Id="rId433" Type="http://schemas.openxmlformats.org/officeDocument/2006/relationships/hyperlink" Target="https://www.linkedin.com/in/abdullatif-saudagar-07604b236" TargetMode="External"/><Relationship Id="rId1264" Type="http://schemas.openxmlformats.org/officeDocument/2006/relationships/hyperlink" Target="https://preskilet.com/watch?v=62b46ba330b280000452330b" TargetMode="External"/><Relationship Id="rId2595" Type="http://schemas.openxmlformats.org/officeDocument/2006/relationships/hyperlink" Target="https://www.linkedin.com/feed/?trk=hb_signin" TargetMode="External"/><Relationship Id="rId432" Type="http://schemas.openxmlformats.org/officeDocument/2006/relationships/hyperlink" Target="https://drive.google.com/open?id=1iyq8AQkyKBbsf6VLxzrv8yYrgsN1pz4T" TargetMode="External"/><Relationship Id="rId1265" Type="http://schemas.openxmlformats.org/officeDocument/2006/relationships/hyperlink" Target="https://drive.google.com/open?id=1-G2xyu1AlvAV8Xd-teZk4a2bYvALQSjX" TargetMode="External"/><Relationship Id="rId2596" Type="http://schemas.openxmlformats.org/officeDocument/2006/relationships/hyperlink" Target="https://preskilet.com/watch?v=62a38088a6956a00046004e6" TargetMode="External"/><Relationship Id="rId431" Type="http://schemas.openxmlformats.org/officeDocument/2006/relationships/hyperlink" Target="https://drive.google.com/open?id=1IuDbt3MnkE4joqvXJn7LbBCxxLkIaEQX" TargetMode="External"/><Relationship Id="rId1266" Type="http://schemas.openxmlformats.org/officeDocument/2006/relationships/hyperlink" Target="https://drive.google.com/open?id=1CtburNCNrj5DYLJUg-b1Jutcic9arYnx" TargetMode="External"/><Relationship Id="rId2597" Type="http://schemas.openxmlformats.org/officeDocument/2006/relationships/hyperlink" Target="https://drive.google.com/open?id=16Jb3R06EpzSKrQxWurJR3gZtyI5Tm_ty" TargetMode="External"/><Relationship Id="rId430" Type="http://schemas.openxmlformats.org/officeDocument/2006/relationships/hyperlink" Target="https://drive.google.com/open?id=1sM1UWN8n_VsriHrClPzeZ9gaNMVCeX9v" TargetMode="External"/><Relationship Id="rId1267" Type="http://schemas.openxmlformats.org/officeDocument/2006/relationships/hyperlink" Target="https://drive.google.com/open?id=17Twr1uS-wsdJ_W_JY2ww1dZ0LPE6SIfX" TargetMode="External"/><Relationship Id="rId2598" Type="http://schemas.openxmlformats.org/officeDocument/2006/relationships/hyperlink" Target="https://drive.google.com/open?id=1m2HkpYv0aPJWWxIWgzIeXoiSyABsmibr" TargetMode="External"/><Relationship Id="rId3070" Type="http://schemas.openxmlformats.org/officeDocument/2006/relationships/hyperlink" Target="https://drive.google.com/open?id=12rrTw1I1fBfI274OdT4VomYrZFpkwC0q" TargetMode="External"/><Relationship Id="rId3072" Type="http://schemas.openxmlformats.org/officeDocument/2006/relationships/hyperlink" Target="https://preskilet.com/watch?v=62a383b5a6956a000460056d" TargetMode="External"/><Relationship Id="rId3071" Type="http://schemas.openxmlformats.org/officeDocument/2006/relationships/hyperlink" Target="https://drive.google.com/open?id=1YxeftqC3D3H5L4b-LWjaKCKNkEx1C8oX" TargetMode="External"/><Relationship Id="rId3074" Type="http://schemas.openxmlformats.org/officeDocument/2006/relationships/hyperlink" Target="https://drive.google.com/open?id=15fvPt2s3aF3J3QqUUTFYfSqt3ZNueakg" TargetMode="External"/><Relationship Id="rId3073" Type="http://schemas.openxmlformats.org/officeDocument/2006/relationships/hyperlink" Target="https://drive.google.com/open?id=1-QnPvut-1Rsu4S609lxIrnni7G7fyDww" TargetMode="External"/><Relationship Id="rId3076" Type="http://schemas.openxmlformats.org/officeDocument/2006/relationships/hyperlink" Target="https://drive.google.com/open?id=148DHRDx-UW5K_wvHALtMbH-T3poLirb5" TargetMode="External"/><Relationship Id="rId3075" Type="http://schemas.openxmlformats.org/officeDocument/2006/relationships/hyperlink" Target="https://drive.google.com/open?id=1s0RmZxvIVZK3ako2bHSE7JdpAnX-cDcI" TargetMode="External"/><Relationship Id="rId3078" Type="http://schemas.openxmlformats.org/officeDocument/2006/relationships/hyperlink" Target="https://preskilet.com/watch?v=62a32f89a6956a00045ffb0f" TargetMode="External"/><Relationship Id="rId3077" Type="http://schemas.openxmlformats.org/officeDocument/2006/relationships/hyperlink" Target="https://www.linkedin.com/in/atharva-kumbhar-7815b11a3/" TargetMode="External"/><Relationship Id="rId3079" Type="http://schemas.openxmlformats.org/officeDocument/2006/relationships/hyperlink" Target="https://drive.google.com/open?id=1qZAvY5UAJ5drpKLWs80YjmU0zOtGnSgo" TargetMode="External"/><Relationship Id="rId4390" Type="http://schemas.openxmlformats.org/officeDocument/2006/relationships/hyperlink" Target="https://drive.google.com/open?id=1dVldUksTt0HLyM_RlO2RrYSwlihGuD24" TargetMode="External"/><Relationship Id="rId3061" Type="http://schemas.openxmlformats.org/officeDocument/2006/relationships/hyperlink" Target="https://preskilet.com/watch?v=62b557b1af4f2700045cdcf4" TargetMode="External"/><Relationship Id="rId4392" Type="http://schemas.openxmlformats.org/officeDocument/2006/relationships/hyperlink" Target="https://drive.google.com/open?id=1DTahnz1DzGU5xa_cBL-82yKyHTz4t4xZ" TargetMode="External"/><Relationship Id="rId3060" Type="http://schemas.openxmlformats.org/officeDocument/2006/relationships/hyperlink" Target="https://www.linkedin.com/in/prgayake/" TargetMode="External"/><Relationship Id="rId4391" Type="http://schemas.openxmlformats.org/officeDocument/2006/relationships/hyperlink" Target="https://drive.google.com/open?id=1adwTQZLQY8DrU3fG3DumwI2iXKY3iN5d" TargetMode="External"/><Relationship Id="rId3063" Type="http://schemas.openxmlformats.org/officeDocument/2006/relationships/hyperlink" Target="https://drive.google.com/open?id=10l7YJX5J6WenP1t3p0_L5YmVB7b7sBGm" TargetMode="External"/><Relationship Id="rId4394" Type="http://schemas.openxmlformats.org/officeDocument/2006/relationships/hyperlink" Target="https://preskilet.com/watch?v=6297862f5545ea0004a927b5" TargetMode="External"/><Relationship Id="rId3062" Type="http://schemas.openxmlformats.org/officeDocument/2006/relationships/hyperlink" Target="https://drive.google.com/open?id=1Ju4dCNpUt3R9cyLmpx3-96KtmrJiCeWu" TargetMode="External"/><Relationship Id="rId4393" Type="http://schemas.openxmlformats.org/officeDocument/2006/relationships/hyperlink" Target="https://www.linkedin.com/in/nishad-dudhe-541835212" TargetMode="External"/><Relationship Id="rId3065" Type="http://schemas.openxmlformats.org/officeDocument/2006/relationships/hyperlink" Target="https://drive.google.com/open?id=1HPmArdMyYNsvlVpfkLBIqhXOEAiwB4H5" TargetMode="External"/><Relationship Id="rId4396" Type="http://schemas.openxmlformats.org/officeDocument/2006/relationships/hyperlink" Target="https://drive.google.com/open?id=1i1B4z_dBq1515dKwlDpASNfSRsjTjoTk" TargetMode="External"/><Relationship Id="rId3064" Type="http://schemas.openxmlformats.org/officeDocument/2006/relationships/hyperlink" Target="https://drive.google.com/open?id=1_DzESrLA21I9SqJ7tb_zgtO4pE-iS9Hz" TargetMode="External"/><Relationship Id="rId4395" Type="http://schemas.openxmlformats.org/officeDocument/2006/relationships/hyperlink" Target="https://drive.google.com/open?id=1jHcWh7rUFOYj87lQew8TEqs4opHTST-j" TargetMode="External"/><Relationship Id="rId3067" Type="http://schemas.openxmlformats.org/officeDocument/2006/relationships/hyperlink" Target="https://www.linkedin.com/in/shilpi-roy-373473208" TargetMode="External"/><Relationship Id="rId4398" Type="http://schemas.openxmlformats.org/officeDocument/2006/relationships/hyperlink" Target="https://drive.google.com/open?id=1A0qy1adlAT5ktb-QItBj1Ogk7OLxCeDb" TargetMode="External"/><Relationship Id="rId3066" Type="http://schemas.openxmlformats.org/officeDocument/2006/relationships/hyperlink" Target="https://drive.google.com/open?id=1sHog8rwx1mMm93tzjkpcba-Mwf-St_Hv" TargetMode="External"/><Relationship Id="rId4397" Type="http://schemas.openxmlformats.org/officeDocument/2006/relationships/hyperlink" Target="https://drive.google.com/open?id=1GT3xQTIu0IKuuGTW6Rm0kAGlDbHkU5S3" TargetMode="External"/><Relationship Id="rId3069" Type="http://schemas.openxmlformats.org/officeDocument/2006/relationships/hyperlink" Target="https://drive.google.com/open?id=1s8A9V7lR7y57aJ_TC2hY4OXyCnmaqCc9" TargetMode="External"/><Relationship Id="rId3068" Type="http://schemas.openxmlformats.org/officeDocument/2006/relationships/hyperlink" Target="https://drive.google.com/file/d/1YZ-SqOEBWDVkOCxuwbUwrX78CzyYwvBe/view?usp=drivesdk" TargetMode="External"/><Relationship Id="rId4399" Type="http://schemas.openxmlformats.org/officeDocument/2006/relationships/hyperlink" Target="https://drive.google.com/open?id=1c9WrXEr4azo6qTvU-LG1JjHIthIZaa6q" TargetMode="External"/><Relationship Id="rId3090" Type="http://schemas.openxmlformats.org/officeDocument/2006/relationships/hyperlink" Target="https://drive.google.com/open?id=1rxMP7_ODOorHc2bJa45ERaIgJy1uFTL2" TargetMode="External"/><Relationship Id="rId3092" Type="http://schemas.openxmlformats.org/officeDocument/2006/relationships/hyperlink" Target="https://drive.google.com/open?id=1RVvvE4qk1sR_pT8TJu9f3O4PX_E5ST5h" TargetMode="External"/><Relationship Id="rId3091" Type="http://schemas.openxmlformats.org/officeDocument/2006/relationships/hyperlink" Target="https://drive.google.com/open?id=1ZJm5WuErd85nctrPLda-eLWp9N3GpD_a" TargetMode="External"/><Relationship Id="rId3094" Type="http://schemas.openxmlformats.org/officeDocument/2006/relationships/hyperlink" Target="https://preskilet.com/dpsantoshwar@mitaoe.ac.in" TargetMode="External"/><Relationship Id="rId3093" Type="http://schemas.openxmlformats.org/officeDocument/2006/relationships/hyperlink" Target="https://www.linkedin.com/in/deep-santoshwar-125064224" TargetMode="External"/><Relationship Id="rId3096" Type="http://schemas.openxmlformats.org/officeDocument/2006/relationships/hyperlink" Target="https://drive.google.com/open?id=1-CXaomhJI7JVdA2BkMGjDmtUbI1g1FV8" TargetMode="External"/><Relationship Id="rId3095" Type="http://schemas.openxmlformats.org/officeDocument/2006/relationships/hyperlink" Target="https://drive.google.com/open?id=1J5DFBKt5G-IiHpM-flm7jVe87TtbfZ_o" TargetMode="External"/><Relationship Id="rId3098" Type="http://schemas.openxmlformats.org/officeDocument/2006/relationships/hyperlink" Target="https://drive.google.com/open?id=1LPSwh8ral6_txROxqsUGXF9YbmEoG8G1" TargetMode="External"/><Relationship Id="rId3097" Type="http://schemas.openxmlformats.org/officeDocument/2006/relationships/hyperlink" Target="https://drive.google.com/open?id=1vM-hFR3WMpR3k_O53-fDY9FhMFE7IXRr" TargetMode="External"/><Relationship Id="rId3099" Type="http://schemas.openxmlformats.org/officeDocument/2006/relationships/hyperlink" Target="https://drive.google.com/open?id=1gMZaI-ux7TK4SE3EVCsP7sLp54VEJOZo" TargetMode="External"/><Relationship Id="rId3081" Type="http://schemas.openxmlformats.org/officeDocument/2006/relationships/hyperlink" Target="https://drive.google.com/open?id=1zaalBsKL9OGDcZhMCZNqHN-672bAeL0-" TargetMode="External"/><Relationship Id="rId3080" Type="http://schemas.openxmlformats.org/officeDocument/2006/relationships/hyperlink" Target="https://drive.google.com/open?id=1H4Mf_C3zAp0l98QDEZBufMN6Qia6zhDc" TargetMode="External"/><Relationship Id="rId3083" Type="http://schemas.openxmlformats.org/officeDocument/2006/relationships/hyperlink" Target="https://drive.google.com/open?id=18yugekB6OziJZ-S3Kn6dYb5IrGi6tmhH" TargetMode="External"/><Relationship Id="rId3082" Type="http://schemas.openxmlformats.org/officeDocument/2006/relationships/hyperlink" Target="https://drive.google.com/open?id=11cJw-ZnrsDC2CXs5yzrZ9F9dWrw-8-s3" TargetMode="External"/><Relationship Id="rId3085" Type="http://schemas.openxmlformats.org/officeDocument/2006/relationships/hyperlink" Target="https://www.linkedin.com/in/gauravlikhar15/" TargetMode="External"/><Relationship Id="rId3084" Type="http://schemas.openxmlformats.org/officeDocument/2006/relationships/hyperlink" Target="https://drive.google.com/open?id=17aIhJOQ7PXAYbKxKbxxueD0ELqCE6x4I" TargetMode="External"/><Relationship Id="rId3087" Type="http://schemas.openxmlformats.org/officeDocument/2006/relationships/hyperlink" Target="https://drive.google.com/open?id=1qo1KNvWOgGPr_fg8c2AsbYjrJNV3XzFx" TargetMode="External"/><Relationship Id="rId3086" Type="http://schemas.openxmlformats.org/officeDocument/2006/relationships/hyperlink" Target="https://preskilet.com/gclikhar@mitaoe.ac.in" TargetMode="External"/><Relationship Id="rId3089" Type="http://schemas.openxmlformats.org/officeDocument/2006/relationships/hyperlink" Target="https://drive.google.com/open?id=16IY5wOfVsAZkU10DyC20X0qPg_a2dxcS" TargetMode="External"/><Relationship Id="rId3088" Type="http://schemas.openxmlformats.org/officeDocument/2006/relationships/hyperlink" Target="https://drive.google.com/open?id=1s5NpR_fMXHZWztw3rz0d3jlXDaUtVjnU" TargetMode="External"/><Relationship Id="rId3039" Type="http://schemas.openxmlformats.org/officeDocument/2006/relationships/hyperlink" Target="https://drive.google.com/open?id=1fVQYJa83xk0_jQTyQn55bErwufL6JoB2" TargetMode="External"/><Relationship Id="rId1" Type="http://schemas.openxmlformats.org/officeDocument/2006/relationships/comments" Target="../comments1.xml"/><Relationship Id="rId2" Type="http://schemas.openxmlformats.org/officeDocument/2006/relationships/hyperlink" Target="https://www.linkedin.com/in/sanket-kale-001/" TargetMode="External"/><Relationship Id="rId3" Type="http://schemas.openxmlformats.org/officeDocument/2006/relationships/hyperlink" Target="https://preskilet.com/watch?v=62b2c771cd590700045fb323" TargetMode="External"/><Relationship Id="rId4" Type="http://schemas.openxmlformats.org/officeDocument/2006/relationships/hyperlink" Target="https://drive.google.com/open?id=1v5M7RavyksZbcycZB2cCUZeR2-N0K91y" TargetMode="External"/><Relationship Id="rId3030" Type="http://schemas.openxmlformats.org/officeDocument/2006/relationships/hyperlink" Target="https://www.linkedin.com/in/itshardikjade/" TargetMode="External"/><Relationship Id="rId4361" Type="http://schemas.openxmlformats.org/officeDocument/2006/relationships/hyperlink" Target="https://drive.google.com/open?id=16y02rE8Rz3Ld5nVotuUGRZPclIB8AWXa" TargetMode="External"/><Relationship Id="rId4360" Type="http://schemas.openxmlformats.org/officeDocument/2006/relationships/hyperlink" Target="https://drive.google.com/open?id=1YQk5DGK_dmzs6rqu9teMpWL-6xwDqn7W" TargetMode="External"/><Relationship Id="rId9" Type="http://schemas.openxmlformats.org/officeDocument/2006/relationships/hyperlink" Target="https://drive.google.com/open?id=1RQ8bhOm9q2Bmy5g3fW_cIRBMP-j3SXYJ" TargetMode="External"/><Relationship Id="rId3032" Type="http://schemas.openxmlformats.org/officeDocument/2006/relationships/hyperlink" Target="https://drive.google.com/open?id=13L0uE7XAfFsF6xsPmTjXKhou-vn8j6Zj" TargetMode="External"/><Relationship Id="rId4363" Type="http://schemas.openxmlformats.org/officeDocument/2006/relationships/hyperlink" Target="https://drive.google.com/open?id=12Zq5ROGDOQahO2WXLB5yYT4gd2p68b8l" TargetMode="External"/><Relationship Id="rId3031" Type="http://schemas.openxmlformats.org/officeDocument/2006/relationships/hyperlink" Target="https://preskilet.com/watch?v=62b55510af4f2700045cdc88" TargetMode="External"/><Relationship Id="rId4362" Type="http://schemas.openxmlformats.org/officeDocument/2006/relationships/hyperlink" Target="https://www.linkedin.com/in/vyankatesh-mankar-9597a0235" TargetMode="External"/><Relationship Id="rId3034" Type="http://schemas.openxmlformats.org/officeDocument/2006/relationships/hyperlink" Target="https://drive.google.com/open?id=1NHnUcwPy0MwHxgeEgcqH-8TKwPHnftiP" TargetMode="External"/><Relationship Id="rId4365" Type="http://schemas.openxmlformats.org/officeDocument/2006/relationships/hyperlink" Target="https://drive.google.com/open?id=1SHTFMvIanEwZ8mrfN8g65qJmYKkPVL93" TargetMode="External"/><Relationship Id="rId3033" Type="http://schemas.openxmlformats.org/officeDocument/2006/relationships/hyperlink" Target="https://drive.google.com/open?id=1VzzcWKRjaUttSQ7F2_cy61n_3WBpM6m-" TargetMode="External"/><Relationship Id="rId4364" Type="http://schemas.openxmlformats.org/officeDocument/2006/relationships/hyperlink" Target="https://drive.google.com/open?id=1uotcfHYMXewo9AiZ690HbUI-nx53nMIc" TargetMode="External"/><Relationship Id="rId5" Type="http://schemas.openxmlformats.org/officeDocument/2006/relationships/hyperlink" Target="https://drive.google.com/open?id=1bG6ZDiif4hIZIAM8JvFphmay3f2SS3u5" TargetMode="External"/><Relationship Id="rId3036" Type="http://schemas.openxmlformats.org/officeDocument/2006/relationships/hyperlink" Target="http://www.linkedin.com/in/himanshu-shimpi02" TargetMode="External"/><Relationship Id="rId4367" Type="http://schemas.openxmlformats.org/officeDocument/2006/relationships/hyperlink" Target="https://drive.google.com/open?id=1z2nLk82PzGavr_VG-Yom8aVfn_JL9CbO" TargetMode="External"/><Relationship Id="rId6" Type="http://schemas.openxmlformats.org/officeDocument/2006/relationships/hyperlink" Target="https://drive.google.com/open?id=1XbKQlxHzwUYrF6-8ZsVSn_sooaNW5BiU" TargetMode="External"/><Relationship Id="rId3035" Type="http://schemas.openxmlformats.org/officeDocument/2006/relationships/hyperlink" Target="https://drive.google.com/open?id=18UB6yiWSAPnDjMv0QZ6yCjRihaF0G9Jt" TargetMode="External"/><Relationship Id="rId4366" Type="http://schemas.openxmlformats.org/officeDocument/2006/relationships/hyperlink" Target="https://drive.google.com/open?id=1JNf0jqzV81vpnrADsVqfC-SuwV8SOFG8" TargetMode="External"/><Relationship Id="rId7" Type="http://schemas.openxmlformats.org/officeDocument/2006/relationships/hyperlink" Target="https://drive.google.com/open?id=1YYi-azVtX8RDFnPFTFMVjX73pKlOhESf" TargetMode="External"/><Relationship Id="rId3038" Type="http://schemas.openxmlformats.org/officeDocument/2006/relationships/hyperlink" Target="https://drive.google.com/open?id=1_9jQC2OuknSvWwxLUwgf-WYCZDn5oYpi" TargetMode="External"/><Relationship Id="rId4369" Type="http://schemas.openxmlformats.org/officeDocument/2006/relationships/hyperlink" Target="https://www.linkedin.com/in/shivam-mandavgade-017762232/" TargetMode="External"/><Relationship Id="rId8" Type="http://schemas.openxmlformats.org/officeDocument/2006/relationships/hyperlink" Target="https://drive.google.com/open?id=13U-ALWTkueueKI-rTh5hRHHVbISWgqwS" TargetMode="External"/><Relationship Id="rId3037" Type="http://schemas.openxmlformats.org/officeDocument/2006/relationships/hyperlink" Target="https://preskilet.com/watch?v=62a389f3a6956a00046006d3" TargetMode="External"/><Relationship Id="rId4368" Type="http://schemas.openxmlformats.org/officeDocument/2006/relationships/hyperlink" Target="https://drive.google.com/open?id=14vgbGIgkE_IupuHLggdP8rLjf9Mf8LXS" TargetMode="External"/><Relationship Id="rId3029" Type="http://schemas.openxmlformats.org/officeDocument/2006/relationships/hyperlink" Target="https://drive.google.com/open?id=1etXI2ft2hyuu3fNRp1ahIvOFN8IVeAOw" TargetMode="External"/><Relationship Id="rId3028" Type="http://schemas.openxmlformats.org/officeDocument/2006/relationships/hyperlink" Target="https://drive.google.com/open?id=1zIE0ewr6eNhy9a0Er3CtSzSaEukEzHuM" TargetMode="External"/><Relationship Id="rId4359" Type="http://schemas.openxmlformats.org/officeDocument/2006/relationships/hyperlink" Target="https://drive.google.com/open?id=1KOeU2J_AmwC5_x1vNYyTAXtmJJYs1kju" TargetMode="External"/><Relationship Id="rId4350" Type="http://schemas.openxmlformats.org/officeDocument/2006/relationships/hyperlink" Target="https://drive.google.com/open?id=1grq5jhUf7eulbEXnWZk3af3jFsfyZqsQ" TargetMode="External"/><Relationship Id="rId3021" Type="http://schemas.openxmlformats.org/officeDocument/2006/relationships/hyperlink" Target="https://drive.google.com/open?id=1EfobT0YKbmt6A6J1OuM5GtKqKjyuuuGG" TargetMode="External"/><Relationship Id="rId4352" Type="http://schemas.openxmlformats.org/officeDocument/2006/relationships/hyperlink" Target="https://drive.google.com/open?id=1vgzWXKpTZbdSCax2Pd_R0Szr4EimKjeH" TargetMode="External"/><Relationship Id="rId3020" Type="http://schemas.openxmlformats.org/officeDocument/2006/relationships/hyperlink" Target="https://drive.google.com/open?id=1Jme-2e6i6_-zDJIA3XBKHSj65JZX9S6F" TargetMode="External"/><Relationship Id="rId4351" Type="http://schemas.openxmlformats.org/officeDocument/2006/relationships/hyperlink" Target="https://drive.google.com/open?id=1cy64mtFujt0zsZiLL429VVBBgplMUQrG" TargetMode="External"/><Relationship Id="rId3023" Type="http://schemas.openxmlformats.org/officeDocument/2006/relationships/hyperlink" Target="https://preskilet.com/fmpatel@mitaoe.ac.in" TargetMode="External"/><Relationship Id="rId4354" Type="http://schemas.openxmlformats.org/officeDocument/2006/relationships/hyperlink" Target="https://www.linkedin.com/in/shantanu-patil-02b067170" TargetMode="External"/><Relationship Id="rId3022" Type="http://schemas.openxmlformats.org/officeDocument/2006/relationships/hyperlink" Target="https://www.linkedin.com/in/fizapatel" TargetMode="External"/><Relationship Id="rId4353" Type="http://schemas.openxmlformats.org/officeDocument/2006/relationships/hyperlink" Target="https://drive.google.com/open?id=1ZGGo3kL2S2aVlELRhA_HDqhoUJz0jEfN" TargetMode="External"/><Relationship Id="rId3025" Type="http://schemas.openxmlformats.org/officeDocument/2006/relationships/hyperlink" Target="https://drive.google.com/open?id=1W9f96jTJxezEvjgzpmcU-9Hh-yffK1zx" TargetMode="External"/><Relationship Id="rId4356" Type="http://schemas.openxmlformats.org/officeDocument/2006/relationships/hyperlink" Target="https://drive.google.com/open?id=168zXZmgmLVUmzGijQ1PR4aTmndbG4XuB" TargetMode="External"/><Relationship Id="rId3024" Type="http://schemas.openxmlformats.org/officeDocument/2006/relationships/hyperlink" Target="https://drive.google.com/open?id=1VQ0DP9TdbU80mXHT_iiIO_NSwH_WM-sw" TargetMode="External"/><Relationship Id="rId4355" Type="http://schemas.openxmlformats.org/officeDocument/2006/relationships/hyperlink" Target="https://preskilet.com/watch?v=62a395e3a6956a0004600971" TargetMode="External"/><Relationship Id="rId3027" Type="http://schemas.openxmlformats.org/officeDocument/2006/relationships/hyperlink" Target="https://drive.google.com/open?id=1d7wiRBwScYWgWfCFnx9rtdXGktRsdms_" TargetMode="External"/><Relationship Id="rId4358" Type="http://schemas.openxmlformats.org/officeDocument/2006/relationships/hyperlink" Target="https://drive.google.com/open?id=1Z5SsvIquzOet2cEu_8lZeMbyfUauI2X3" TargetMode="External"/><Relationship Id="rId3026" Type="http://schemas.openxmlformats.org/officeDocument/2006/relationships/hyperlink" Target="https://drive.google.com/open?id=1uCsP5cGd_Bfk4ZbhOiRcT8RDls0YO_b9" TargetMode="External"/><Relationship Id="rId4357" Type="http://schemas.openxmlformats.org/officeDocument/2006/relationships/hyperlink" Target="https://drive.google.com/open?id=1Ei-Qw6uVpk0I_b3E3ugLyNncfV_DXxqR" TargetMode="External"/><Relationship Id="rId3050" Type="http://schemas.openxmlformats.org/officeDocument/2006/relationships/hyperlink" Target="https://drive.google.com/open?id=1K53E06CjjhUvmtXButZkJkadCXBzFLJA" TargetMode="External"/><Relationship Id="rId4381" Type="http://schemas.openxmlformats.org/officeDocument/2006/relationships/hyperlink" Target="https://drive.google.com/open?id=1cYuQ0fPJLss4gjdM-k2QezdpxPNLryg1" TargetMode="External"/><Relationship Id="rId4380" Type="http://schemas.openxmlformats.org/officeDocument/2006/relationships/hyperlink" Target="https://drive.google.com/open?id=1t44V8A_nj5sHyOEnrNSxBUmdwJjL_MKn" TargetMode="External"/><Relationship Id="rId3052" Type="http://schemas.openxmlformats.org/officeDocument/2006/relationships/hyperlink" Target="https://preskilet.com/watch?v=62a371eba6956a00046001c8" TargetMode="External"/><Relationship Id="rId4383" Type="http://schemas.openxmlformats.org/officeDocument/2006/relationships/hyperlink" Target="https://drive.google.com/open?id=1DYRSzEpUQBqe-oVbN2tIhDLEKZObAbFo" TargetMode="External"/><Relationship Id="rId3051" Type="http://schemas.openxmlformats.org/officeDocument/2006/relationships/hyperlink" Target="http://linkedin.com/in/fardeen-khan-690069213" TargetMode="External"/><Relationship Id="rId4382" Type="http://schemas.openxmlformats.org/officeDocument/2006/relationships/hyperlink" Target="https://drive.google.com/open?id=11DPTbyhmk76BppkPZYFfUCtxQUA9yyoQ" TargetMode="External"/><Relationship Id="rId3054" Type="http://schemas.openxmlformats.org/officeDocument/2006/relationships/hyperlink" Target="https://drive.google.com/open?id=1xwj6oqAFuYByztRSmPz58cgAPX3BxaUK" TargetMode="External"/><Relationship Id="rId4385" Type="http://schemas.openxmlformats.org/officeDocument/2006/relationships/hyperlink" Target="https://drive.google.com/open?id=1rwvnLB0mdHamD2EyuNUElWwF4I0WiXyz" TargetMode="External"/><Relationship Id="rId3053" Type="http://schemas.openxmlformats.org/officeDocument/2006/relationships/hyperlink" Target="https://drive.google.com/open?id=1BQl98YLRTyJl-zJ6ucr2FdL8kNoFuQ_n" TargetMode="External"/><Relationship Id="rId4384" Type="http://schemas.openxmlformats.org/officeDocument/2006/relationships/hyperlink" Target="https://drive.google.com/open?id=17mXuNm38VqpTArslKWJy3QAi7tjS6O52" TargetMode="External"/><Relationship Id="rId3056" Type="http://schemas.openxmlformats.org/officeDocument/2006/relationships/hyperlink" Target="https://drive.google.com/open?id=19zY3S_LUO_5WRk8H38NsXp73qhXG1ZlF" TargetMode="External"/><Relationship Id="rId4387" Type="http://schemas.openxmlformats.org/officeDocument/2006/relationships/hyperlink" Target="https://preskilet.com/rajeshrathod@mitaoe.ac.in" TargetMode="External"/><Relationship Id="rId3055" Type="http://schemas.openxmlformats.org/officeDocument/2006/relationships/hyperlink" Target="https://drive.google.com/open?id=14NsEAxsvf0WS_dUfm-bSuMqBA-gwBFmp" TargetMode="External"/><Relationship Id="rId4386" Type="http://schemas.openxmlformats.org/officeDocument/2006/relationships/hyperlink" Target="http://www.linkedin.com/in/rajeshrathodr44a777" TargetMode="External"/><Relationship Id="rId3058" Type="http://schemas.openxmlformats.org/officeDocument/2006/relationships/hyperlink" Target="https://drive.google.com/open?id=1L5Go3BuyQ-cQR51i8E6p7malzIudDv0O" TargetMode="External"/><Relationship Id="rId4389" Type="http://schemas.openxmlformats.org/officeDocument/2006/relationships/hyperlink" Target="https://drive.google.com/open?id=1je_aJQR_HTBle7Mj7DoQ91Zu4TUHLQlu" TargetMode="External"/><Relationship Id="rId3057" Type="http://schemas.openxmlformats.org/officeDocument/2006/relationships/hyperlink" Target="https://drive.google.com/open?id=1dGagnUQbsFioWFtRdDZ4xXTHocA8JI8t" TargetMode="External"/><Relationship Id="rId4388" Type="http://schemas.openxmlformats.org/officeDocument/2006/relationships/hyperlink" Target="https://drive.google.com/open?id=1T996aO1czPFgrnWIACkRM2Jzz3GS0DOO" TargetMode="External"/><Relationship Id="rId3059" Type="http://schemas.openxmlformats.org/officeDocument/2006/relationships/hyperlink" Target="https://drive.google.com/open?id=1xb0ro0B0mR2RP_iAd1x3IcGyO-OhJ7er" TargetMode="External"/><Relationship Id="rId4370" Type="http://schemas.openxmlformats.org/officeDocument/2006/relationships/hyperlink" Target="https://preskilet.com/watch?v=62b4a8a330b2800004523748" TargetMode="External"/><Relationship Id="rId3041" Type="http://schemas.openxmlformats.org/officeDocument/2006/relationships/hyperlink" Target="https://drive.google.com/open?id=14cC_EMSoI5k2NivUJtLcFWZeJgnRnA2B" TargetMode="External"/><Relationship Id="rId4372" Type="http://schemas.openxmlformats.org/officeDocument/2006/relationships/hyperlink" Target="https://drive.google.com/open?id=1zAez75ZlZTaGkw8Jg2fHWwoapV7BmVT2" TargetMode="External"/><Relationship Id="rId3040" Type="http://schemas.openxmlformats.org/officeDocument/2006/relationships/hyperlink" Target="https://drive.google.com/open?id=1zGQVTy6T9TXgPlJ5YPNJOXIAm7No9Q4Z" TargetMode="External"/><Relationship Id="rId4371" Type="http://schemas.openxmlformats.org/officeDocument/2006/relationships/hyperlink" Target="https://drive.google.com/open?id=15PnC_ZRZmnOZR2sekQjuhyu58ku7_rpm" TargetMode="External"/><Relationship Id="rId3043" Type="http://schemas.openxmlformats.org/officeDocument/2006/relationships/hyperlink" Target="https://drive.google.com/open?id=1iQ-TIyrlifqXQaSdrWWAQKwOZIi_vwpN" TargetMode="External"/><Relationship Id="rId4374" Type="http://schemas.openxmlformats.org/officeDocument/2006/relationships/hyperlink" Target="https://drive.google.com/open?id=1N31AZ3ThT5CtK5ysGK64Rs6FLeaFjVDJ" TargetMode="External"/><Relationship Id="rId3042" Type="http://schemas.openxmlformats.org/officeDocument/2006/relationships/hyperlink" Target="https://drive.google.com/open?id=1TDCL-HfGPUIqtK3AJUqYadPmxqiAqmFI" TargetMode="External"/><Relationship Id="rId4373" Type="http://schemas.openxmlformats.org/officeDocument/2006/relationships/hyperlink" Target="https://drive.google.com/open?id=1gLJiHY9ERavh_SD0vuUQFrrDPi-p903r" TargetMode="External"/><Relationship Id="rId3045" Type="http://schemas.openxmlformats.org/officeDocument/2006/relationships/hyperlink" Target="https://preskilet.com/watch?v=62b558eaaf4f2700045cdd16" TargetMode="External"/><Relationship Id="rId4376" Type="http://schemas.openxmlformats.org/officeDocument/2006/relationships/hyperlink" Target="https://drive.google.com/open?id=1NJTh41cyl8WIXFCj_trjFTS1SvRtpNm3" TargetMode="External"/><Relationship Id="rId3044" Type="http://schemas.openxmlformats.org/officeDocument/2006/relationships/hyperlink" Target="https://www.linkedin.com/in/ashwini-raddekar-a35ba1202" TargetMode="External"/><Relationship Id="rId4375" Type="http://schemas.openxmlformats.org/officeDocument/2006/relationships/hyperlink" Target="https://drive.google.com/open?id=1jrR4HIbMNAskk1pA7_o1EXhFoC4URJzo" TargetMode="External"/><Relationship Id="rId3047" Type="http://schemas.openxmlformats.org/officeDocument/2006/relationships/hyperlink" Target="https://drive.google.com/open?id=10wVHN1pJB7aesqbfC-CTOBAFhTM9kD16" TargetMode="External"/><Relationship Id="rId4378" Type="http://schemas.openxmlformats.org/officeDocument/2006/relationships/hyperlink" Target="https://drive.google.com/open?id=15hbJZU9vk2iDOnOq43fPsMGTl0takRkT" TargetMode="External"/><Relationship Id="rId3046" Type="http://schemas.openxmlformats.org/officeDocument/2006/relationships/hyperlink" Target="https://drive.google.com/open?id=1c0Bmnha_AHN4QxH3IIaJtDFib-yuQFDq" TargetMode="External"/><Relationship Id="rId4377" Type="http://schemas.openxmlformats.org/officeDocument/2006/relationships/hyperlink" Target="https://www.linkedin.com/in/niranjan-wagh-b16b6021b" TargetMode="External"/><Relationship Id="rId3049" Type="http://schemas.openxmlformats.org/officeDocument/2006/relationships/hyperlink" Target="https://drive.google.com/open?id=1Hfpeyyh0JquNWd9Qz-e7T91vjoNdH8RY" TargetMode="External"/><Relationship Id="rId3048" Type="http://schemas.openxmlformats.org/officeDocument/2006/relationships/hyperlink" Target="https://drive.google.com/open?id=1WV6GYfBxrGZsdy2Ift8cfX7DnmC_6pem" TargetMode="External"/><Relationship Id="rId4379" Type="http://schemas.openxmlformats.org/officeDocument/2006/relationships/hyperlink" Target="https://drive.google.com/open?id=1Zl5_OWPLS9kB8i3fvZoUY5DPr81uCUxq" TargetMode="External"/><Relationship Id="rId3911" Type="http://schemas.openxmlformats.org/officeDocument/2006/relationships/hyperlink" Target="https://drive.google.com/open?id=1VgpjLDiJf0WkDHgBvMDURRe8KeaYh5y_" TargetMode="External"/><Relationship Id="rId3910" Type="http://schemas.openxmlformats.org/officeDocument/2006/relationships/hyperlink" Target="https://drive.google.com/open?id=13MtJooP8nVxCte2mBowKBJhEwLb2-xyJ" TargetMode="External"/><Relationship Id="rId3913" Type="http://schemas.openxmlformats.org/officeDocument/2006/relationships/hyperlink" Target="https://www.linkedin.com/in/sandeep-kulkarni-7b8916229" TargetMode="External"/><Relationship Id="rId3912" Type="http://schemas.openxmlformats.org/officeDocument/2006/relationships/hyperlink" Target="https://drive.google.com/open?id=16frPexZyNQtgTEGncO56ZjV7lmOigejS" TargetMode="External"/><Relationship Id="rId3915" Type="http://schemas.openxmlformats.org/officeDocument/2006/relationships/hyperlink" Target="https://drive.google.com/open?id=1l1wnun2aERcQhk7S0JhUh81T8oIavvQZ" TargetMode="External"/><Relationship Id="rId3914" Type="http://schemas.openxmlformats.org/officeDocument/2006/relationships/hyperlink" Target="https://preskilet.com/watch?v=62a36aeca6956a00046000a6" TargetMode="External"/><Relationship Id="rId3917" Type="http://schemas.openxmlformats.org/officeDocument/2006/relationships/hyperlink" Target="https://drive.google.com/open?id=1LT0D8DLX5nesHAuocRV9il5uTQbaA3CW" TargetMode="External"/><Relationship Id="rId3916" Type="http://schemas.openxmlformats.org/officeDocument/2006/relationships/hyperlink" Target="https://drive.google.com/open?id=1Yxqjq2elWM5wivZeSt1dAh7I72seHAyU" TargetMode="External"/><Relationship Id="rId3919" Type="http://schemas.openxmlformats.org/officeDocument/2006/relationships/hyperlink" Target="https://drive.google.com/open?id=1za0X_OS_Y_ZOLW-kbhW2ric-seVIDytk" TargetMode="External"/><Relationship Id="rId3918" Type="http://schemas.openxmlformats.org/officeDocument/2006/relationships/hyperlink" Target="https://drive.google.com/open?id=1eO2LfGuT50KuKqdbXJ_7JiKws_eTdpTt" TargetMode="External"/><Relationship Id="rId3900" Type="http://schemas.openxmlformats.org/officeDocument/2006/relationships/hyperlink" Target="https://drive.google.com/open?id=18YClBSfQN_bW2JlKR1nhsCT7xAqrgjCW" TargetMode="External"/><Relationship Id="rId3902" Type="http://schemas.openxmlformats.org/officeDocument/2006/relationships/hyperlink" Target="https://drive.google.com/open?id=1XsVTrBeMNc8S1HFzxjzhUKsWy7sp6SOy" TargetMode="External"/><Relationship Id="rId3901" Type="http://schemas.openxmlformats.org/officeDocument/2006/relationships/hyperlink" Target="https://drive.google.com/open?id=19snxIsh818-mNsDMThOlCVjfAYLx5bw1" TargetMode="External"/><Relationship Id="rId3904" Type="http://schemas.openxmlformats.org/officeDocument/2006/relationships/hyperlink" Target="https://drive.google.com/open?id=157i3M3vTwd-1M85QxVI-0RMjDNLoLjUp" TargetMode="External"/><Relationship Id="rId3903" Type="http://schemas.openxmlformats.org/officeDocument/2006/relationships/hyperlink" Target="https://drive.google.com/open?id=1f_TpgFJTpk8LsjS-ko42gCTymwaOPFNG" TargetMode="External"/><Relationship Id="rId3906" Type="http://schemas.openxmlformats.org/officeDocument/2006/relationships/hyperlink" Target="https://drive.google.com/open?id=184dskgHI0M8gCSR6xMfZKPRF3oNGaLvN" TargetMode="External"/><Relationship Id="rId3905" Type="http://schemas.openxmlformats.org/officeDocument/2006/relationships/hyperlink" Target="https://drive.google.com/open?id=1kTpnLrTSpgonBTP4LcEVAkGqla4MhfmQ" TargetMode="External"/><Relationship Id="rId3908" Type="http://schemas.openxmlformats.org/officeDocument/2006/relationships/hyperlink" Target="https://preskilet.com/watch?v=62a32b7aa6956a00045ffab0" TargetMode="External"/><Relationship Id="rId3907" Type="http://schemas.openxmlformats.org/officeDocument/2006/relationships/hyperlink" Target="http://www.linkedin.com/in/sanket-pande-29b9b1227" TargetMode="External"/><Relationship Id="rId3909" Type="http://schemas.openxmlformats.org/officeDocument/2006/relationships/hyperlink" Target="https://drive.google.com/open?id=1hAfa0SCr7W0O_k01Eb3NliyVwCiXMVC7" TargetMode="External"/><Relationship Id="rId3931" Type="http://schemas.openxmlformats.org/officeDocument/2006/relationships/hyperlink" Target="https://drive.google.com/open?id=1E21szThrQcrHnRQHrcIgI_G6UwRbdBUO" TargetMode="External"/><Relationship Id="rId2600" Type="http://schemas.openxmlformats.org/officeDocument/2006/relationships/hyperlink" Target="https://www.linkedin.com/in/priti-jadhav-71a43819b" TargetMode="External"/><Relationship Id="rId3930" Type="http://schemas.openxmlformats.org/officeDocument/2006/relationships/hyperlink" Target="https://drive.google.com/open?id=1e2hTfeA-8XSTqnROVGF3Z_FBtnxV1lFY" TargetMode="External"/><Relationship Id="rId2601" Type="http://schemas.openxmlformats.org/officeDocument/2006/relationships/hyperlink" Target="https://preskilet.com/watch?v=6297b4da5545ea0004a92a48" TargetMode="External"/><Relationship Id="rId3933" Type="http://schemas.openxmlformats.org/officeDocument/2006/relationships/hyperlink" Target="https://drive.google.com/open?id=11a3SPI369N85e3D00QalDKK05PdCSGn_" TargetMode="External"/><Relationship Id="rId2602" Type="http://schemas.openxmlformats.org/officeDocument/2006/relationships/hyperlink" Target="https://drive.google.com/open?id=1yhISBJNlTV6SoNh7YN1puTfaT6ig92-h" TargetMode="External"/><Relationship Id="rId3932" Type="http://schemas.openxmlformats.org/officeDocument/2006/relationships/hyperlink" Target="https://drive.google.com/open?id=1glseWiwPDKnGtpMtkoTR_7uRAm3Gj8Hz" TargetMode="External"/><Relationship Id="rId2603" Type="http://schemas.openxmlformats.org/officeDocument/2006/relationships/hyperlink" Target="https://drive.google.com/open?id=1DKoqaBIAtxESofvGAXkZTTPdpaq-Y7dp" TargetMode="External"/><Relationship Id="rId3935" Type="http://schemas.openxmlformats.org/officeDocument/2006/relationships/hyperlink" Target="https://www.linkedin.com/in/avishkar-mali-5ab6571b5" TargetMode="External"/><Relationship Id="rId2604" Type="http://schemas.openxmlformats.org/officeDocument/2006/relationships/hyperlink" Target="https://drive.google.com/open?id=15-p5VdfumgCrrCPtIpKHvQqDbDH1EvJ4" TargetMode="External"/><Relationship Id="rId3934" Type="http://schemas.openxmlformats.org/officeDocument/2006/relationships/hyperlink" Target="https://drive.google.com/open?id=1GYWsOZbRf4ewxCbBN_V6ANL_upna8jR0" TargetMode="External"/><Relationship Id="rId2605" Type="http://schemas.openxmlformats.org/officeDocument/2006/relationships/hyperlink" Target="https://drive.google.com/open?id=1cPigC21xhHKrrxaPt7F2Lkg7mBgHG_wE" TargetMode="External"/><Relationship Id="rId3937" Type="http://schemas.openxmlformats.org/officeDocument/2006/relationships/hyperlink" Target="https://drive.google.com/open?id=1n8NcfDoHYdLzReaIjj0pf7JESdyO7D6P" TargetMode="External"/><Relationship Id="rId2606" Type="http://schemas.openxmlformats.org/officeDocument/2006/relationships/hyperlink" Target="https://drive.google.com/open?id=1qjUJ7jL_m-KYnL82hrCvjF0afJl_LkXU" TargetMode="External"/><Relationship Id="rId3936" Type="http://schemas.openxmlformats.org/officeDocument/2006/relationships/hyperlink" Target="https://drive.google.com/file/d/1mdk1p5qyjvvh22M_bVHNo6Wgugoh191h/view?usp=drivesdk" TargetMode="External"/><Relationship Id="rId808" Type="http://schemas.openxmlformats.org/officeDocument/2006/relationships/hyperlink" Target="https://preskilet.com/sikendre@mitaoe.ac.in" TargetMode="External"/><Relationship Id="rId2607" Type="http://schemas.openxmlformats.org/officeDocument/2006/relationships/hyperlink" Target="https://drive.google.com/open?id=1KZHlvLEMJOHPmZcC09tA5GWO9OSKmD8w" TargetMode="External"/><Relationship Id="rId3939" Type="http://schemas.openxmlformats.org/officeDocument/2006/relationships/hyperlink" Target="https://drive.google.com/open?id=1CIWO_WQbHAxh0C1VjHfvwkWPX2dXMVR1" TargetMode="External"/><Relationship Id="rId807" Type="http://schemas.openxmlformats.org/officeDocument/2006/relationships/hyperlink" Target="https://www.linkedin.com/in/shubham-kendre-a7ba28221" TargetMode="External"/><Relationship Id="rId2608" Type="http://schemas.openxmlformats.org/officeDocument/2006/relationships/hyperlink" Target="https://www.linkedin.com/in/rhushikesh-parkhad-1a9734228" TargetMode="External"/><Relationship Id="rId3938" Type="http://schemas.openxmlformats.org/officeDocument/2006/relationships/hyperlink" Target="https://drive.google.com/open?id=17sjsXgD03qBBg59GC6vjST2ermwG9NAA" TargetMode="External"/><Relationship Id="rId806" Type="http://schemas.openxmlformats.org/officeDocument/2006/relationships/hyperlink" Target="https://drive.google.com/open?id=1R4QGsuIJCr8rmC0qRDevxV_mm-uN7q81" TargetMode="External"/><Relationship Id="rId2609" Type="http://schemas.openxmlformats.org/officeDocument/2006/relationships/hyperlink" Target="https://preskilet.com/rushikeshparkhad261@gmail.com" TargetMode="External"/><Relationship Id="rId805" Type="http://schemas.openxmlformats.org/officeDocument/2006/relationships/hyperlink" Target="https://drive.google.com/open?id=1KPBquE2Lv1Y-5f4hJFagaRlgno1CmT-l" TargetMode="External"/><Relationship Id="rId809" Type="http://schemas.openxmlformats.org/officeDocument/2006/relationships/hyperlink" Target="https://drive.google.com/open?id=1RJ3-WNvcHB3Gwed7RGMWbnTSFBbpDQOb" TargetMode="External"/><Relationship Id="rId800" Type="http://schemas.openxmlformats.org/officeDocument/2006/relationships/hyperlink" Target="https://drive.google.com/open?id=1Gn3nR1spnZw0Uy-GEIe6g2CX4Nn-fJ5n" TargetMode="External"/><Relationship Id="rId804" Type="http://schemas.openxmlformats.org/officeDocument/2006/relationships/hyperlink" Target="https://drive.google.com/open?id=1SoPzNJoqcw_n-LDjqCM_jsxpnC-CrB6V" TargetMode="External"/><Relationship Id="rId803" Type="http://schemas.openxmlformats.org/officeDocument/2006/relationships/hyperlink" Target="https://drive.google.com/open?id=1bxCD9ojp5rRlIirn3jrZqmpp7h1VRpby" TargetMode="External"/><Relationship Id="rId802" Type="http://schemas.openxmlformats.org/officeDocument/2006/relationships/hyperlink" Target="https://drive.google.com/open?id=1UW_dLzt1XiQGmp1_R-28s4qi7JQ5Ammw" TargetMode="External"/><Relationship Id="rId801" Type="http://schemas.openxmlformats.org/officeDocument/2006/relationships/hyperlink" Target="https://drive.google.com/open?id=114vjyx_h4xf6Hurj51PQtxn2aOO7vibA" TargetMode="External"/><Relationship Id="rId3920" Type="http://schemas.openxmlformats.org/officeDocument/2006/relationships/hyperlink" Target="https://drive.google.com/open?id=1zH1RzvbOuN00bmKt2kZiRb7MLY_2i8HW" TargetMode="External"/><Relationship Id="rId3922" Type="http://schemas.openxmlformats.org/officeDocument/2006/relationships/hyperlink" Target="https://preskilet.com/watch?v=62a36bf7a6956a00046000c3" TargetMode="External"/><Relationship Id="rId3921" Type="http://schemas.openxmlformats.org/officeDocument/2006/relationships/hyperlink" Target="https://www.linkedin.com/in/shriram-lahor-2257a6222" TargetMode="External"/><Relationship Id="rId3924" Type="http://schemas.openxmlformats.org/officeDocument/2006/relationships/hyperlink" Target="https://drive.google.com/open?id=1I_tDgUbAx_xO_ZTAkqvZ3qMaYyK7MNfx" TargetMode="External"/><Relationship Id="rId3923" Type="http://schemas.openxmlformats.org/officeDocument/2006/relationships/hyperlink" Target="https://drive.google.com/open?id=16XiGVNnoeVj5fp1nX2V7hdONeGubWor-" TargetMode="External"/><Relationship Id="rId3926" Type="http://schemas.openxmlformats.org/officeDocument/2006/relationships/hyperlink" Target="https://www.linkedin.com/in/aniket-kedar-731a9122a" TargetMode="External"/><Relationship Id="rId3925" Type="http://schemas.openxmlformats.org/officeDocument/2006/relationships/hyperlink" Target="https://drive.google.com/open?id=1VDoypNYpYtTmSQwIlB-MAC1IQhFlsJ54" TargetMode="External"/><Relationship Id="rId3928" Type="http://schemas.openxmlformats.org/officeDocument/2006/relationships/hyperlink" Target="https://drive.google.com/open?id=121duV0DbXCBfjIljUpT2rRQm67krjBBc" TargetMode="External"/><Relationship Id="rId3927" Type="http://schemas.openxmlformats.org/officeDocument/2006/relationships/hyperlink" Target="https://preskilet.com/watch?v=62bd3a2f9535010004fd23f9" TargetMode="External"/><Relationship Id="rId3929" Type="http://schemas.openxmlformats.org/officeDocument/2006/relationships/hyperlink" Target="https://drive.google.com/open?id=1pq6Ot2HryvlGZlvC9n-Bwzsv99tPXv3T" TargetMode="External"/><Relationship Id="rId1334" Type="http://schemas.openxmlformats.org/officeDocument/2006/relationships/hyperlink" Target="https://drive.google.com/open?id=1rRNWpa8dsSeFNzrbOjTD3hjq7U0LRqJB" TargetMode="External"/><Relationship Id="rId2665" Type="http://schemas.openxmlformats.org/officeDocument/2006/relationships/hyperlink" Target="https://preskilet.com/andeshmukh@mitaoe.ac.in" TargetMode="External"/><Relationship Id="rId3997" Type="http://schemas.openxmlformats.org/officeDocument/2006/relationships/hyperlink" Target="https://drive.google.com/open?id=1xfGOtpTM0Vz6GfxRlMnffrjCyrWty32r" TargetMode="External"/><Relationship Id="rId1335" Type="http://schemas.openxmlformats.org/officeDocument/2006/relationships/hyperlink" Target="https://www.linkedin.com/in/prathamesh-katkhade-971487214" TargetMode="External"/><Relationship Id="rId2666" Type="http://schemas.openxmlformats.org/officeDocument/2006/relationships/hyperlink" Target="https://drive.google.com/open?id=1CDjk6LZ-DL-IdsADHBMwXsgWcOIcORPe" TargetMode="External"/><Relationship Id="rId3996" Type="http://schemas.openxmlformats.org/officeDocument/2006/relationships/hyperlink" Target="https://drive.google.com/open?id=1B2vf8HPejYEDPpaYNhUDCUuoE3xNAOzU" TargetMode="External"/><Relationship Id="rId1336" Type="http://schemas.openxmlformats.org/officeDocument/2006/relationships/hyperlink" Target="https://preskilet.com/watch?v=62b54d4faf4f2700045cdb78" TargetMode="External"/><Relationship Id="rId2667" Type="http://schemas.openxmlformats.org/officeDocument/2006/relationships/hyperlink" Target="https://drive.google.com/open?id=1xdy1rhHrT8RWw6Z2ewQ42ibi9N1cynso" TargetMode="External"/><Relationship Id="rId3999" Type="http://schemas.openxmlformats.org/officeDocument/2006/relationships/hyperlink" Target="https://drive.google.com/open?id=16zegIU0O-xnSij_nXNOLvUY8Hx-JWDB8" TargetMode="External"/><Relationship Id="rId1337" Type="http://schemas.openxmlformats.org/officeDocument/2006/relationships/hyperlink" Target="https://drive.google.com/open?id=119LQuMkoB6pQF23c6Np1MXgZUm_rhJKd" TargetMode="External"/><Relationship Id="rId2668" Type="http://schemas.openxmlformats.org/officeDocument/2006/relationships/hyperlink" Target="https://drive.google.com/open?id=15ZqZSamf6wtMl8p_ZFbnT5UdqDL1sr2j" TargetMode="External"/><Relationship Id="rId3998" Type="http://schemas.openxmlformats.org/officeDocument/2006/relationships/hyperlink" Target="https://drive.google.com/open?id=1UffgSHkRJjvX4PZBeo-LeGAY8HsygKqa" TargetMode="External"/><Relationship Id="rId1338" Type="http://schemas.openxmlformats.org/officeDocument/2006/relationships/hyperlink" Target="https://drive.google.com/open?id=1K4rAcuD1VRdOURb4WojWnRBfcUBp_vFv" TargetMode="External"/><Relationship Id="rId2669" Type="http://schemas.openxmlformats.org/officeDocument/2006/relationships/hyperlink" Target="https://drive.google.com/open?id=1b5sKB3AD6h4GMyt9MXjovlGFE3BU44cu" TargetMode="External"/><Relationship Id="rId1339" Type="http://schemas.openxmlformats.org/officeDocument/2006/relationships/hyperlink" Target="https://drive.google.com/open?id=1lv2lDTgBfODvb6q0c7JJxK7EJXU8JJ-9" TargetMode="External"/><Relationship Id="rId745" Type="http://schemas.openxmlformats.org/officeDocument/2006/relationships/hyperlink" Target="https://drive.google.com/open?id=1cmc6n0oMDxKXS5S3_aZ8nEj0_KTm3I6H" TargetMode="External"/><Relationship Id="rId744" Type="http://schemas.openxmlformats.org/officeDocument/2006/relationships/hyperlink" Target="https://drive.google.com/open?id=1iOTWbAuUNvI6xjVuAHYC0i-r2s7s_BJy" TargetMode="External"/><Relationship Id="rId743" Type="http://schemas.openxmlformats.org/officeDocument/2006/relationships/hyperlink" Target="https://drive.google.com/open?id=1wDPfNaIIMelrVxjatoigZhQmigKXuPGX" TargetMode="External"/><Relationship Id="rId742" Type="http://schemas.openxmlformats.org/officeDocument/2006/relationships/hyperlink" Target="https://drive.google.com/open?id=19PnJq2Mai7xcUBMahxRrfgKq9440Dl-I" TargetMode="External"/><Relationship Id="rId749" Type="http://schemas.openxmlformats.org/officeDocument/2006/relationships/hyperlink" Target="https://drive.google.com/open?id=1FhWtzVAmZ76PWReOZhWFw9iaiyfQrb1I" TargetMode="External"/><Relationship Id="rId748" Type="http://schemas.openxmlformats.org/officeDocument/2006/relationships/hyperlink" Target="https://preskilet.com/watch?v=62b54765af4f2700045cdaa8" TargetMode="External"/><Relationship Id="rId747" Type="http://schemas.openxmlformats.org/officeDocument/2006/relationships/hyperlink" Target="http://www.linkedin.com/in/shruti-mane-b1179a241" TargetMode="External"/><Relationship Id="rId746" Type="http://schemas.openxmlformats.org/officeDocument/2006/relationships/hyperlink" Target="https://drive.google.com/open?id=1Gzwg9GxotupMy3VypPnS6QTX9j7nus0c" TargetMode="External"/><Relationship Id="rId3991" Type="http://schemas.openxmlformats.org/officeDocument/2006/relationships/hyperlink" Target="https://drive.google.com/open?id=12exP3q8Stf7zLVQckqmiaase-k_aWZUi" TargetMode="External"/><Relationship Id="rId2660" Type="http://schemas.openxmlformats.org/officeDocument/2006/relationships/hyperlink" Target="https://drive.google.com/open?id=1Ik1x0mZHMQHf2BGZccOptt8rnDdsfp1m" TargetMode="External"/><Relationship Id="rId3990" Type="http://schemas.openxmlformats.org/officeDocument/2006/relationships/hyperlink" Target="https://drive.google.com/open?id=1Uou21egQwqRtnWxV7NZJJeDhYrX4aulE" TargetMode="External"/><Relationship Id="rId741" Type="http://schemas.openxmlformats.org/officeDocument/2006/relationships/hyperlink" Target="https://preskilet.com/vbraut@mitaoe.ac.in" TargetMode="External"/><Relationship Id="rId1330" Type="http://schemas.openxmlformats.org/officeDocument/2006/relationships/hyperlink" Target="https://drive.google.com/open?id=1W1AED5nUKt4AQXsUEqZPpLcUIGTycSQz" TargetMode="External"/><Relationship Id="rId2661" Type="http://schemas.openxmlformats.org/officeDocument/2006/relationships/hyperlink" Target="https://drive.google.com/open?id=1Y2KaDVEH9x4z1x8GIAain8e6BbV7fTPC" TargetMode="External"/><Relationship Id="rId3993" Type="http://schemas.openxmlformats.org/officeDocument/2006/relationships/hyperlink" Target="https://drive.google.com/drive/folders/1vxDtLZNQOaZwP6w2We4btE6qmCe1y6pv?usp=sharing" TargetMode="External"/><Relationship Id="rId740" Type="http://schemas.openxmlformats.org/officeDocument/2006/relationships/hyperlink" Target="https://www.linkedin.com/in/vedika-raut-284b3a210" TargetMode="External"/><Relationship Id="rId1331" Type="http://schemas.openxmlformats.org/officeDocument/2006/relationships/hyperlink" Target="https://drive.google.com/open?id=1rv37TP8dqt5zt7euXRSi9mOzGNOWThdg" TargetMode="External"/><Relationship Id="rId2662" Type="http://schemas.openxmlformats.org/officeDocument/2006/relationships/hyperlink" Target="https://drive.google.com/open?id=1R10hKieuPt4am7NtQFiXQTEn98b54pmu" TargetMode="External"/><Relationship Id="rId3992" Type="http://schemas.openxmlformats.org/officeDocument/2006/relationships/hyperlink" Target="https://www.linkedin.com/in/roshani-raipure-7b5302241" TargetMode="External"/><Relationship Id="rId1332" Type="http://schemas.openxmlformats.org/officeDocument/2006/relationships/hyperlink" Target="https://drive.google.com/open?id=13e7DsbupKAI2Mn1vWlH49kLs2cBCO937" TargetMode="External"/><Relationship Id="rId2663" Type="http://schemas.openxmlformats.org/officeDocument/2006/relationships/hyperlink" Target="https://drive.google.com/open?id=1xuc7Pxn79qcn2YfTXqNRytL1Mk_A4rbj" TargetMode="External"/><Relationship Id="rId3995" Type="http://schemas.openxmlformats.org/officeDocument/2006/relationships/hyperlink" Target="https://drive.google.com/open?id=1r2yqqbE8hx2LJcEvjWoiVecU83MAFptO" TargetMode="External"/><Relationship Id="rId1333" Type="http://schemas.openxmlformats.org/officeDocument/2006/relationships/hyperlink" Target="https://drive.google.com/open?id=1qwnh6xWzMGgapTjkwwLU-cB-VnTf0qMq" TargetMode="External"/><Relationship Id="rId2664" Type="http://schemas.openxmlformats.org/officeDocument/2006/relationships/hyperlink" Target="https://www.linkedin.com/in/aayushi-deshmukh-889b5b231" TargetMode="External"/><Relationship Id="rId3994" Type="http://schemas.openxmlformats.org/officeDocument/2006/relationships/hyperlink" Target="https://drive.google.com/open?id=1Wpy08Ti-fKZe4qUoVoeodSiarJSP1QlX" TargetMode="External"/><Relationship Id="rId1323" Type="http://schemas.openxmlformats.org/officeDocument/2006/relationships/hyperlink" Target="https://preskilet.com/watch?v=62a3657da6956a00045ffff5" TargetMode="External"/><Relationship Id="rId2654" Type="http://schemas.openxmlformats.org/officeDocument/2006/relationships/hyperlink" Target="https://drive.google.com/open?id=1bQsexKA_OjQKgW8_jUnU4D8Y0T99THLK" TargetMode="External"/><Relationship Id="rId3986" Type="http://schemas.openxmlformats.org/officeDocument/2006/relationships/hyperlink" Target="https://drive.google.com/open?id=1kSwr_iDPbDQbLCTNzioo3gN2XAvCwmNc" TargetMode="External"/><Relationship Id="rId1324" Type="http://schemas.openxmlformats.org/officeDocument/2006/relationships/hyperlink" Target="https://drive.google.com/open?id=1z6rXSwRKy3Hy6WqV2ULEl7Ft0LloLSyf" TargetMode="External"/><Relationship Id="rId2655" Type="http://schemas.openxmlformats.org/officeDocument/2006/relationships/hyperlink" Target="https://drive.google.com/open?id=1n6I7k-pwPQu9xxlZbCwc42qr6OYILi-W" TargetMode="External"/><Relationship Id="rId3985" Type="http://schemas.openxmlformats.org/officeDocument/2006/relationships/hyperlink" Target="https://preskilet.com/watch?v=62bde7989535010004fd2c18" TargetMode="External"/><Relationship Id="rId1325" Type="http://schemas.openxmlformats.org/officeDocument/2006/relationships/hyperlink" Target="https://drive.google.com/open?id=1_54t6txzQXLQAXm7a4QodL-Ns-FTB0lD" TargetMode="External"/><Relationship Id="rId2656" Type="http://schemas.openxmlformats.org/officeDocument/2006/relationships/hyperlink" Target="https://drive.google.com/open?id=1cjUvb1p5vRHt3pSkZPwMO9m0E6lKGbRM" TargetMode="External"/><Relationship Id="rId3988" Type="http://schemas.openxmlformats.org/officeDocument/2006/relationships/hyperlink" Target="https://drive.google.com/open?id=1I0dPO1svTGR_Hl6DWjYJtyDvk4-zMbS-" TargetMode="External"/><Relationship Id="rId1326" Type="http://schemas.openxmlformats.org/officeDocument/2006/relationships/hyperlink" Target="https://drive.google.com/open?id=1eZYY3obq5d8TCv8Gqc8vK3eyfmaR1576" TargetMode="External"/><Relationship Id="rId2657" Type="http://schemas.openxmlformats.org/officeDocument/2006/relationships/hyperlink" Target="https://drive.google.com/open?id=1tTLNivBKMzHCKIksILrKsXWiIUBfK3jD" TargetMode="External"/><Relationship Id="rId3987" Type="http://schemas.openxmlformats.org/officeDocument/2006/relationships/hyperlink" Target="https://drive.google.com/open?id=1tHu1MXTL7xiM7QKKSYeURDLUhxotzRkB" TargetMode="External"/><Relationship Id="rId1327" Type="http://schemas.openxmlformats.org/officeDocument/2006/relationships/hyperlink" Target="https://www.linkedin.com/in/agrawal-yash1/" TargetMode="External"/><Relationship Id="rId2658" Type="http://schemas.openxmlformats.org/officeDocument/2006/relationships/hyperlink" Target="https://www.linkedin.com/in/vaishnavi-jadhav-bb1797213" TargetMode="External"/><Relationship Id="rId1328" Type="http://schemas.openxmlformats.org/officeDocument/2006/relationships/hyperlink" Target="https://preskilet.com/watch?v=62a59b304673900004a5cebc" TargetMode="External"/><Relationship Id="rId2659" Type="http://schemas.openxmlformats.org/officeDocument/2006/relationships/hyperlink" Target="https://preskilet.com/watch?v=62bdbf259535010004fd28c0" TargetMode="External"/><Relationship Id="rId3989" Type="http://schemas.openxmlformats.org/officeDocument/2006/relationships/hyperlink" Target="https://drive.google.com/open?id=1oGNqp2c8IeDq_TzMaazlIt5wYakMMwKg" TargetMode="External"/><Relationship Id="rId1329" Type="http://schemas.openxmlformats.org/officeDocument/2006/relationships/hyperlink" Target="https://drive.google.com/open?id=10QJwp8IRRdjgMLZDQhw5w2pffowARBIj" TargetMode="External"/><Relationship Id="rId739" Type="http://schemas.openxmlformats.org/officeDocument/2006/relationships/hyperlink" Target="https://drive.google.com/open?id=1ZY4V1gA92MxqvGDYPDBVxhHLYH9bd00c" TargetMode="External"/><Relationship Id="rId734" Type="http://schemas.openxmlformats.org/officeDocument/2006/relationships/hyperlink" Target="https://drive.google.com/open?id=17a1oi98raAsr5C-2vGnKiBv3ETb0-RNi" TargetMode="External"/><Relationship Id="rId733" Type="http://schemas.openxmlformats.org/officeDocument/2006/relationships/hyperlink" Target="https://preskilet.com/watch?v=62a4fe4da3b5410004f4eae3" TargetMode="External"/><Relationship Id="rId732" Type="http://schemas.openxmlformats.org/officeDocument/2006/relationships/hyperlink" Target="https://www.linkedin.com/in/yogam-dekate-776881241" TargetMode="External"/><Relationship Id="rId731" Type="http://schemas.openxmlformats.org/officeDocument/2006/relationships/hyperlink" Target="https://drive.google.com/open?id=1ZLB4Ee8YNXLlPujWnJ7M6iz6tdaS5Tpm" TargetMode="External"/><Relationship Id="rId738" Type="http://schemas.openxmlformats.org/officeDocument/2006/relationships/hyperlink" Target="https://drive.google.com/open?id=1NKNOwQv0R7_T-GwGdLUp_QifS73wewwh" TargetMode="External"/><Relationship Id="rId737" Type="http://schemas.openxmlformats.org/officeDocument/2006/relationships/hyperlink" Target="https://drive.google.com/open?id=1vYBQnzNDO0dzEtUXCOBdbYQQ3TsWj2dA" TargetMode="External"/><Relationship Id="rId736" Type="http://schemas.openxmlformats.org/officeDocument/2006/relationships/hyperlink" Target="https://drive.google.com/open?id=1yTYaoxPZZlj9d5Sue19S3P6A22sl2mNS" TargetMode="External"/><Relationship Id="rId735" Type="http://schemas.openxmlformats.org/officeDocument/2006/relationships/hyperlink" Target="https://drive.google.com/open?id=1vMfA3dA822Rfz4hSIpTh1VOx41-ucJjh" TargetMode="External"/><Relationship Id="rId3980" Type="http://schemas.openxmlformats.org/officeDocument/2006/relationships/hyperlink" Target="https://drive.google.com/open?id=1MSlXsYAj-tFfcEBRGPJQeWK1xh8x-R2c" TargetMode="External"/><Relationship Id="rId730" Type="http://schemas.openxmlformats.org/officeDocument/2006/relationships/hyperlink" Target="https://drive.google.com/open?id=1rUAopjIN2Y9Vr1loBrnWYQ8lBU8_-WQL" TargetMode="External"/><Relationship Id="rId2650" Type="http://schemas.openxmlformats.org/officeDocument/2006/relationships/hyperlink" Target="https://drive.google.com/open?id=1yCysJE9HqA6gOR_Gksf8BpMfUx7NVA2j" TargetMode="External"/><Relationship Id="rId3982" Type="http://schemas.openxmlformats.org/officeDocument/2006/relationships/hyperlink" Target="https://drive.google.com/open?id=12-qo7r24_AnMQGFdA-OEdKbOHsNdF59f" TargetMode="External"/><Relationship Id="rId1320" Type="http://schemas.openxmlformats.org/officeDocument/2006/relationships/hyperlink" Target="https://drive.google.com/open?id=1c37GwQCK_y8xlXYdaLDC8YGfQI72j6Xj" TargetMode="External"/><Relationship Id="rId2651" Type="http://schemas.openxmlformats.org/officeDocument/2006/relationships/hyperlink" Target="https://drive.google.com/open?id=1UPJXJ7lXM58_lLCMTzsO73DsdAVcq4YA" TargetMode="External"/><Relationship Id="rId3981" Type="http://schemas.openxmlformats.org/officeDocument/2006/relationships/hyperlink" Target="https://drive.google.com/open?id=1_e_cUoWRt0CmwN9m6pK9LMxVHcvYHAt2" TargetMode="External"/><Relationship Id="rId1321" Type="http://schemas.openxmlformats.org/officeDocument/2006/relationships/hyperlink" Target="https://drive.google.com/open?id=1tRO4QbVHNbDcV8frp3JP7HwT2FfM8oOq" TargetMode="External"/><Relationship Id="rId2652" Type="http://schemas.openxmlformats.org/officeDocument/2006/relationships/hyperlink" Target="https://www.linkedin.com/in/kirti-nikam-988469238/" TargetMode="External"/><Relationship Id="rId3984" Type="http://schemas.openxmlformats.org/officeDocument/2006/relationships/hyperlink" Target="https://in.linkedin.com/in/siddhesh-ugale" TargetMode="External"/><Relationship Id="rId1322" Type="http://schemas.openxmlformats.org/officeDocument/2006/relationships/hyperlink" Target="https://www.linkedin.com/in/dewansh-singh-9902b6214/" TargetMode="External"/><Relationship Id="rId2653" Type="http://schemas.openxmlformats.org/officeDocument/2006/relationships/hyperlink" Target="https://preskilet.com/watch?v=62a32db4a6956a00045ffae0" TargetMode="External"/><Relationship Id="rId3983" Type="http://schemas.openxmlformats.org/officeDocument/2006/relationships/hyperlink" Target="https://drive.google.com/open?id=123QbI8gz74wyE2Zk0uAmgw1PuGYRV3ZZ" TargetMode="External"/><Relationship Id="rId1356" Type="http://schemas.openxmlformats.org/officeDocument/2006/relationships/hyperlink" Target="https://drive.google.com/open?id=1Xt7EVRYyv3FQNNo0QB-HCTfZIVoHETx8" TargetMode="External"/><Relationship Id="rId2687" Type="http://schemas.openxmlformats.org/officeDocument/2006/relationships/hyperlink" Target="https://drive.google.com/open?id=1oQbHkaeQQTntiZApocRSa9qHWmOyZGpL" TargetMode="External"/><Relationship Id="rId1357" Type="http://schemas.openxmlformats.org/officeDocument/2006/relationships/hyperlink" Target="https://drive.google.com/open?id=1zwKNWo2zzGQEGl64cHf7PNMEQil60jxc" TargetMode="External"/><Relationship Id="rId2688" Type="http://schemas.openxmlformats.org/officeDocument/2006/relationships/hyperlink" Target="https://www.linkedin.com/in/shrinivas-khatane-0a8797241" TargetMode="External"/><Relationship Id="rId1358" Type="http://schemas.openxmlformats.org/officeDocument/2006/relationships/hyperlink" Target="https://drive.google.com/open?id=153FA3FnBNVGb1m2SaxwhC7itXRJRnEu2" TargetMode="External"/><Relationship Id="rId2689" Type="http://schemas.openxmlformats.org/officeDocument/2006/relationships/hyperlink" Target="https://preskilet.com/watch?v=62bcb0da9f578900046b3f6b" TargetMode="External"/><Relationship Id="rId1359" Type="http://schemas.openxmlformats.org/officeDocument/2006/relationships/hyperlink" Target="https://drive.google.com/open?id=1xkqFaPqRnDfd_YDQh5pfTFZhIZjeZWgC" TargetMode="External"/><Relationship Id="rId767" Type="http://schemas.openxmlformats.org/officeDocument/2006/relationships/hyperlink" Target="https://drive.google.com/open?id=1g8MTwkfhLekBCtM5iJDrNPZPgku49GW3" TargetMode="External"/><Relationship Id="rId766" Type="http://schemas.openxmlformats.org/officeDocument/2006/relationships/hyperlink" Target="https://drive.google.com/open?id=1HB_gZqPJomN9CIWm9i1oFDkKM6R80TFu" TargetMode="External"/><Relationship Id="rId765" Type="http://schemas.openxmlformats.org/officeDocument/2006/relationships/hyperlink" Target="https://drive.google.com/open?id=1uZ7Oz6cceBpqFOBCElZVyXJxcbMom0yY" TargetMode="External"/><Relationship Id="rId764" Type="http://schemas.openxmlformats.org/officeDocument/2006/relationships/hyperlink" Target="https://drive.google.com/open?id=1zzffRZKiJtIOWobWayzCPHD-dW5AUYoZ" TargetMode="External"/><Relationship Id="rId769" Type="http://schemas.openxmlformats.org/officeDocument/2006/relationships/hyperlink" Target="https://www.linkedin.com/in/ketaki-mankar-8680041aa/" TargetMode="External"/><Relationship Id="rId768" Type="http://schemas.openxmlformats.org/officeDocument/2006/relationships/hyperlink" Target="https://drive.google.com/open?id=1DyYxMfwL7nswgq5lvSK3g6oPF5pPAFSc" TargetMode="External"/><Relationship Id="rId2680" Type="http://schemas.openxmlformats.org/officeDocument/2006/relationships/hyperlink" Target="https://drive.google.com/open?id=1061cS4u1WCXDO701rJ2jhGDuR3nhG-AM" TargetMode="External"/><Relationship Id="rId1350" Type="http://schemas.openxmlformats.org/officeDocument/2006/relationships/hyperlink" Target="https://drive.google.com/open?id=16s0VCzn3INF1CUNqCHiFraOvmuRvTdzL" TargetMode="External"/><Relationship Id="rId2681" Type="http://schemas.openxmlformats.org/officeDocument/2006/relationships/hyperlink" Target="https://drive.google.com/open?id=1CmDLYNft7I90TeRilezN7M4Me4YFV1Ou" TargetMode="External"/><Relationship Id="rId1351" Type="http://schemas.openxmlformats.org/officeDocument/2006/relationships/hyperlink" Target="https://drive.google.com/open?id=1sY0CQfH6hG5ioGd1SO8llgvb0QKLWpIt" TargetMode="External"/><Relationship Id="rId2682" Type="http://schemas.openxmlformats.org/officeDocument/2006/relationships/hyperlink" Target="https://drive.google.com/open?id=1XcKgTu_g8FAzY20Dv1xF0diDGKBN107A" TargetMode="External"/><Relationship Id="rId763" Type="http://schemas.openxmlformats.org/officeDocument/2006/relationships/hyperlink" Target="https://drive.google.com/open?id=1QtSeKHUL10VeeKngd62cR1jC2iXFSF0T" TargetMode="External"/><Relationship Id="rId1352" Type="http://schemas.openxmlformats.org/officeDocument/2006/relationships/hyperlink" Target="https://www.linkedin.com/in/aaditya-faye-5622b81b3" TargetMode="External"/><Relationship Id="rId2683" Type="http://schemas.openxmlformats.org/officeDocument/2006/relationships/hyperlink" Target="https://drive.google.com/open?id=1o2tECRCliFvL0bnybhIo00dXiEo7tR27" TargetMode="External"/><Relationship Id="rId762" Type="http://schemas.openxmlformats.org/officeDocument/2006/relationships/hyperlink" Target="https://drive.google.com/open?id=1Cypk2XeEwCtL-XQCyGVAGiwgBh6DmgPd" TargetMode="External"/><Relationship Id="rId1353" Type="http://schemas.openxmlformats.org/officeDocument/2006/relationships/hyperlink" Target="https://preskilet.com/watch?v=62b555a2af4f2700045cdcad" TargetMode="External"/><Relationship Id="rId2684" Type="http://schemas.openxmlformats.org/officeDocument/2006/relationships/hyperlink" Target="https://drive.google.com/open?id=1-T4mMZf7oWGQQcUTrLEm_NOcrzfCrm98" TargetMode="External"/><Relationship Id="rId761" Type="http://schemas.openxmlformats.org/officeDocument/2006/relationships/hyperlink" Target="https://drive.google.com/open?id=1Mh0xT_6DBWHItMvnLOmNS8pfRhS8lIbG" TargetMode="External"/><Relationship Id="rId1354" Type="http://schemas.openxmlformats.org/officeDocument/2006/relationships/hyperlink" Target="https://drive.google.com/open?id=1Sher1VEaF0q2tLQWn-C2eQQPm6d9dw3f" TargetMode="External"/><Relationship Id="rId2685" Type="http://schemas.openxmlformats.org/officeDocument/2006/relationships/hyperlink" Target="https://drive.google.com/open?id=1tFOteEheCnSmnYxR6yA-xKDvPQwjQ6tt" TargetMode="External"/><Relationship Id="rId760" Type="http://schemas.openxmlformats.org/officeDocument/2006/relationships/hyperlink" Target="https://preskilet.com/watch?v=62a380e8a6956a00046004f8" TargetMode="External"/><Relationship Id="rId1355" Type="http://schemas.openxmlformats.org/officeDocument/2006/relationships/hyperlink" Target="https://drive.google.com/open?id=1kayOuN7SEKmRfoI5-KMMi1YoOdG0ueLH" TargetMode="External"/><Relationship Id="rId2686" Type="http://schemas.openxmlformats.org/officeDocument/2006/relationships/hyperlink" Target="https://drive.google.com/open?id=1xtRYmtujm2wy4oP9F7Hu0BZms8dtZhRj" TargetMode="External"/><Relationship Id="rId1345" Type="http://schemas.openxmlformats.org/officeDocument/2006/relationships/hyperlink" Target="https://drive.google.com/drive/folders/1Nj6r0jEm4Zk64RFTzSLNXMf3dkqUSZ1q?usp=sharing" TargetMode="External"/><Relationship Id="rId2676" Type="http://schemas.openxmlformats.org/officeDocument/2006/relationships/hyperlink" Target="https://drive.google.com/open?id=1zcZLgquvFFgdw3NulLkNzWzB8i05RItu" TargetMode="External"/><Relationship Id="rId1346" Type="http://schemas.openxmlformats.org/officeDocument/2006/relationships/hyperlink" Target="https://drive.google.com/open?id=1hcTwnYA6UJLgH-IvDj_FCcdmzphbmFjn" TargetMode="External"/><Relationship Id="rId2677" Type="http://schemas.openxmlformats.org/officeDocument/2006/relationships/hyperlink" Target="https://drive.google.com/open?id=1L-n9kvsq3pAAhOdLs0lzQJ8tK-kAlcWh" TargetMode="External"/><Relationship Id="rId1347" Type="http://schemas.openxmlformats.org/officeDocument/2006/relationships/hyperlink" Target="https://drive.google.com/open?id=18eYdkaGoCqlnBCPOGrLB1r5vhY2ZKWw3" TargetMode="External"/><Relationship Id="rId2678" Type="http://schemas.openxmlformats.org/officeDocument/2006/relationships/hyperlink" Target="https://www.linkedin.com/in/khandagale-abhishek-7057891a4" TargetMode="External"/><Relationship Id="rId1348" Type="http://schemas.openxmlformats.org/officeDocument/2006/relationships/hyperlink" Target="https://drive.google.com/open?id=1ZW3x6HdddWo6FyVbfPvyF8c-pWAczQ21" TargetMode="External"/><Relationship Id="rId2679" Type="http://schemas.openxmlformats.org/officeDocument/2006/relationships/hyperlink" Target="https://preskilet.com/abhishekkhandagale393@gmail.com" TargetMode="External"/><Relationship Id="rId1349" Type="http://schemas.openxmlformats.org/officeDocument/2006/relationships/hyperlink" Target="https://drive.google.com/open?id=1mBQ5epLKUUSm2XQoxT3gN2elYipPVJFo" TargetMode="External"/><Relationship Id="rId756" Type="http://schemas.openxmlformats.org/officeDocument/2006/relationships/hyperlink" Target="https://drive.google.com/open?id=1LkOpzP1XZKGcx9BIjrDuHsmW_8ygFVnp" TargetMode="External"/><Relationship Id="rId755" Type="http://schemas.openxmlformats.org/officeDocument/2006/relationships/hyperlink" Target="https://drive.google.com/file/d/1liremEdiW-D0fMwApR3u8wtUUNzpDJtD/view?usp=drivesdk" TargetMode="External"/><Relationship Id="rId754" Type="http://schemas.openxmlformats.org/officeDocument/2006/relationships/hyperlink" Target="https://www.linkedin.com/in/tejal-jagtap-ba25a523b" TargetMode="External"/><Relationship Id="rId753" Type="http://schemas.openxmlformats.org/officeDocument/2006/relationships/hyperlink" Target="https://drive.google.com/open?id=1dFCzUf-jRYL-tUz0Nw8eYVYBi_jFRch9" TargetMode="External"/><Relationship Id="rId759" Type="http://schemas.openxmlformats.org/officeDocument/2006/relationships/hyperlink" Target="https://www.linkedin.com/in/yashvardhan-bhise-b569581a4" TargetMode="External"/><Relationship Id="rId758" Type="http://schemas.openxmlformats.org/officeDocument/2006/relationships/hyperlink" Target="https://drive.google.com/open?id=1sLXmFByl_E7h6vI34KjddFN81lZjqeyj" TargetMode="External"/><Relationship Id="rId757" Type="http://schemas.openxmlformats.org/officeDocument/2006/relationships/hyperlink" Target="https://drive.google.com/open?id=1HXpQe6uWYrLnZ6AlICqBAOkoz6G8RHum" TargetMode="External"/><Relationship Id="rId2670" Type="http://schemas.openxmlformats.org/officeDocument/2006/relationships/hyperlink" Target="https://drive.google.com/open?id=1OsBDlu1C3lUVtsjG9P1OZxhbidU7G2RH" TargetMode="External"/><Relationship Id="rId1340" Type="http://schemas.openxmlformats.org/officeDocument/2006/relationships/hyperlink" Target="https://drive.google.com/open?id=1wCDd6YriQ7p3KCT6kPNrFvYnVzpP9Uvw" TargetMode="External"/><Relationship Id="rId2671" Type="http://schemas.openxmlformats.org/officeDocument/2006/relationships/hyperlink" Target="https://www.linkedin.com/in/ianirudhkhabya/" TargetMode="External"/><Relationship Id="rId752" Type="http://schemas.openxmlformats.org/officeDocument/2006/relationships/hyperlink" Target="https://drive.google.com/open?id=1ChHGWuNI4njMHf5eJysOGSrZ12tsG0h2" TargetMode="External"/><Relationship Id="rId1341" Type="http://schemas.openxmlformats.org/officeDocument/2006/relationships/hyperlink" Target="https://drive.google.com/open?id=1rG7-0qmt1lFioeB74-lsQ73F5euC6xQ_" TargetMode="External"/><Relationship Id="rId2672" Type="http://schemas.openxmlformats.org/officeDocument/2006/relationships/hyperlink" Target="https://preskilet.com/akhabya@mitaoe.ac.in" TargetMode="External"/><Relationship Id="rId751" Type="http://schemas.openxmlformats.org/officeDocument/2006/relationships/hyperlink" Target="https://drive.google.com/open?id=1uTmgguEiQllgCkMQklqeG2OCn_tUEwig" TargetMode="External"/><Relationship Id="rId1342" Type="http://schemas.openxmlformats.org/officeDocument/2006/relationships/hyperlink" Target="https://drive.google.com/open?id=121Mqfed0sTH_pw7SaTCoOQlDxskBgWlb" TargetMode="External"/><Relationship Id="rId2673" Type="http://schemas.openxmlformats.org/officeDocument/2006/relationships/hyperlink" Target="https://drive.google.com/open?id=1apmVkb2xXtxVOpPx_JmCeac210kEI3Ho" TargetMode="External"/><Relationship Id="rId750" Type="http://schemas.openxmlformats.org/officeDocument/2006/relationships/hyperlink" Target="https://drive.google.com/open?id=1mmR4K1-SWNHCdwfSsLQn-SZmseD1xaJi" TargetMode="External"/><Relationship Id="rId1343" Type="http://schemas.openxmlformats.org/officeDocument/2006/relationships/hyperlink" Target="https://drive.google.com/open?id=10ROQcDMbgwvSIRNvFJrihMgFBd7TXZNw" TargetMode="External"/><Relationship Id="rId2674" Type="http://schemas.openxmlformats.org/officeDocument/2006/relationships/hyperlink" Target="https://drive.google.com/open?id=1evMnkbP6sUnOJrzM90ioADSuZmg1YDsj" TargetMode="External"/><Relationship Id="rId1344" Type="http://schemas.openxmlformats.org/officeDocument/2006/relationships/hyperlink" Target="https://www.linkedin.com/in/pratik-karle/" TargetMode="External"/><Relationship Id="rId2675" Type="http://schemas.openxmlformats.org/officeDocument/2006/relationships/hyperlink" Target="https://drive.google.com/open?id=1PYqdhQGoHPCM0fcuoi38qmfoZK2NIboU" TargetMode="External"/><Relationship Id="rId2621" Type="http://schemas.openxmlformats.org/officeDocument/2006/relationships/hyperlink" Target="https://drive.google.com/open?id=19x5uBI20ZYe0bl4uT3Us9WMSOFDOi8TI" TargetMode="External"/><Relationship Id="rId3953" Type="http://schemas.openxmlformats.org/officeDocument/2006/relationships/hyperlink" Target="https://preskilet.com/watch?v=62a36589a6956a00045ffff6" TargetMode="External"/><Relationship Id="rId2622" Type="http://schemas.openxmlformats.org/officeDocument/2006/relationships/hyperlink" Target="https://drive.google.com/open?id=1W8AUrYxRF8sXjbDYsdRkO8hYlTNHrCmR" TargetMode="External"/><Relationship Id="rId3952" Type="http://schemas.openxmlformats.org/officeDocument/2006/relationships/hyperlink" Target="http://www.linkedin.com/in/parth-gorwadkar-0013141ab" TargetMode="External"/><Relationship Id="rId2623" Type="http://schemas.openxmlformats.org/officeDocument/2006/relationships/hyperlink" Target="https://www.linkedin.com/in/piyush-gunde-817ab3159" TargetMode="External"/><Relationship Id="rId3955" Type="http://schemas.openxmlformats.org/officeDocument/2006/relationships/hyperlink" Target="https://drive.google.com/open?id=1XTZymxOBht8inyfHn0ox1uMi4MOieblG" TargetMode="External"/><Relationship Id="rId2624" Type="http://schemas.openxmlformats.org/officeDocument/2006/relationships/hyperlink" Target="https://preskilet.com/watch?v=62bd99d09535010004fd26bd" TargetMode="External"/><Relationship Id="rId3954" Type="http://schemas.openxmlformats.org/officeDocument/2006/relationships/hyperlink" Target="https://drive.google.com/open?id=1ccfNUD14Ta7gab1x6NmgvuIqSS4jWWC9" TargetMode="External"/><Relationship Id="rId2625" Type="http://schemas.openxmlformats.org/officeDocument/2006/relationships/hyperlink" Target="https://drive.google.com/open?id=1Ea1qCjNX8u_O-T7DvWzB6TbA3jCXQH_w" TargetMode="External"/><Relationship Id="rId3957" Type="http://schemas.openxmlformats.org/officeDocument/2006/relationships/hyperlink" Target="https://drive.google.com/open?id=1h1m1AdEfzkGmjSoQ3Rzdo4Samp4ntBqu" TargetMode="External"/><Relationship Id="rId2626" Type="http://schemas.openxmlformats.org/officeDocument/2006/relationships/hyperlink" Target="https://drive.google.com/open?id=1ATNf4IkzIwG82eKxZhH4dChfZXmaP3Zz" TargetMode="External"/><Relationship Id="rId3956" Type="http://schemas.openxmlformats.org/officeDocument/2006/relationships/hyperlink" Target="https://drive.google.com/open?id=19J_23mYegKx58M4JhS19v66UHiwK3xJN" TargetMode="External"/><Relationship Id="rId2627" Type="http://schemas.openxmlformats.org/officeDocument/2006/relationships/hyperlink" Target="https://drive.google.com/open?id=1jJSOwk3MXZYWPrxBbECi0iGTmSF8g1n6" TargetMode="External"/><Relationship Id="rId3959" Type="http://schemas.openxmlformats.org/officeDocument/2006/relationships/hyperlink" Target="https://drive.google.com/open?id=15dbvu2JqAt4Z-NSUOLDCcuiBJqVmkjl1" TargetMode="External"/><Relationship Id="rId2628" Type="http://schemas.openxmlformats.org/officeDocument/2006/relationships/hyperlink" Target="https://drive.google.com/open?id=1C6ATIol2fOOyoQ3yzZQj5LM6dlydOqZW" TargetMode="External"/><Relationship Id="rId3958" Type="http://schemas.openxmlformats.org/officeDocument/2006/relationships/hyperlink" Target="https://drive.google.com/open?id=1IVh-5kp6Spli2YY237O4vZDOtQAA68CO" TargetMode="External"/><Relationship Id="rId709" Type="http://schemas.openxmlformats.org/officeDocument/2006/relationships/hyperlink" Target="https://drive.google.com/open?id=1UG_M_4DL9cUOvxi-a6cjhHeDtStN6jZg" TargetMode="External"/><Relationship Id="rId2629" Type="http://schemas.openxmlformats.org/officeDocument/2006/relationships/hyperlink" Target="https://drive.google.com/open?id=1bj_c7x9Yz7UiFL58aJcFsH3Lo5xpBc-y" TargetMode="External"/><Relationship Id="rId708" Type="http://schemas.openxmlformats.org/officeDocument/2006/relationships/hyperlink" Target="https://drive.google.com/open?id=11VIrB0zhqCWZPTiq4BLvdxMEdmD-sScs" TargetMode="External"/><Relationship Id="rId707" Type="http://schemas.openxmlformats.org/officeDocument/2006/relationships/hyperlink" Target="https://drive.google.com/open?id=1e2m-QQU5nFoQ9vMRxadQb-HnnKxwl--h" TargetMode="External"/><Relationship Id="rId706" Type="http://schemas.openxmlformats.org/officeDocument/2006/relationships/hyperlink" Target="https://drive.google.com/open?id=1cSemBCcPM7fs37RXwC1COYlg0EgxDctm" TargetMode="External"/><Relationship Id="rId701" Type="http://schemas.openxmlformats.org/officeDocument/2006/relationships/hyperlink" Target="https://drive.google.com/open?id=1zOkKopLr2WjOF_Nd4jpqPdxEWHtT8Hn9" TargetMode="External"/><Relationship Id="rId700" Type="http://schemas.openxmlformats.org/officeDocument/2006/relationships/hyperlink" Target="https://drive.google.com/open?id=1Dx3vHly14VT8saseWGQ2NsqGeUgeZIBJ" TargetMode="External"/><Relationship Id="rId705" Type="http://schemas.openxmlformats.org/officeDocument/2006/relationships/hyperlink" Target="https://preskilet.com/aakash.rathod@mitaoe.ac.in" TargetMode="External"/><Relationship Id="rId704" Type="http://schemas.openxmlformats.org/officeDocument/2006/relationships/hyperlink" Target="https://www.linkedin.com/in/aakash-rathod-9592b0240" TargetMode="External"/><Relationship Id="rId703" Type="http://schemas.openxmlformats.org/officeDocument/2006/relationships/hyperlink" Target="https://drive.google.com/open?id=1dIU0ISIR5OM6OQ3GNlkBnVyErPky1zqA" TargetMode="External"/><Relationship Id="rId702" Type="http://schemas.openxmlformats.org/officeDocument/2006/relationships/hyperlink" Target="https://drive.google.com/open?id=1EFMFFp1utf9BKD-9ojaJc1cTZh-DEcLe" TargetMode="External"/><Relationship Id="rId3951" Type="http://schemas.openxmlformats.org/officeDocument/2006/relationships/hyperlink" Target="https://drive.google.com/open?id=1D4FVnIHCNmpvbOCTu_KjsPn7bkhjFCjg" TargetMode="External"/><Relationship Id="rId2620" Type="http://schemas.openxmlformats.org/officeDocument/2006/relationships/hyperlink" Target="https://drive.google.com/open?id=1xlLbwCeCBWOhN9-Xx5dI6OFf4LIEy6hB" TargetMode="External"/><Relationship Id="rId3950" Type="http://schemas.openxmlformats.org/officeDocument/2006/relationships/hyperlink" Target="https://drive.google.com/open?id=1zGimdMkpmklErqPzCxzze0R_yfnWQ0Gl" TargetMode="External"/><Relationship Id="rId2610" Type="http://schemas.openxmlformats.org/officeDocument/2006/relationships/hyperlink" Target="https://drive.google.com/open?id=18X6vmhcTowotPnanVZ3PMJBiDDXxODVv" TargetMode="External"/><Relationship Id="rId3942" Type="http://schemas.openxmlformats.org/officeDocument/2006/relationships/hyperlink" Target="https://www.linkedin.com/in/siddhant-tupsakhare-25a615216" TargetMode="External"/><Relationship Id="rId2611" Type="http://schemas.openxmlformats.org/officeDocument/2006/relationships/hyperlink" Target="https://drive.google.com/open?id=1EBXDzeOa7GYjemaFXWCyzoCzTqM_3M7z" TargetMode="External"/><Relationship Id="rId3941" Type="http://schemas.openxmlformats.org/officeDocument/2006/relationships/hyperlink" Target="https://drive.google.com/open?id=1oB5tcl15BJs7pmLl2W8fVCXD83FPP0go" TargetMode="External"/><Relationship Id="rId2612" Type="http://schemas.openxmlformats.org/officeDocument/2006/relationships/hyperlink" Target="https://drive.google.com/open?id=1RP8JcDLY8ztQR1eNgDU0prCWjI8OjGtE" TargetMode="External"/><Relationship Id="rId3944" Type="http://schemas.openxmlformats.org/officeDocument/2006/relationships/hyperlink" Target="https://drive.google.com/open?id=1T78VG0biLaC6mOF1hqqMEnstd3FIv3BO" TargetMode="External"/><Relationship Id="rId2613" Type="http://schemas.openxmlformats.org/officeDocument/2006/relationships/hyperlink" Target="https://drive.google.com/open?id=1oFOvH3X4zjQcsIjvu1qmMDFcIwBC4Ws3" TargetMode="External"/><Relationship Id="rId3943" Type="http://schemas.openxmlformats.org/officeDocument/2006/relationships/hyperlink" Target="https://preskilet.com/watch?v=62b4940230b28000045234e2" TargetMode="External"/><Relationship Id="rId2614" Type="http://schemas.openxmlformats.org/officeDocument/2006/relationships/hyperlink" Target="https://drive.google.com/open?id=1sI5wvH5sUrdsIPYwply4b5XDD_V9XPwp" TargetMode="External"/><Relationship Id="rId3946" Type="http://schemas.openxmlformats.org/officeDocument/2006/relationships/hyperlink" Target="https://drive.google.com/open?id=1AazUPmI5LkzxHjWkzZabdYCyaYPKCB-R" TargetMode="External"/><Relationship Id="rId2615" Type="http://schemas.openxmlformats.org/officeDocument/2006/relationships/hyperlink" Target="https://drive.google.com/open?id=1zuocG0_si9GvD1NJsbfSexnKZjXI1k0o" TargetMode="External"/><Relationship Id="rId3945" Type="http://schemas.openxmlformats.org/officeDocument/2006/relationships/hyperlink" Target="https://drive.google.com/open?id=1LsfVc2JzgX3x2Eqp0jeiR-j8bHlmNwe3" TargetMode="External"/><Relationship Id="rId2616" Type="http://schemas.openxmlformats.org/officeDocument/2006/relationships/hyperlink" Target="https://drive.google.com/open?id=1WTq6EJK-TkWz9vxTxvu4J-IHnU2qPdnl" TargetMode="External"/><Relationship Id="rId3948" Type="http://schemas.openxmlformats.org/officeDocument/2006/relationships/hyperlink" Target="https://drive.google.com/open?id=11TBxys6MuY7kzfKEREAAL7F8m2kxHxfm" TargetMode="External"/><Relationship Id="rId2617" Type="http://schemas.openxmlformats.org/officeDocument/2006/relationships/hyperlink" Target="https://drive.google.com/open?id=1PF5JorjVNA8TGNF-oNQQjTZhqGiG5fr_" TargetMode="External"/><Relationship Id="rId3947" Type="http://schemas.openxmlformats.org/officeDocument/2006/relationships/hyperlink" Target="https://drive.google.com/open?id=1UKXQWYVPesaIvCpW_Wiiyl61eZ1JQKz4" TargetMode="External"/><Relationship Id="rId2618" Type="http://schemas.openxmlformats.org/officeDocument/2006/relationships/hyperlink" Target="https://www.linkedin.com/in/indrajit-pawar-9152a4241" TargetMode="External"/><Relationship Id="rId2619" Type="http://schemas.openxmlformats.org/officeDocument/2006/relationships/hyperlink" Target="https://drive.google.com/file/d/1gUHRZ0Kh5mNJ5gmhJHqIIRc-5quF-ycR/view?usp=drivesdk" TargetMode="External"/><Relationship Id="rId3949" Type="http://schemas.openxmlformats.org/officeDocument/2006/relationships/hyperlink" Target="https://drive.google.com/open?id=1HPAAJvH2G1VI1P3pJfHMSxhnuAZDz8DE" TargetMode="External"/><Relationship Id="rId3940" Type="http://schemas.openxmlformats.org/officeDocument/2006/relationships/hyperlink" Target="https://drive.google.com/open?id=1GvbSp_9gFZF3-L4cP0C2KRxqUigKYvu2" TargetMode="External"/><Relationship Id="rId1312" Type="http://schemas.openxmlformats.org/officeDocument/2006/relationships/hyperlink" Target="https://www.linkedin.com/in/purva-potdukhe-07b679213" TargetMode="External"/><Relationship Id="rId2643" Type="http://schemas.openxmlformats.org/officeDocument/2006/relationships/hyperlink" Target="https://drive.google.com/open?id=1OT_X73AVKkhkMlT9h78oNyD8GIQDlJ1v" TargetMode="External"/><Relationship Id="rId3975" Type="http://schemas.openxmlformats.org/officeDocument/2006/relationships/hyperlink" Target="https://drive.google.com/open?id=1WKnTlXoktVA6fP1um6qEqwRxN1ucbHwA" TargetMode="External"/><Relationship Id="rId1313" Type="http://schemas.openxmlformats.org/officeDocument/2006/relationships/hyperlink" Target="https://preskilet.com/watch?v=629bb754d784290004e96680" TargetMode="External"/><Relationship Id="rId2644" Type="http://schemas.openxmlformats.org/officeDocument/2006/relationships/hyperlink" Target="https://drive.google.com/open?id=1UqAYNw7hiXmh4my7X3cAq1BvFQNJW9wV" TargetMode="External"/><Relationship Id="rId3974" Type="http://schemas.openxmlformats.org/officeDocument/2006/relationships/hyperlink" Target="https://preskilet.com/watch?v=62bd92449535010004fd26a1" TargetMode="External"/><Relationship Id="rId1314" Type="http://schemas.openxmlformats.org/officeDocument/2006/relationships/hyperlink" Target="https://drive.google.com/open?id=1mNbViWIVGSoPiN_UkgfaupY_u376T0Gg" TargetMode="External"/><Relationship Id="rId2645" Type="http://schemas.openxmlformats.org/officeDocument/2006/relationships/hyperlink" Target="https://drive.google.com/open?id=1xpSIHpZi7J8D9o5qCC3oKNVRaZKFn_-j" TargetMode="External"/><Relationship Id="rId3977" Type="http://schemas.openxmlformats.org/officeDocument/2006/relationships/hyperlink" Target="https://drive.google.com/open?id=1ZrVUsK6h0bMFbjlgp_1zClDeLjrznBo0" TargetMode="External"/><Relationship Id="rId1315" Type="http://schemas.openxmlformats.org/officeDocument/2006/relationships/hyperlink" Target="https://drive.google.com/open?id=1V9WQB48FG26XOgqKPPqIl-o6oOp-zWbH" TargetMode="External"/><Relationship Id="rId2646" Type="http://schemas.openxmlformats.org/officeDocument/2006/relationships/hyperlink" Target="https://drive.google.com/open?id=10p9R-D26FecRUPWLlSXrOzzwANNIwojU" TargetMode="External"/><Relationship Id="rId3976" Type="http://schemas.openxmlformats.org/officeDocument/2006/relationships/hyperlink" Target="https://drive.google.com/open?id=1u8uvFyxRkx2UpsMT9HpM9MPtI6RnoQw9" TargetMode="External"/><Relationship Id="rId1316" Type="http://schemas.openxmlformats.org/officeDocument/2006/relationships/hyperlink" Target="https://drive.google.com/open?id=1YAznBikHIwxslRQEkQlEnLxHo1T7c_B7" TargetMode="External"/><Relationship Id="rId2647" Type="http://schemas.openxmlformats.org/officeDocument/2006/relationships/hyperlink" Target="https://drive.google.com/open?id=1vVBwSSunXkuXS0Ri9pxPq_V5RcDl1QFY" TargetMode="External"/><Relationship Id="rId3979" Type="http://schemas.openxmlformats.org/officeDocument/2006/relationships/hyperlink" Target="https://drive.google.com/open?id=13m41T-PUO_i5g_lXX1lG_pkJTR4bo8qs" TargetMode="External"/><Relationship Id="rId1317" Type="http://schemas.openxmlformats.org/officeDocument/2006/relationships/hyperlink" Target="https://drive.google.com/open?id=1dG1jVMuwIQHCWpzds9CEuuyoQXmMmlBP" TargetMode="External"/><Relationship Id="rId2648" Type="http://schemas.openxmlformats.org/officeDocument/2006/relationships/hyperlink" Target="https://drive.google.com/open?id=1_tEVGI7DA1Mlw9kTYL5pPood1_gQ0-uC" TargetMode="External"/><Relationship Id="rId3978" Type="http://schemas.openxmlformats.org/officeDocument/2006/relationships/hyperlink" Target="https://drive.google.com/open?id=1nNPmkJzL39FyVrNwrlNb3SFl2AC8LG0s" TargetMode="External"/><Relationship Id="rId1318" Type="http://schemas.openxmlformats.org/officeDocument/2006/relationships/hyperlink" Target="https://drive.google.com/open?id=1cGYzOa5AqCpN1ZD5CsJ95bZHXODBcdLV" TargetMode="External"/><Relationship Id="rId2649" Type="http://schemas.openxmlformats.org/officeDocument/2006/relationships/hyperlink" Target="https://drive.google.com/open?id=1Rw-X2VEzOrQtPhJm4Ik7VxvGBUlWvdkE" TargetMode="External"/><Relationship Id="rId1319" Type="http://schemas.openxmlformats.org/officeDocument/2006/relationships/hyperlink" Target="https://drive.google.com/open?id=1oosnz_c2QMJJwFM2EQE23LdmaAhKWqFE" TargetMode="External"/><Relationship Id="rId729" Type="http://schemas.openxmlformats.org/officeDocument/2006/relationships/hyperlink" Target="https://drive.google.com/open?id=1RD5yXxbcF-knDjhjeLJM9FAnxjrUKxeL" TargetMode="External"/><Relationship Id="rId728" Type="http://schemas.openxmlformats.org/officeDocument/2006/relationships/hyperlink" Target="https://drive.google.com/open?id=1MjXe5I7U1ZVWMTNol6Yx1wRFspCbfC-P" TargetMode="External"/><Relationship Id="rId723" Type="http://schemas.openxmlformats.org/officeDocument/2006/relationships/hyperlink" Target="https://drive.google.com/open?id=1-PpwhAu5P_Bf3l7VQdTLYzYBSIu_lD72" TargetMode="External"/><Relationship Id="rId722" Type="http://schemas.openxmlformats.org/officeDocument/2006/relationships/hyperlink" Target="https://drive.google.com/open?id=1P_q37SCHAGyfr2jYVj7Lrl_UO-wle9Xo" TargetMode="External"/><Relationship Id="rId721" Type="http://schemas.openxmlformats.org/officeDocument/2006/relationships/hyperlink" Target="https://drive.google.com/open?id=1EB2U_l9tWLVcvQOaYpm-4I0UrintwcuB" TargetMode="External"/><Relationship Id="rId720" Type="http://schemas.openxmlformats.org/officeDocument/2006/relationships/hyperlink" Target="https://drive.google.com/open?id=179qx6c56CU5oNpFsE4scVsI_JGvXar60" TargetMode="External"/><Relationship Id="rId727" Type="http://schemas.openxmlformats.org/officeDocument/2006/relationships/hyperlink" Target="https://drive.google.com/open?id=15W8HsNrMMNTmkwsk8fRB_DOHZbJSff2n" TargetMode="External"/><Relationship Id="rId726" Type="http://schemas.openxmlformats.org/officeDocument/2006/relationships/hyperlink" Target="https://drive.google.com/open?id=1SHaMHS5BWoWPzUd6RiNOG194GcyEUrdh" TargetMode="External"/><Relationship Id="rId725" Type="http://schemas.openxmlformats.org/officeDocument/2006/relationships/hyperlink" Target="https://preskilet.com/watch?v=62a4e486589aee0004d9866f" TargetMode="External"/><Relationship Id="rId724" Type="http://schemas.openxmlformats.org/officeDocument/2006/relationships/hyperlink" Target="https://www.linkedin.com/in/shreyash-sakharwade-97871a211" TargetMode="External"/><Relationship Id="rId3971" Type="http://schemas.openxmlformats.org/officeDocument/2006/relationships/hyperlink" Target="https://drive.google.com/open?id=164ScAY7QW1ApCT2GmPvDLlXBGHl9F7yP" TargetMode="External"/><Relationship Id="rId2640" Type="http://schemas.openxmlformats.org/officeDocument/2006/relationships/hyperlink" Target="https://preskilet.com/watch?v=62a30567a6956a00045ff6d9" TargetMode="External"/><Relationship Id="rId3970" Type="http://schemas.openxmlformats.org/officeDocument/2006/relationships/hyperlink" Target="https://drive.google.com/open?id=1T5fb0McjbbOXjlCmFap8hL53fGjLTDhl" TargetMode="External"/><Relationship Id="rId1310" Type="http://schemas.openxmlformats.org/officeDocument/2006/relationships/hyperlink" Target="https://drive.google.com/open?id=1Y5qEAXCEB2xVKdHJJZNniICIvhMPr8uX" TargetMode="External"/><Relationship Id="rId2641" Type="http://schemas.openxmlformats.org/officeDocument/2006/relationships/hyperlink" Target="https://drive.google.com/open?id=13eHabU7DvKdwYL9cb4GQZRigVe7wHxKU" TargetMode="External"/><Relationship Id="rId3973" Type="http://schemas.openxmlformats.org/officeDocument/2006/relationships/hyperlink" Target="https://www.linkedin.com/in/rohit-gosavi-424b38197/" TargetMode="External"/><Relationship Id="rId1311" Type="http://schemas.openxmlformats.org/officeDocument/2006/relationships/hyperlink" Target="https://drive.google.com/open?id=1GDbcKIHEHjoepDoXEb4auo_3Q7THyNUo" TargetMode="External"/><Relationship Id="rId2642" Type="http://schemas.openxmlformats.org/officeDocument/2006/relationships/hyperlink" Target="https://drive.google.com/open?id=1NIbul3SYhPyseD1H6GlQl6WOgGHPn7_N" TargetMode="External"/><Relationship Id="rId3972" Type="http://schemas.openxmlformats.org/officeDocument/2006/relationships/hyperlink" Target="https://drive.google.com/open?id=1FjZ_3b70XpzDRlyGBSoE4OiTOR-Lez41" TargetMode="External"/><Relationship Id="rId1301" Type="http://schemas.openxmlformats.org/officeDocument/2006/relationships/hyperlink" Target="https://drive.google.com/open?id=1Rt1y9iJDz4en1ju8eDionK7KXjo2HMjf" TargetMode="External"/><Relationship Id="rId2632" Type="http://schemas.openxmlformats.org/officeDocument/2006/relationships/hyperlink" Target="https://www.linkedin.com/in/vansh-gaikwad-046346221" TargetMode="External"/><Relationship Id="rId3964" Type="http://schemas.openxmlformats.org/officeDocument/2006/relationships/hyperlink" Target="https://www.linkedin.com/in/anujbhaskar/" TargetMode="External"/><Relationship Id="rId1302" Type="http://schemas.openxmlformats.org/officeDocument/2006/relationships/hyperlink" Target="https://drive.google.com/open?id=1Zou9qabJWaNsmpCZLfHqdlRP3WsivLMY" TargetMode="External"/><Relationship Id="rId2633" Type="http://schemas.openxmlformats.org/officeDocument/2006/relationships/hyperlink" Target="https://preskilet.com/watch?v=62bd96849535010004fd26b7" TargetMode="External"/><Relationship Id="rId3963" Type="http://schemas.openxmlformats.org/officeDocument/2006/relationships/hyperlink" Target="https://drive.google.com/open?id=1Cdq0XJOQWwNA4YEsBSkhksPj4Vx-28rv" TargetMode="External"/><Relationship Id="rId1303" Type="http://schemas.openxmlformats.org/officeDocument/2006/relationships/hyperlink" Target="https://drive.google.com/open?id=1YHw_CqlcDi6sH17RJB0ROpVZIJlarOYT" TargetMode="External"/><Relationship Id="rId2634" Type="http://schemas.openxmlformats.org/officeDocument/2006/relationships/hyperlink" Target="https://drive.google.com/open?id=1S-SxRzT30TkKb2hYK8TMo8RTYRPq7wIp" TargetMode="External"/><Relationship Id="rId3966" Type="http://schemas.openxmlformats.org/officeDocument/2006/relationships/hyperlink" Target="https://drive.google.com/open?id=1szQbYyq4_yZ0oTWq2i0G2ag9oUGJcoPN" TargetMode="External"/><Relationship Id="rId1304" Type="http://schemas.openxmlformats.org/officeDocument/2006/relationships/hyperlink" Target="https://www.linkedin.com/in/suyog-mahangade-8a3b0121a" TargetMode="External"/><Relationship Id="rId2635" Type="http://schemas.openxmlformats.org/officeDocument/2006/relationships/hyperlink" Target="https://drive.google.com/open?id=1_dhyL4h79Aru3KBHyB-fGeF1mSG_8ND-" TargetMode="External"/><Relationship Id="rId3965" Type="http://schemas.openxmlformats.org/officeDocument/2006/relationships/hyperlink" Target="https://preskilet.com/watch?v=62b02e8818f9c000043dec0f" TargetMode="External"/><Relationship Id="rId1305" Type="http://schemas.openxmlformats.org/officeDocument/2006/relationships/hyperlink" Target="https://preskilet.com/watch?v=62a3739aa6956a0004600225" TargetMode="External"/><Relationship Id="rId2636" Type="http://schemas.openxmlformats.org/officeDocument/2006/relationships/hyperlink" Target="https://drive.google.com/open?id=13_6JOnsqX0M9lOf0uKTu9nG1RB5yBbl5" TargetMode="External"/><Relationship Id="rId3968" Type="http://schemas.openxmlformats.org/officeDocument/2006/relationships/hyperlink" Target="https://drive.google.com/open?id=1yArJh_3v-n8L2md8t0WxRcpwcCszccwK" TargetMode="External"/><Relationship Id="rId1306" Type="http://schemas.openxmlformats.org/officeDocument/2006/relationships/hyperlink" Target="https://drive.google.com/open?id=1twmm6vWJrQXhGVSdny8sbgxffcY7HtZu" TargetMode="External"/><Relationship Id="rId2637" Type="http://schemas.openxmlformats.org/officeDocument/2006/relationships/hyperlink" Target="https://drive.google.com/open?id=1o_STQrfBJCZ5DuAZ6z84VBt4jbGDHiIx" TargetMode="External"/><Relationship Id="rId3967" Type="http://schemas.openxmlformats.org/officeDocument/2006/relationships/hyperlink" Target="https://drive.google.com/open?id=1OyN3AlFrt8wG6PgGI1EGWChO6_AdaQPF" TargetMode="External"/><Relationship Id="rId1307" Type="http://schemas.openxmlformats.org/officeDocument/2006/relationships/hyperlink" Target="https://drive.google.com/open?id=1ybt_7U_EgpgNXrqi0vmUycx57piMcFYI" TargetMode="External"/><Relationship Id="rId2638" Type="http://schemas.openxmlformats.org/officeDocument/2006/relationships/hyperlink" Target="https://www.linkedin.com/in/dhawal-hemane-4929381a4" TargetMode="External"/><Relationship Id="rId1308" Type="http://schemas.openxmlformats.org/officeDocument/2006/relationships/hyperlink" Target="https://drive.google.com/open?id=1LzPWOHqvcMdQmDwnP57TQeZmnt2u3gtY" TargetMode="External"/><Relationship Id="rId2639" Type="http://schemas.openxmlformats.org/officeDocument/2006/relationships/hyperlink" Target="http://freecodecamp.org" TargetMode="External"/><Relationship Id="rId3969" Type="http://schemas.openxmlformats.org/officeDocument/2006/relationships/hyperlink" Target="https://drive.google.com/open?id=1aOgP07sMDKuwPUBpokA2Sijtf1oVq-rW" TargetMode="External"/><Relationship Id="rId1309" Type="http://schemas.openxmlformats.org/officeDocument/2006/relationships/hyperlink" Target="https://drive.google.com/open?id=1OgPxHg4MU8Pe4m6OQJX1mLMEU2w-CB8r" TargetMode="External"/><Relationship Id="rId719" Type="http://schemas.openxmlformats.org/officeDocument/2006/relationships/hyperlink" Target="https://drive.google.com/open?id=17XfgOy6SMuLQ_AIekQXy7dwqrfqjhtPr" TargetMode="External"/><Relationship Id="rId718" Type="http://schemas.openxmlformats.org/officeDocument/2006/relationships/hyperlink" Target="https://drive.google.com/open?id=1t8N6ZdMYA7ye4iC7Lbxx_GU19Ix10SHC" TargetMode="External"/><Relationship Id="rId717" Type="http://schemas.openxmlformats.org/officeDocument/2006/relationships/hyperlink" Target="https://preskilet.com/watch?v=62ba7b6c2a08150004abbaa2" TargetMode="External"/><Relationship Id="rId712" Type="http://schemas.openxmlformats.org/officeDocument/2006/relationships/hyperlink" Target="https://drive.google.com/open?id=1BoZxRtSj9fxCrnYjpk63EKTF41NJdh20" TargetMode="External"/><Relationship Id="rId711" Type="http://schemas.openxmlformats.org/officeDocument/2006/relationships/hyperlink" Target="https://drive.google.com/open?id=1tPzkhZoSmoCE8WlCHvEGXoIxWGjw4zn6" TargetMode="External"/><Relationship Id="rId710" Type="http://schemas.openxmlformats.org/officeDocument/2006/relationships/hyperlink" Target="https://drive.google.com/open?id=1B8RfaTzsoUEtiBNGN8Sfbaiw9EVfrKvx" TargetMode="External"/><Relationship Id="rId716" Type="http://schemas.openxmlformats.org/officeDocument/2006/relationships/hyperlink" Target="http://www.linkedin.com/in/madhurra-irlaaplle-517733228" TargetMode="External"/><Relationship Id="rId715" Type="http://schemas.openxmlformats.org/officeDocument/2006/relationships/hyperlink" Target="https://drive.google.com/open?id=1sJoaYa1xBwB_aep8vOvO3SC7ZZrtkgge" TargetMode="External"/><Relationship Id="rId714" Type="http://schemas.openxmlformats.org/officeDocument/2006/relationships/hyperlink" Target="https://drive.google.com/open?id=12ZoVeWImG4TyyPZR-WCADCsaMiAGquYV" TargetMode="External"/><Relationship Id="rId713" Type="http://schemas.openxmlformats.org/officeDocument/2006/relationships/hyperlink" Target="https://drive.google.com/open?id=1qvYYDAftOJnp5DiLldsqIM0z3VIO75Oc" TargetMode="External"/><Relationship Id="rId3960" Type="http://schemas.openxmlformats.org/officeDocument/2006/relationships/hyperlink" Target="https://drive.google.com/drive/folders/1-l_vYpgy9UV37U5zbfkuy2KspY-xyzxX" TargetMode="External"/><Relationship Id="rId2630" Type="http://schemas.openxmlformats.org/officeDocument/2006/relationships/hyperlink" Target="https://drive.google.com/open?id=1WMzRqZN49jEppE_C1XVYMnZv__xfgdXI" TargetMode="External"/><Relationship Id="rId3962" Type="http://schemas.openxmlformats.org/officeDocument/2006/relationships/hyperlink" Target="https://drive.google.com/open?id=1zKWeOAVy6xR6WFaULFGccAGQN3qtf8E6" TargetMode="External"/><Relationship Id="rId1300" Type="http://schemas.openxmlformats.org/officeDocument/2006/relationships/hyperlink" Target="https://drive.google.com/open?id=1pOMB-jURA7WaQP7_PnlDLkOVHiiLTtH8" TargetMode="External"/><Relationship Id="rId2631" Type="http://schemas.openxmlformats.org/officeDocument/2006/relationships/hyperlink" Target="https://drive.google.com/open?id=1GHCAhEWcGxpr6oIVvSDLAb0PIxLRIK9j" TargetMode="External"/><Relationship Id="rId3961" Type="http://schemas.openxmlformats.org/officeDocument/2006/relationships/hyperlink" Target="https://drive.google.com/open?id=1f6n72eTlcQoEyNbD9akpEne3Fkiq2mZG" TargetMode="External"/><Relationship Id="rId3117" Type="http://schemas.openxmlformats.org/officeDocument/2006/relationships/hyperlink" Target="https://preskilet.com/watch?v=62bf02782c9a6200041e136b" TargetMode="External"/><Relationship Id="rId4448" Type="http://schemas.openxmlformats.org/officeDocument/2006/relationships/hyperlink" Target="https://drive.google.com/open?id=1Vcw6X5MbIng3CnL7fb0XGM3UcmBLMLW4" TargetMode="External"/><Relationship Id="rId3116" Type="http://schemas.openxmlformats.org/officeDocument/2006/relationships/hyperlink" Target="https://www.linkedin.com/in/prajwal-kumbhar-7b03b91b1/" TargetMode="External"/><Relationship Id="rId4447" Type="http://schemas.openxmlformats.org/officeDocument/2006/relationships/hyperlink" Target="https://drive.google.com/open?id=1isvRRfxSxiFWJemPOlxyTdnnbCWfmLRP" TargetMode="External"/><Relationship Id="rId3119" Type="http://schemas.openxmlformats.org/officeDocument/2006/relationships/hyperlink" Target="https://drive.google.com/open?id=1w1fUTngOXZ1wrOd4NQnXK8vzUXAt-JbF" TargetMode="External"/><Relationship Id="rId3118" Type="http://schemas.openxmlformats.org/officeDocument/2006/relationships/hyperlink" Target="https://drive.google.com/open?id=1UCYQVg5FfNqBag22wkwV1OkEVD6TSZUj" TargetMode="External"/><Relationship Id="rId4449" Type="http://schemas.openxmlformats.org/officeDocument/2006/relationships/hyperlink" Target="https://www.linkedin.com/in/mahesh-shindge-46518a227" TargetMode="External"/><Relationship Id="rId4440" Type="http://schemas.openxmlformats.org/officeDocument/2006/relationships/hyperlink" Target="https://drive.google.com/open?id=1S6MJM9zI7SXXKn5HtyEJW32DMc9iIzDV" TargetMode="External"/><Relationship Id="rId3111" Type="http://schemas.openxmlformats.org/officeDocument/2006/relationships/hyperlink" Target="https://drive.google.com/open?id=13HXtMEWYmNw2P1CEUxdVa1O2OJtqzfAE" TargetMode="External"/><Relationship Id="rId4442" Type="http://schemas.openxmlformats.org/officeDocument/2006/relationships/hyperlink" Target="https://drive.google.com/open?id=1_RK1DPyhGRqdUeXAUUHR2S31A1Voqhgs" TargetMode="External"/><Relationship Id="rId3110" Type="http://schemas.openxmlformats.org/officeDocument/2006/relationships/hyperlink" Target="https://preskilet.com/watch?v=62a38f7aa6956a0004600862" TargetMode="External"/><Relationship Id="rId4441" Type="http://schemas.openxmlformats.org/officeDocument/2006/relationships/hyperlink" Target="https://drive.google.com/open?id=10ZYYVvDo--yUriGUSnjuDtUF5s8NeWFU" TargetMode="External"/><Relationship Id="rId3113" Type="http://schemas.openxmlformats.org/officeDocument/2006/relationships/hyperlink" Target="https://drive.google.com/open?id=119H2tbKy6WZ6137Xv6PBUewkOZhyRuGE" TargetMode="External"/><Relationship Id="rId4444" Type="http://schemas.openxmlformats.org/officeDocument/2006/relationships/hyperlink" Target="https://drive.google.com/open?id=1O-DtnEgld0hqTTiUJUWeJqG5oUint9NV" TargetMode="External"/><Relationship Id="rId3112" Type="http://schemas.openxmlformats.org/officeDocument/2006/relationships/hyperlink" Target="https://drive.google.com/open?id=1kvNQ2woaY3nUJ2WTTB2FdvCaZA5QZofO" TargetMode="External"/><Relationship Id="rId4443" Type="http://schemas.openxmlformats.org/officeDocument/2006/relationships/hyperlink" Target="https://drive.google.com/open?id=1S7jWBarcY1GPr0fG0x0fYjWnRPEryley" TargetMode="External"/><Relationship Id="rId3115" Type="http://schemas.openxmlformats.org/officeDocument/2006/relationships/hyperlink" Target="https://drive.google.com/open?id=1SMiECsdHr00EJx7IuSq1QIaoE_T-bQqm" TargetMode="External"/><Relationship Id="rId4446" Type="http://schemas.openxmlformats.org/officeDocument/2006/relationships/hyperlink" Target="https://drive.google.com/open?id=1EMxOBVInXlW05KIaeP8KQnqb0jw7WsiZ" TargetMode="External"/><Relationship Id="rId3114" Type="http://schemas.openxmlformats.org/officeDocument/2006/relationships/hyperlink" Target="https://drive.google.com/open?id=11jgn_Wk2z8L0bWaxfaYzwQTaAnqy-TCO" TargetMode="External"/><Relationship Id="rId4445" Type="http://schemas.openxmlformats.org/officeDocument/2006/relationships/hyperlink" Target="https://drive.google.com/open?id=1ejbU2CffQLY8sRVLE4VJl2qxnBfkU671" TargetMode="External"/><Relationship Id="rId3106" Type="http://schemas.openxmlformats.org/officeDocument/2006/relationships/hyperlink" Target="https://drive.google.com/open?id=1lQOXH4OV9SmWsNldPSW6JoeVHLbkUOIH" TargetMode="External"/><Relationship Id="rId4437" Type="http://schemas.openxmlformats.org/officeDocument/2006/relationships/hyperlink" Target="https://preskilet.com/darshan.kuwar@mitaoe.ac.in" TargetMode="External"/><Relationship Id="rId3105" Type="http://schemas.openxmlformats.org/officeDocument/2006/relationships/hyperlink" Target="https://drive.google.com/open?id=10ijGiJ_kP6JDhn-dX5mjCmwaGKBu3YOy" TargetMode="External"/><Relationship Id="rId4436" Type="http://schemas.openxmlformats.org/officeDocument/2006/relationships/hyperlink" Target="https://www.linkedin.com/in/darshan-kuwar-129ab2219" TargetMode="External"/><Relationship Id="rId3108" Type="http://schemas.openxmlformats.org/officeDocument/2006/relationships/hyperlink" Target="https://drive.google.com/open?id=1gGjhkfHLB35KXU9IB4v11Ocg_APTZBpp" TargetMode="External"/><Relationship Id="rId4439" Type="http://schemas.openxmlformats.org/officeDocument/2006/relationships/hyperlink" Target="https://drive.google.com/open?id=1gvu5zDB9JwwS_nGHG0JJk6Nt6sSUjbxo" TargetMode="External"/><Relationship Id="rId3107" Type="http://schemas.openxmlformats.org/officeDocument/2006/relationships/hyperlink" Target="https://drive.google.com/open?id=1pxPPTpvKsZp7DmWc8o6Iq3vDzqajSVmJ" TargetMode="External"/><Relationship Id="rId4438" Type="http://schemas.openxmlformats.org/officeDocument/2006/relationships/hyperlink" Target="https://drive.google.com/open?id=1GmwLgI6icjGJfs0sTgKb21UW6hR0XbvZ" TargetMode="External"/><Relationship Id="rId3109" Type="http://schemas.openxmlformats.org/officeDocument/2006/relationships/hyperlink" Target="https://www.linkedin.com/in/hariom-singh-1a77541b5" TargetMode="External"/><Relationship Id="rId3100" Type="http://schemas.openxmlformats.org/officeDocument/2006/relationships/hyperlink" Target="https://drive.google.com/open?id=1QYyJgcgvc_kxaG0cYg_53j_IFnaQO_Fh" TargetMode="External"/><Relationship Id="rId4431" Type="http://schemas.openxmlformats.org/officeDocument/2006/relationships/hyperlink" Target="https://drive.google.com/open?id=1Ltlo9ajubtmN9thzru4_OLk5KwZlYWm8" TargetMode="External"/><Relationship Id="rId4430" Type="http://schemas.openxmlformats.org/officeDocument/2006/relationships/hyperlink" Target="https://drive.google.com/open?id=1SkMpOqLeziyHAirpZEYuWWC2oCGejQog" TargetMode="External"/><Relationship Id="rId3102" Type="http://schemas.openxmlformats.org/officeDocument/2006/relationships/hyperlink" Target="https://preskilet.com/watch?v=62b2ccc3cd590700045fb360" TargetMode="External"/><Relationship Id="rId4433" Type="http://schemas.openxmlformats.org/officeDocument/2006/relationships/hyperlink" Target="https://drive.google.com/open?id=1AOI8ZyFFJ5BqWNjm6C1GRvm6HNAGUSWQ" TargetMode="External"/><Relationship Id="rId3101" Type="http://schemas.openxmlformats.org/officeDocument/2006/relationships/hyperlink" Target="https://www.linkedin.com/in/ajinkya-mahure-b21a411a4/" TargetMode="External"/><Relationship Id="rId4432" Type="http://schemas.openxmlformats.org/officeDocument/2006/relationships/hyperlink" Target="https://drive.google.com/open?id=1UBuhaBPkOVmZx3tPwvqhGjbY_8zX8Xwi" TargetMode="External"/><Relationship Id="rId3104" Type="http://schemas.openxmlformats.org/officeDocument/2006/relationships/hyperlink" Target="https://drive.google.com/open?id=1ivuudtMJvgk8ZPEvgEUVwUP6VpsCB_bL" TargetMode="External"/><Relationship Id="rId4435" Type="http://schemas.openxmlformats.org/officeDocument/2006/relationships/hyperlink" Target="https://drive.google.com/open?id=1kjtz0UJIQ2SN86rC90WIP8IFdfj1HAOQ" TargetMode="External"/><Relationship Id="rId3103" Type="http://schemas.openxmlformats.org/officeDocument/2006/relationships/hyperlink" Target="https://drive.google.com/open?id=1EJPvPCYQeMLuALI_ecRK_SiuFiZkSWLo" TargetMode="External"/><Relationship Id="rId4434" Type="http://schemas.openxmlformats.org/officeDocument/2006/relationships/hyperlink" Target="https://drive.google.com/open?id=1xU8XAlsQtwqmN0jMcyAkLfoFVeUwEj1P" TargetMode="External"/><Relationship Id="rId3139" Type="http://schemas.openxmlformats.org/officeDocument/2006/relationships/hyperlink" Target="https://drive.google.com/open?id=1KV2M1qXuI9n5w9OQaOH0oxurVCTMehpr" TargetMode="External"/><Relationship Id="rId3138" Type="http://schemas.openxmlformats.org/officeDocument/2006/relationships/hyperlink" Target="https://drive.google.com/open?id=1VaKIxk6udyz2-1TQnjrHPGY-gkEN9psg" TargetMode="External"/><Relationship Id="rId4469" Type="http://schemas.openxmlformats.org/officeDocument/2006/relationships/hyperlink" Target="https://drive.google.com/open?id=17F6EGZ6r40hR6MgZB7rlhQV76NrvwrVI" TargetMode="External"/><Relationship Id="rId4460" Type="http://schemas.openxmlformats.org/officeDocument/2006/relationships/hyperlink" Target="https://www.linkedin.com/in/tanuja-himparge-093570241" TargetMode="External"/><Relationship Id="rId3131" Type="http://schemas.openxmlformats.org/officeDocument/2006/relationships/hyperlink" Target="https://drive.google.com/open?id=15_mL495fK469mJCUExKaQOQTFmqFYyiS" TargetMode="External"/><Relationship Id="rId4462" Type="http://schemas.openxmlformats.org/officeDocument/2006/relationships/hyperlink" Target="https://drive.google.com/open?id=1xbazMysXeWKxtMetXMb5wNuH3-2IkP9N" TargetMode="External"/><Relationship Id="rId3130" Type="http://schemas.openxmlformats.org/officeDocument/2006/relationships/hyperlink" Target="https://drive.google.com/open?id=1Pd4dSunymcI91XZexgJ1JZyfSQVOHYFh" TargetMode="External"/><Relationship Id="rId4461" Type="http://schemas.openxmlformats.org/officeDocument/2006/relationships/hyperlink" Target="https://preskilet.com/tanuja.himparge@mitaoe.ac.in" TargetMode="External"/><Relationship Id="rId3133" Type="http://schemas.openxmlformats.org/officeDocument/2006/relationships/hyperlink" Target="http://linkedin.com/in/komal-patil-41426222b" TargetMode="External"/><Relationship Id="rId4464" Type="http://schemas.openxmlformats.org/officeDocument/2006/relationships/hyperlink" Target="https://drive.google.com/open?id=15WAg39fqkh7o0Allb7c_DC6u_Tqj9g3w" TargetMode="External"/><Relationship Id="rId3132" Type="http://schemas.openxmlformats.org/officeDocument/2006/relationships/hyperlink" Target="https://drive.google.com/open?id=1Ug-2yav9aY7S2_8gfinpl-8a9DxcG8cp" TargetMode="External"/><Relationship Id="rId4463" Type="http://schemas.openxmlformats.org/officeDocument/2006/relationships/hyperlink" Target="https://drive.google.com/open?id=1m-tUfNooUujBLxrSqHNFFQLDKeU0DOiT" TargetMode="External"/><Relationship Id="rId3135" Type="http://schemas.openxmlformats.org/officeDocument/2006/relationships/hyperlink" Target="https://drive.google.com/open?id=14-MiY7-G79a9WwulgPE_NC28kNnD7gF1" TargetMode="External"/><Relationship Id="rId4466" Type="http://schemas.openxmlformats.org/officeDocument/2006/relationships/hyperlink" Target="https://www.linkedin.com/in/atharv-bedse-a6046a222" TargetMode="External"/><Relationship Id="rId3134" Type="http://schemas.openxmlformats.org/officeDocument/2006/relationships/hyperlink" Target="https://preskilet.com/watch?v=62a312b7a6956a00045ff84a" TargetMode="External"/><Relationship Id="rId4465" Type="http://schemas.openxmlformats.org/officeDocument/2006/relationships/hyperlink" Target="https://drive.google.com/open?id=1fa2_Rfjju4RK6i7rR4_Uyco76ncXMAWe" TargetMode="External"/><Relationship Id="rId3137" Type="http://schemas.openxmlformats.org/officeDocument/2006/relationships/hyperlink" Target="https://drive.google.com/open?id=1gAlNORynPMV4z9BN8U3Pj-gHYrqu0ASf" TargetMode="External"/><Relationship Id="rId4468" Type="http://schemas.openxmlformats.org/officeDocument/2006/relationships/hyperlink" Target="https://drive.google.com/open?id=1Kl5XsJu9utHyp_czJOXOvONmIQ67zCeq" TargetMode="External"/><Relationship Id="rId3136" Type="http://schemas.openxmlformats.org/officeDocument/2006/relationships/hyperlink" Target="https://drive.google.com/open?id=1NVilNrLkX1NC0UVsf7wYSUKPAZp2vbo1" TargetMode="External"/><Relationship Id="rId4467" Type="http://schemas.openxmlformats.org/officeDocument/2006/relationships/hyperlink" Target="https://preskilet.com/atharv.bedse@mitaoe.ac.in" TargetMode="External"/><Relationship Id="rId3128" Type="http://schemas.openxmlformats.org/officeDocument/2006/relationships/hyperlink" Target="https://drive.google.com/open?id=1d1oVvfRmGF5kliVcsmh3ULSWiRKCfG97" TargetMode="External"/><Relationship Id="rId4459" Type="http://schemas.openxmlformats.org/officeDocument/2006/relationships/hyperlink" Target="https://drive.google.com/open?id=1lKKuELCT5AQmXRGGC9N3m7oTMep7QdI-" TargetMode="External"/><Relationship Id="rId3127" Type="http://schemas.openxmlformats.org/officeDocument/2006/relationships/hyperlink" Target="https://drive.google.com/open?id=1_jG91noeX95fkzzEa0rp5ygQ7bznn47d" TargetMode="External"/><Relationship Id="rId4458" Type="http://schemas.openxmlformats.org/officeDocument/2006/relationships/hyperlink" Target="https://drive.google.com/open?id=1wjAF6Z8s55yTD0LUouNJOMhztSULixYf" TargetMode="External"/><Relationship Id="rId3129" Type="http://schemas.openxmlformats.org/officeDocument/2006/relationships/hyperlink" Target="https://drive.google.com/open?id=1roC_vu7g2KMie4poS1Qd6Nn2Hye6MY9Y" TargetMode="External"/><Relationship Id="rId3120" Type="http://schemas.openxmlformats.org/officeDocument/2006/relationships/hyperlink" Target="https://drive.google.com/open?id=1XQA-Wq1UWBjY4Mtu4vZJGr_bNBSTuWix" TargetMode="External"/><Relationship Id="rId4451" Type="http://schemas.openxmlformats.org/officeDocument/2006/relationships/hyperlink" Target="https://drive.google.com/open?id=1N_-haAmnWYA2LOac7oY5-pp_G2_RO3DU" TargetMode="External"/><Relationship Id="rId4450" Type="http://schemas.openxmlformats.org/officeDocument/2006/relationships/hyperlink" Target="https://preskilet.com/watch?v=62b2ce53cd590700045fb36c" TargetMode="External"/><Relationship Id="rId3122" Type="http://schemas.openxmlformats.org/officeDocument/2006/relationships/hyperlink" Target="https://drive.google.com/open?id=1R39OMUvHzdjZelc1s8vhRE87IAFHgVlE" TargetMode="External"/><Relationship Id="rId4453" Type="http://schemas.openxmlformats.org/officeDocument/2006/relationships/hyperlink" Target="https://drive.google.com/open?id=17WRdGC3nsoLPTEkF0cpHsmwqgYMzDT6H" TargetMode="External"/><Relationship Id="rId3121" Type="http://schemas.openxmlformats.org/officeDocument/2006/relationships/hyperlink" Target="https://drive.google.com/open?id=1XIGkXNlpvJjpu0xUQyq1VuQ5nVCXxFV_" TargetMode="External"/><Relationship Id="rId4452" Type="http://schemas.openxmlformats.org/officeDocument/2006/relationships/hyperlink" Target="https://drive.google.com/open?id=17MGj4MaITY-jowwI5GCylJMZDfeXfk8x" TargetMode="External"/><Relationship Id="rId3124" Type="http://schemas.openxmlformats.org/officeDocument/2006/relationships/hyperlink" Target="https://drive.google.com/open?id=15mKWALli_foV096hX3YKfNvm_Lm2ze7I" TargetMode="External"/><Relationship Id="rId4455" Type="http://schemas.openxmlformats.org/officeDocument/2006/relationships/hyperlink" Target="https://drive.google.com/open?id=1TWUyMXmzlxgydh7lY92_cxqj1w9z1Ze9" TargetMode="External"/><Relationship Id="rId3123" Type="http://schemas.openxmlformats.org/officeDocument/2006/relationships/hyperlink" Target="https://drive.google.com/open?id=1QGvowccNMRGaImq5CJi9kxGvPFZCJ--s" TargetMode="External"/><Relationship Id="rId4454" Type="http://schemas.openxmlformats.org/officeDocument/2006/relationships/hyperlink" Target="https://drive.google.com/open?id=1696m0wTcYUmy5KnFN1Ct3ht5J0HcovuL" TargetMode="External"/><Relationship Id="rId3126" Type="http://schemas.openxmlformats.org/officeDocument/2006/relationships/hyperlink" Target="https://preskilet.com/watch?v=62a07b708fdf6d0004435e87" TargetMode="External"/><Relationship Id="rId4457" Type="http://schemas.openxmlformats.org/officeDocument/2006/relationships/hyperlink" Target="https://drive.google.com/open?id=1UsS0-PZPxuFVr5zBmuM-0fsIWtRZsAPD" TargetMode="External"/><Relationship Id="rId3125" Type="http://schemas.openxmlformats.org/officeDocument/2006/relationships/hyperlink" Target="https://www.linkedin.com/in/sameer-patil-16022316b/" TargetMode="External"/><Relationship Id="rId4456" Type="http://schemas.openxmlformats.org/officeDocument/2006/relationships/hyperlink" Target="https://drive.google.com/open?id=1TqBA90V3gzzkJMmwgWdDyhOdVAhZROWW" TargetMode="External"/><Relationship Id="rId1378" Type="http://schemas.openxmlformats.org/officeDocument/2006/relationships/hyperlink" Target="https://drive.google.com/open?id=1Yfv5Hp7usRHMYHYAZsgbctHjkGYqFis5" TargetMode="External"/><Relationship Id="rId4404" Type="http://schemas.openxmlformats.org/officeDocument/2006/relationships/hyperlink" Target="https://drive.google.com/open?id=1s8vcdKNqphncgdhibzSvR8IQDT5P0p3w" TargetMode="External"/><Relationship Id="rId1379" Type="http://schemas.openxmlformats.org/officeDocument/2006/relationships/hyperlink" Target="https://drive.google.com/open?id=1k6fzUHwDqyfYxeneI3GiQzYST8-TRZ00" TargetMode="External"/><Relationship Id="rId4403" Type="http://schemas.openxmlformats.org/officeDocument/2006/relationships/hyperlink" Target="https://drive.google.com/drive/folders/1nz3g4_XL75DEjkFHmALLOXdqR_L82qBr?usp=sharing" TargetMode="External"/><Relationship Id="rId4406" Type="http://schemas.openxmlformats.org/officeDocument/2006/relationships/hyperlink" Target="https://drive.google.com/open?id=1rqDLuPOiqHS_-NUQO3O4tZlGO4GHVVaN" TargetMode="External"/><Relationship Id="rId4405" Type="http://schemas.openxmlformats.org/officeDocument/2006/relationships/hyperlink" Target="https://drive.google.com/open?id=1aJRNCJ7u4RxsptaDpYaDsPP_dVSfeNr8" TargetMode="External"/><Relationship Id="rId4408" Type="http://schemas.openxmlformats.org/officeDocument/2006/relationships/hyperlink" Target="https://drive.google.com/open?id=1GfqGIgkt1ACAJNwgYbfe5yH2LKLUKmLd" TargetMode="External"/><Relationship Id="rId4407" Type="http://schemas.openxmlformats.org/officeDocument/2006/relationships/hyperlink" Target="https://drive.google.com/open?id=1L4QVKjX6LKJ9vvdRNKFWsy_ZeNJeQjIf" TargetMode="External"/><Relationship Id="rId4409" Type="http://schemas.openxmlformats.org/officeDocument/2006/relationships/hyperlink" Target="https://drive.google.com/open?id=1GDY-kmUPso9iId5sbhZP4x2tDsgEIHZL" TargetMode="External"/><Relationship Id="rId789" Type="http://schemas.openxmlformats.org/officeDocument/2006/relationships/hyperlink" Target="https://drive.google.com/open?id=1coYh4oFo6iL6piaMaJPm5VRwCwvd5jiF" TargetMode="External"/><Relationship Id="rId788" Type="http://schemas.openxmlformats.org/officeDocument/2006/relationships/hyperlink" Target="https://preskilet.com/watch?v=62a39600a6956a0004600975" TargetMode="External"/><Relationship Id="rId787" Type="http://schemas.openxmlformats.org/officeDocument/2006/relationships/hyperlink" Target="https://www.linkedin.com/in/vaishnavi-jadhav-31a7911aa" TargetMode="External"/><Relationship Id="rId786" Type="http://schemas.openxmlformats.org/officeDocument/2006/relationships/hyperlink" Target="https://drive.google.com/open?id=1w6mFhj5TsBvnsI1NzJbZmX1leD4juVHp" TargetMode="External"/><Relationship Id="rId781" Type="http://schemas.openxmlformats.org/officeDocument/2006/relationships/hyperlink" Target="https://drive.google.com/open?id=1p14LmdNQcmfc1T1vZCsOu4rkhEbauQcR" TargetMode="External"/><Relationship Id="rId1370" Type="http://schemas.openxmlformats.org/officeDocument/2006/relationships/hyperlink" Target="https://drive.google.com/open?id=1_mNCtfh2XIAJ1oV4cBp3yfXNX1i1C0Pq" TargetMode="External"/><Relationship Id="rId780" Type="http://schemas.openxmlformats.org/officeDocument/2006/relationships/hyperlink" Target="https://drive.google.com/open?id=1MCBQ_LIRtPJlLpz-LqzIeMuepSLtmXjN" TargetMode="External"/><Relationship Id="rId1371" Type="http://schemas.openxmlformats.org/officeDocument/2006/relationships/hyperlink" Target="https://drive.google.com/open?id=1vnlEcmSl1eAbOcXZTs22khjt9ONTYGdn" TargetMode="External"/><Relationship Id="rId1372" Type="http://schemas.openxmlformats.org/officeDocument/2006/relationships/hyperlink" Target="https://drive.google.com/open?id=1xYB6BBTfT-ZnAWta3L6anWYguYCtCX7d" TargetMode="External"/><Relationship Id="rId1373" Type="http://schemas.openxmlformats.org/officeDocument/2006/relationships/hyperlink" Target="https://drive.google.com/open?id=1uOgCanRMa22FhvcszbnpI0cjsfcvMmP0" TargetMode="External"/><Relationship Id="rId785" Type="http://schemas.openxmlformats.org/officeDocument/2006/relationships/hyperlink" Target="https://drive.google.com/open?id=15jgJaJq-IFQysvjXy-Iu7Nk2AgoMrpkN" TargetMode="External"/><Relationship Id="rId1374" Type="http://schemas.openxmlformats.org/officeDocument/2006/relationships/hyperlink" Target="https://www.linkedin.com/in/pratham-madhani-4a05091b8/" TargetMode="External"/><Relationship Id="rId4400" Type="http://schemas.openxmlformats.org/officeDocument/2006/relationships/hyperlink" Target="https://drive.google.com/open?id=1VftSjqqu2rdLymLNEvCuJ9MeI7eT0ASS" TargetMode="External"/><Relationship Id="rId784" Type="http://schemas.openxmlformats.org/officeDocument/2006/relationships/hyperlink" Target="https://drive.google.com/open?id=1kP1KHz2mxgguRKwXzsNi-6mnIAmSsK0p" TargetMode="External"/><Relationship Id="rId1375" Type="http://schemas.openxmlformats.org/officeDocument/2006/relationships/hyperlink" Target="https://preskilet.com/watch?v=62b5f718af4f2700045ce0bd" TargetMode="External"/><Relationship Id="rId783" Type="http://schemas.openxmlformats.org/officeDocument/2006/relationships/hyperlink" Target="https://drive.google.com/open?id=1XD1d_vMMlTHdCUOuciaivoNGT5eVlIN9" TargetMode="External"/><Relationship Id="rId1376" Type="http://schemas.openxmlformats.org/officeDocument/2006/relationships/hyperlink" Target="https://drive.google.com/open?id=1XcJcPLm3LIKM_-h1mf-6IGTccB-SJxd1" TargetMode="External"/><Relationship Id="rId4402" Type="http://schemas.openxmlformats.org/officeDocument/2006/relationships/hyperlink" Target="https://www.linkedin.com/in/parish-wankhede-1097521b1" TargetMode="External"/><Relationship Id="rId782" Type="http://schemas.openxmlformats.org/officeDocument/2006/relationships/hyperlink" Target="https://drive.google.com/open?id=12A865TokcshXe-bWykqI3b808_r-S85m" TargetMode="External"/><Relationship Id="rId1377" Type="http://schemas.openxmlformats.org/officeDocument/2006/relationships/hyperlink" Target="https://drive.google.com/open?id=1J2rdnUBjcFEZwJm6NyXAnRnW_vycI6Zg" TargetMode="External"/><Relationship Id="rId4401" Type="http://schemas.openxmlformats.org/officeDocument/2006/relationships/hyperlink" Target="https://drive.google.com/open?id=1zSflCnMoTJMWp5qEmiDMWh8yDG4dka0b" TargetMode="External"/><Relationship Id="rId1367" Type="http://schemas.openxmlformats.org/officeDocument/2006/relationships/hyperlink" Target="https://drive.google.com/open?id=1myA2hJxFcCKeIm_wX58J4PayEo6q2uAJ" TargetMode="External"/><Relationship Id="rId2698" Type="http://schemas.openxmlformats.org/officeDocument/2006/relationships/hyperlink" Target="https://drive.google.com/open?id=17jmej_zd2VAYNyDdM-iFbajqgbiQ_mpB" TargetMode="External"/><Relationship Id="rId1368" Type="http://schemas.openxmlformats.org/officeDocument/2006/relationships/hyperlink" Target="https://preskilet.com/watch?v=62a3470ca6956a00045ffd87" TargetMode="External"/><Relationship Id="rId2699" Type="http://schemas.openxmlformats.org/officeDocument/2006/relationships/hyperlink" Target="https://drive.google.com/open?id=1UJxwtPOJgkaflqJLDZCY7ueV2ShTir5b" TargetMode="External"/><Relationship Id="rId1369" Type="http://schemas.openxmlformats.org/officeDocument/2006/relationships/hyperlink" Target="https://drive.google.com/open?id=1TWE3B0YjmfqdTttMELvUJ1ztZKIclAIm" TargetMode="External"/><Relationship Id="rId778" Type="http://schemas.openxmlformats.org/officeDocument/2006/relationships/hyperlink" Target="https://preskilet.com/watch?v=62977a095545ea0004a92727" TargetMode="External"/><Relationship Id="rId777" Type="http://schemas.openxmlformats.org/officeDocument/2006/relationships/hyperlink" Target="http://www.linkedin.com/in/tanisha-nazare" TargetMode="External"/><Relationship Id="rId776" Type="http://schemas.openxmlformats.org/officeDocument/2006/relationships/hyperlink" Target="https://drive.google.com/open?id=1LJ5FzHPQ0K8iM6Pe899I4KCvXOKhfrhK" TargetMode="External"/><Relationship Id="rId775" Type="http://schemas.openxmlformats.org/officeDocument/2006/relationships/hyperlink" Target="https://drive.google.com/open?id=1p14kZ8Z4_ElhBQ1TOUdOYpfbDBSG8dvh" TargetMode="External"/><Relationship Id="rId779" Type="http://schemas.openxmlformats.org/officeDocument/2006/relationships/hyperlink" Target="https://drive.google.com/open?id=1Iuqzk1M4DAxU0PYZFiTaNrrfY1VrNR_a" TargetMode="External"/><Relationship Id="rId770" Type="http://schemas.openxmlformats.org/officeDocument/2006/relationships/hyperlink" Target="https://preskilet.com/watch?v=62b4456e30b28000045231c4" TargetMode="External"/><Relationship Id="rId2690" Type="http://schemas.openxmlformats.org/officeDocument/2006/relationships/hyperlink" Target="https://drive.google.com/open?id=1YcccnjrjEQu_PAuqQZS7SnPEm9EfoLUn" TargetMode="External"/><Relationship Id="rId1360" Type="http://schemas.openxmlformats.org/officeDocument/2006/relationships/hyperlink" Target="http://www.linkedin.com/in/kalp-chobisa-63267a1ab" TargetMode="External"/><Relationship Id="rId2691" Type="http://schemas.openxmlformats.org/officeDocument/2006/relationships/hyperlink" Target="https://drive.google.com/open?id=1MPv3nP9tLi14yCRRAlD2yJfpdrAVEe20" TargetMode="External"/><Relationship Id="rId1361" Type="http://schemas.openxmlformats.org/officeDocument/2006/relationships/hyperlink" Target="https://preskilet.com/watch?v=6294f2dfc30eeb0004ba3f21" TargetMode="External"/><Relationship Id="rId2692" Type="http://schemas.openxmlformats.org/officeDocument/2006/relationships/hyperlink" Target="https://drive.google.com/open?id=1a2FUtQBgzYgbdnZ__1VZVZ3Bjn7qhWsB" TargetMode="External"/><Relationship Id="rId1362" Type="http://schemas.openxmlformats.org/officeDocument/2006/relationships/hyperlink" Target="https://drive.google.com/open?id=1czXDg2qm6Tl7EtMyO_uPWluf0jgM-d6g" TargetMode="External"/><Relationship Id="rId2693" Type="http://schemas.openxmlformats.org/officeDocument/2006/relationships/hyperlink" Target="https://drive.google.com/open?id=1KJw9PyTAu0sfaWuaCRBMmuIqz_o4rncB" TargetMode="External"/><Relationship Id="rId774" Type="http://schemas.openxmlformats.org/officeDocument/2006/relationships/hyperlink" Target="https://drive.google.com/open?id=18ZnT6HVG-cbRNxRuhcx9J2LwrjDziNGH" TargetMode="External"/><Relationship Id="rId1363" Type="http://schemas.openxmlformats.org/officeDocument/2006/relationships/hyperlink" Target="https://drive.google.com/open?id=1siBFtzzCZLKzlOXl12OQCUnkHIIiRo10" TargetMode="External"/><Relationship Id="rId2694" Type="http://schemas.openxmlformats.org/officeDocument/2006/relationships/hyperlink" Target="https://drive.google.com/open?id=1kjx7E0aRWxm2RtS9JAIMq0kgAGDircVT" TargetMode="External"/><Relationship Id="rId773" Type="http://schemas.openxmlformats.org/officeDocument/2006/relationships/hyperlink" Target="https://drive.google.com/open?id=16D8AbRHCh1-MU6JouEjwDbqAjCOj49vR" TargetMode="External"/><Relationship Id="rId1364" Type="http://schemas.openxmlformats.org/officeDocument/2006/relationships/hyperlink" Target="https://drive.google.com/open?id=1WflT6-3wIvfP9l9_EiG2RJ81KRekrcGr" TargetMode="External"/><Relationship Id="rId2695" Type="http://schemas.openxmlformats.org/officeDocument/2006/relationships/hyperlink" Target="https://www.linkedin.com/in/rameshwar-chavan-8a9b4023a" TargetMode="External"/><Relationship Id="rId772" Type="http://schemas.openxmlformats.org/officeDocument/2006/relationships/hyperlink" Target="https://drive.google.com/open?id=1FNTCMvxeI8zC8EV52YqGBukE0aiSTkcV" TargetMode="External"/><Relationship Id="rId1365" Type="http://schemas.openxmlformats.org/officeDocument/2006/relationships/hyperlink" Target="https://drive.google.com/open?id=1oZizQ9vI-M3CYT6kp0ZAXpaNba6Czb2l" TargetMode="External"/><Relationship Id="rId2696" Type="http://schemas.openxmlformats.org/officeDocument/2006/relationships/hyperlink" Target="https://preskilet.com/62a37b7ba6956a00046003f9" TargetMode="External"/><Relationship Id="rId771" Type="http://schemas.openxmlformats.org/officeDocument/2006/relationships/hyperlink" Target="https://drive.google.com/open?id=1UvGYrSlqziGZS93xqiCJYNbkE3aWZ29V" TargetMode="External"/><Relationship Id="rId1366" Type="http://schemas.openxmlformats.org/officeDocument/2006/relationships/hyperlink" Target="https://drive.google.com/open?id=1Uhel5DZAmztoXjWyCndRhMsKTUhNh3s3" TargetMode="External"/><Relationship Id="rId2697" Type="http://schemas.openxmlformats.org/officeDocument/2006/relationships/hyperlink" Target="https://drive.google.com/open?id=1fL13usSgHjaykCBvsKqG1rlFqzOrm-EZ" TargetMode="External"/><Relationship Id="rId4426" Type="http://schemas.openxmlformats.org/officeDocument/2006/relationships/hyperlink" Target="https://drive.google.com/open?id=1U0vZnBaqiO1KVmjyOHxv-NGo5X4jMct8" TargetMode="External"/><Relationship Id="rId4425" Type="http://schemas.openxmlformats.org/officeDocument/2006/relationships/hyperlink" Target="https://drive.google.com/open?id=1EiTp3x-rX26oypY6ZSDsva4kbc-Xyt9h" TargetMode="External"/><Relationship Id="rId4428" Type="http://schemas.openxmlformats.org/officeDocument/2006/relationships/hyperlink" Target="https://drive.google.com/open?id=1Ej-gcPDAoOr9AZq8nSvWRcyugIq7bqQY" TargetMode="External"/><Relationship Id="rId4427" Type="http://schemas.openxmlformats.org/officeDocument/2006/relationships/hyperlink" Target="https://drive.google.com/open?id=1YMh4z-a8jN_lolNwFH38q8zgBBPuUPPs" TargetMode="External"/><Relationship Id="rId4429" Type="http://schemas.openxmlformats.org/officeDocument/2006/relationships/hyperlink" Target="https://www.linkedin.com/in/sandip-dhumal-733636235" TargetMode="External"/><Relationship Id="rId1390" Type="http://schemas.openxmlformats.org/officeDocument/2006/relationships/hyperlink" Target="https://drive.google.com/open?id=1gdvDVPsvnBcVuBBsTmaV_xkml70ww5Pz" TargetMode="External"/><Relationship Id="rId1391" Type="http://schemas.openxmlformats.org/officeDocument/2006/relationships/hyperlink" Target="https://www.linkedin.com/in/vikas-deshmukh-46a462229/" TargetMode="External"/><Relationship Id="rId1392" Type="http://schemas.openxmlformats.org/officeDocument/2006/relationships/hyperlink" Target="https://preskilet.com/watch?v=62a33482a6956a00045ffb95" TargetMode="External"/><Relationship Id="rId1393" Type="http://schemas.openxmlformats.org/officeDocument/2006/relationships/hyperlink" Target="https://drive.google.com/open?id=19vUHdko2_jPBbaFlgL72ObmsfXxV0zeh" TargetMode="External"/><Relationship Id="rId1394" Type="http://schemas.openxmlformats.org/officeDocument/2006/relationships/hyperlink" Target="https://drive.google.com/open?id=1qqBfm61A2IFOGQUiFE-IAtB93W0Eo9Nx" TargetMode="External"/><Relationship Id="rId4420" Type="http://schemas.openxmlformats.org/officeDocument/2006/relationships/hyperlink" Target="https://drive.google.com/open?id=1UDWjNg1WS34L3BtCYTljOABhvZ_TLnM2" TargetMode="External"/><Relationship Id="rId1395" Type="http://schemas.openxmlformats.org/officeDocument/2006/relationships/hyperlink" Target="https://drive.google.com/open?id=1lnDCZuLAzok4PibXH3jC6MCSn0A_71rC" TargetMode="External"/><Relationship Id="rId1396" Type="http://schemas.openxmlformats.org/officeDocument/2006/relationships/hyperlink" Target="https://drive.google.com/open?id=1EJOTNjBv8nYRNRjUZVs8msZQK6mJJVaa" TargetMode="External"/><Relationship Id="rId4422" Type="http://schemas.openxmlformats.org/officeDocument/2006/relationships/hyperlink" Target="https://drive.google.com/drive/folders/1n9uErGXojgMiy3Ky4SRBLKqzAqdJy8dU" TargetMode="External"/><Relationship Id="rId1397" Type="http://schemas.openxmlformats.org/officeDocument/2006/relationships/hyperlink" Target="https://drive.google.com/open?id=1SUIdFsZqlpIxeFarA-Ty0_dGoflOvdE2" TargetMode="External"/><Relationship Id="rId4421" Type="http://schemas.openxmlformats.org/officeDocument/2006/relationships/hyperlink" Target="https://www.linkedin.com/in/pooja-giri-b3ba55219" TargetMode="External"/><Relationship Id="rId1398" Type="http://schemas.openxmlformats.org/officeDocument/2006/relationships/hyperlink" Target="https://drive.google.com/open?id=1Ch2VZz03jhotdV8cxwiNlXzDMIUHMGDT" TargetMode="External"/><Relationship Id="rId4424" Type="http://schemas.openxmlformats.org/officeDocument/2006/relationships/hyperlink" Target="https://drive.google.com/open?id=1AQUigvGbzO-Zo6nJOvATzZy8QwwkF54I" TargetMode="External"/><Relationship Id="rId1399" Type="http://schemas.openxmlformats.org/officeDocument/2006/relationships/hyperlink" Target="https://drive.google.com/open?id=1y-4WIT1pqYr9jbEtNzAYgjP8315M-Q8A" TargetMode="External"/><Relationship Id="rId4423" Type="http://schemas.openxmlformats.org/officeDocument/2006/relationships/hyperlink" Target="https://drive.google.com/open?id=1bA3oO-c9OURFAWmc2Va3kAyx0mpftGSn" TargetMode="External"/><Relationship Id="rId1389" Type="http://schemas.openxmlformats.org/officeDocument/2006/relationships/hyperlink" Target="https://drive.google.com/open?id=1-BYf-OOvUY9GkvjPh6D4hEFQz5CU__Mc" TargetMode="External"/><Relationship Id="rId4415" Type="http://schemas.openxmlformats.org/officeDocument/2006/relationships/hyperlink" Target="https://drive.google.com/open?id=1yLIKPYSb9H49WSt0t4Gju3yV6I-0yuYr" TargetMode="External"/><Relationship Id="rId4414" Type="http://schemas.openxmlformats.org/officeDocument/2006/relationships/hyperlink" Target="https://preskilet.com/watch?v=62960108716ac10004981556" TargetMode="External"/><Relationship Id="rId4417" Type="http://schemas.openxmlformats.org/officeDocument/2006/relationships/hyperlink" Target="https://drive.google.com/open?id=1zPXHD8_c6Ic-4fwX4NvKjEuwd4Pqj8QP" TargetMode="External"/><Relationship Id="rId4416" Type="http://schemas.openxmlformats.org/officeDocument/2006/relationships/hyperlink" Target="https://drive.google.com/open?id=1oliAaxvh-bhVr2HGqxFNzdRoLVO-oM2E" TargetMode="External"/><Relationship Id="rId4419" Type="http://schemas.openxmlformats.org/officeDocument/2006/relationships/hyperlink" Target="https://drive.google.com/open?id=1my3GNB1AKhLmTT6u6nokETu_Q-UZ3Qai" TargetMode="External"/><Relationship Id="rId4418" Type="http://schemas.openxmlformats.org/officeDocument/2006/relationships/hyperlink" Target="https://drive.google.com/open?id=15V79N0Qt6fOs8RbHXCcgkoZtdV4zjaCr" TargetMode="External"/><Relationship Id="rId799" Type="http://schemas.openxmlformats.org/officeDocument/2006/relationships/hyperlink" Target="https://drive.google.com/open?id=1giY788fHWpXlfjjGN9EjD5cY9_HvSAh7" TargetMode="External"/><Relationship Id="rId798" Type="http://schemas.openxmlformats.org/officeDocument/2006/relationships/hyperlink" Target="https://preskilet.com/watch?v=62bd681b9535010004fd254c" TargetMode="External"/><Relationship Id="rId797" Type="http://schemas.openxmlformats.org/officeDocument/2006/relationships/hyperlink" Target="https://www.linkedin.com/in/vaibhav-patil-04756a213/" TargetMode="External"/><Relationship Id="rId1380" Type="http://schemas.openxmlformats.org/officeDocument/2006/relationships/hyperlink" Target="https://drive.google.com/open?id=1GbhTu1hNmAuL0drRZb0qXSyVMV_eOnJo" TargetMode="External"/><Relationship Id="rId792" Type="http://schemas.openxmlformats.org/officeDocument/2006/relationships/hyperlink" Target="https://drive.google.com/open?id=13DZ4QiDD7YGq0g6Vq79GOcb31BvIo67V" TargetMode="External"/><Relationship Id="rId1381" Type="http://schemas.openxmlformats.org/officeDocument/2006/relationships/hyperlink" Target="https://drive.google.com/open?id=10TyEHaIM5tOiXN7oNpgMDb51qKVLlpBk" TargetMode="External"/><Relationship Id="rId791" Type="http://schemas.openxmlformats.org/officeDocument/2006/relationships/hyperlink" Target="https://drive.google.com/open?id=1LRmNojzl8QEMqIQsh0OfMwS3X0KEr_vv" TargetMode="External"/><Relationship Id="rId1382" Type="http://schemas.openxmlformats.org/officeDocument/2006/relationships/hyperlink" Target="https://drive.google.com/open?id=1aIVZy_HfMdUV5EpNv0fbURVEseh2g7sk" TargetMode="External"/><Relationship Id="rId790" Type="http://schemas.openxmlformats.org/officeDocument/2006/relationships/hyperlink" Target="https://drive.google.com/open?id=1HN0Ft9BefDjcsySQUuu5sn3F00PWX72B" TargetMode="External"/><Relationship Id="rId1383" Type="http://schemas.openxmlformats.org/officeDocument/2006/relationships/hyperlink" Target="https://www.linkedin.com/in/atul-kshirsagar-b73548151/" TargetMode="External"/><Relationship Id="rId1384" Type="http://schemas.openxmlformats.org/officeDocument/2006/relationships/hyperlink" Target="https://preskilet.com/watch?v=62a37a37a6956a0004600397" TargetMode="External"/><Relationship Id="rId796" Type="http://schemas.openxmlformats.org/officeDocument/2006/relationships/hyperlink" Target="https://drive.google.com/open?id=1gdEgat4mDl1vCHtD3P0GDK1Xzcd18DE_" TargetMode="External"/><Relationship Id="rId1385" Type="http://schemas.openxmlformats.org/officeDocument/2006/relationships/hyperlink" Target="https://drive.google.com/open?id=1JWr-p4iV4sW-2kr8ADkZ9zvTWZ29dYAJ" TargetMode="External"/><Relationship Id="rId4411" Type="http://schemas.openxmlformats.org/officeDocument/2006/relationships/hyperlink" Target="https://drive.google.com/open?id=1U7vIsHKej03UdkbLH1Cxh_gVbc2f0ln7" TargetMode="External"/><Relationship Id="rId795" Type="http://schemas.openxmlformats.org/officeDocument/2006/relationships/hyperlink" Target="https://drive.google.com/open?id=1r3SMjHFLmA8pJxhXPmGQGPF-of2rxORK" TargetMode="External"/><Relationship Id="rId1386" Type="http://schemas.openxmlformats.org/officeDocument/2006/relationships/hyperlink" Target="https://drive.google.com/open?id=10KWV5gwAAbISVeVM-Dz-gljVrDRWZvL1" TargetMode="External"/><Relationship Id="rId4410" Type="http://schemas.openxmlformats.org/officeDocument/2006/relationships/hyperlink" Target="https://drive.google.com/open?id=1OO_Jg-58nI-buTxViRZe_uow2HB0AmOK" TargetMode="External"/><Relationship Id="rId794" Type="http://schemas.openxmlformats.org/officeDocument/2006/relationships/hyperlink" Target="https://drive.google.com/open?id=1lustKDN0nDPhIa_6lScFgbKXs1XwqJD6" TargetMode="External"/><Relationship Id="rId1387" Type="http://schemas.openxmlformats.org/officeDocument/2006/relationships/hyperlink" Target="https://drive.google.com/open?id=1UsUj_YvAKbu2G1zU1ynC8APi9SMr6U9C" TargetMode="External"/><Relationship Id="rId4413" Type="http://schemas.openxmlformats.org/officeDocument/2006/relationships/hyperlink" Target="http://www.linkedin.com/in/kunal-attarde" TargetMode="External"/><Relationship Id="rId793" Type="http://schemas.openxmlformats.org/officeDocument/2006/relationships/hyperlink" Target="https://drive.google.com/open?id=1Ps5HFHlPACff7Dy2TMs2Hyx7AIsNlFAW" TargetMode="External"/><Relationship Id="rId1388" Type="http://schemas.openxmlformats.org/officeDocument/2006/relationships/hyperlink" Target="https://drive.google.com/open?id=1b_nEtJXmTuLq4x29OSXDAvNe7HkRw5OM" TargetMode="External"/><Relationship Id="rId4412" Type="http://schemas.openxmlformats.org/officeDocument/2006/relationships/hyperlink" Target="https://drive.google.com/open?id=1Xn5bpMBplnAbGAOYpzrbOqWHAW5k6uv4" TargetMode="External"/><Relationship Id="rId3191" Type="http://schemas.openxmlformats.org/officeDocument/2006/relationships/hyperlink" Target="https://drive.google.com/open?id=1xeI7ghTQdO442GhWK6Z3WPnjakwCOq-a" TargetMode="External"/><Relationship Id="rId3190" Type="http://schemas.openxmlformats.org/officeDocument/2006/relationships/hyperlink" Target="https://drive.google.com/drive/folders/1Ck3RMVuC-oljqvmjRGG8clahFCGTN3mw?usp=sharing" TargetMode="External"/><Relationship Id="rId3193" Type="http://schemas.openxmlformats.org/officeDocument/2006/relationships/hyperlink" Target="https://drive.google.com/open?id=1iwjej4NTTgfqDDay3tDiGY5IU1Y8toFf" TargetMode="External"/><Relationship Id="rId3192" Type="http://schemas.openxmlformats.org/officeDocument/2006/relationships/hyperlink" Target="https://drive.google.com/open?id=1GcmUx74ClDwXLCoY2VQhmAp80ebR6hql" TargetMode="External"/><Relationship Id="rId3195" Type="http://schemas.openxmlformats.org/officeDocument/2006/relationships/hyperlink" Target="https://drive.google.com/open?id=13rGrO47oorSeG6Siumo1M9JNqBCMesb7" TargetMode="External"/><Relationship Id="rId3194" Type="http://schemas.openxmlformats.org/officeDocument/2006/relationships/hyperlink" Target="https://drive.google.com/open?id=1hOj2XtUe3F3L5fJ1ttK4mjZkr1OsEUEU" TargetMode="External"/><Relationship Id="rId3197" Type="http://schemas.openxmlformats.org/officeDocument/2006/relationships/hyperlink" Target="https://www.linkedin.com/in/pranil-ghatage-299882214/" TargetMode="External"/><Relationship Id="rId3196" Type="http://schemas.openxmlformats.org/officeDocument/2006/relationships/hyperlink" Target="https://drive.google.com/open?id=16dmyvNl24YzTlwi1h0Q79QPU-sUV1IOi" TargetMode="External"/><Relationship Id="rId3199" Type="http://schemas.openxmlformats.org/officeDocument/2006/relationships/hyperlink" Target="https://drive.google.com/open?id=1F1WGETKrz097QWrOzrPy_ydhsG3yNJJ2" TargetMode="External"/><Relationship Id="rId3198" Type="http://schemas.openxmlformats.org/officeDocument/2006/relationships/hyperlink" Target="https://preskilet.com/watch?v=62a32b60a6956a00045ffaae" TargetMode="External"/><Relationship Id="rId3180" Type="http://schemas.openxmlformats.org/officeDocument/2006/relationships/hyperlink" Target="http://www.linkedin.com/in/sakshi-kolhe-" TargetMode="External"/><Relationship Id="rId3182" Type="http://schemas.openxmlformats.org/officeDocument/2006/relationships/hyperlink" Target="https://drive.google.com/open?id=1kVwfslEEBltW5eiZ46zCQIe1eurBpaP3" TargetMode="External"/><Relationship Id="rId3181" Type="http://schemas.openxmlformats.org/officeDocument/2006/relationships/hyperlink" Target="https://preskilet.com/watch?v=62bf3cf36fcd0b00049647d0" TargetMode="External"/><Relationship Id="rId3184" Type="http://schemas.openxmlformats.org/officeDocument/2006/relationships/hyperlink" Target="https://drive.google.com/open?id=1-EnmqN19iMDumI0R8oIoG2380b47_pu1" TargetMode="External"/><Relationship Id="rId3183" Type="http://schemas.openxmlformats.org/officeDocument/2006/relationships/hyperlink" Target="https://drive.google.com/open?id=162293fl_pZMbIE_LgOf0T9ZF5-AG-LWN" TargetMode="External"/><Relationship Id="rId3186" Type="http://schemas.openxmlformats.org/officeDocument/2006/relationships/hyperlink" Target="https://drive.google.com/open?id=1fsDfSr2PCrC4aSu9_vuz4pnUrilpD2Ux" TargetMode="External"/><Relationship Id="rId3185" Type="http://schemas.openxmlformats.org/officeDocument/2006/relationships/hyperlink" Target="https://drive.google.com/open?id=14jMBx2a4iT_ruOTyOvy4u625TbmiXgjU" TargetMode="External"/><Relationship Id="rId3188" Type="http://schemas.openxmlformats.org/officeDocument/2006/relationships/hyperlink" Target="https://drive.google.com/open?id=1klZn1l73MnOBU8tIeGyNJ4hFgBOppqlU" TargetMode="External"/><Relationship Id="rId3187" Type="http://schemas.openxmlformats.org/officeDocument/2006/relationships/hyperlink" Target="https://drive.google.com/open?id=1JF9zT-DYzWZdxego0QurIrzaIzy7QW0g" TargetMode="External"/><Relationship Id="rId3189" Type="http://schemas.openxmlformats.org/officeDocument/2006/relationships/hyperlink" Target="https://www.linkedin.com/in/abhijeet--gandhi/" TargetMode="External"/><Relationship Id="rId4480" Type="http://schemas.openxmlformats.org/officeDocument/2006/relationships/hyperlink" Target="http://www.linkedin.com/in/yash-toshniwal-0869a31a3" TargetMode="External"/><Relationship Id="rId3151" Type="http://schemas.openxmlformats.org/officeDocument/2006/relationships/hyperlink" Target="https://drive.google.com/open?id=1zM4KMUfssUfhvlggkgLRYJ4pDo65xaox" TargetMode="External"/><Relationship Id="rId4482" Type="http://schemas.openxmlformats.org/officeDocument/2006/relationships/hyperlink" Target="https://drive.google.com/open?id=1LtlYxf9G3VTv1yAXDDdts81CgsSDQQPV" TargetMode="External"/><Relationship Id="rId3150" Type="http://schemas.openxmlformats.org/officeDocument/2006/relationships/hyperlink" Target="https://drive.google.com/open?id=19VyNaR9E6Ogq5ATG7Rgqqx9CiuDKwwKf" TargetMode="External"/><Relationship Id="rId4481" Type="http://schemas.openxmlformats.org/officeDocument/2006/relationships/hyperlink" Target="https://preskilet.com/watch?v=62b42a9930b28000045230de" TargetMode="External"/><Relationship Id="rId3153" Type="http://schemas.openxmlformats.org/officeDocument/2006/relationships/hyperlink" Target="https://preskilet.com/watch?v=62a215c3fed70c00042b6840" TargetMode="External"/><Relationship Id="rId4484" Type="http://schemas.openxmlformats.org/officeDocument/2006/relationships/hyperlink" Target="https://drive.google.com/open?id=1d9NmXPC1WP-fCzZBBJhUg4EH-bOk0ArG" TargetMode="External"/><Relationship Id="rId3152" Type="http://schemas.openxmlformats.org/officeDocument/2006/relationships/hyperlink" Target="http://www.linkedin.com/in/atharvajoshi10" TargetMode="External"/><Relationship Id="rId4483" Type="http://schemas.openxmlformats.org/officeDocument/2006/relationships/hyperlink" Target="https://drive.google.com/open?id=1ywNSZG8ivVo-hcer_CdI39DHbV_DHIRR" TargetMode="External"/><Relationship Id="rId3155" Type="http://schemas.openxmlformats.org/officeDocument/2006/relationships/hyperlink" Target="https://drive.google.com/open?id=1FK8yk76_4JaLGHffuzg4Vx7E2TeYR05i" TargetMode="External"/><Relationship Id="rId4486" Type="http://schemas.openxmlformats.org/officeDocument/2006/relationships/hyperlink" Target="https://drive.google.com/open?id=1oTLpvSlOZSA7YwP8vf_603QbY1kPB9Wp" TargetMode="External"/><Relationship Id="rId3154" Type="http://schemas.openxmlformats.org/officeDocument/2006/relationships/hyperlink" Target="https://drive.google.com/open?id=1Wx7IzZO4Z18Ovmsz8e0xs-DE5YCGxzZ0" TargetMode="External"/><Relationship Id="rId4485" Type="http://schemas.openxmlformats.org/officeDocument/2006/relationships/hyperlink" Target="https://drive.google.com/open?id=1HyDr-jffzAFs1pqJNjU_YkIZ2naMy1m1" TargetMode="External"/><Relationship Id="rId3157" Type="http://schemas.openxmlformats.org/officeDocument/2006/relationships/hyperlink" Target="https://drive.google.com/open?id=1DZ3qi-Q08KeGAIjR9qfLU7LrQypd8Uq0" TargetMode="External"/><Relationship Id="rId4488" Type="http://schemas.openxmlformats.org/officeDocument/2006/relationships/hyperlink" Target="https://drive.google.com/open?id=1xGHTjGnk0leUAir4F09KY9NPUkPAjeJ2" TargetMode="External"/><Relationship Id="rId3156" Type="http://schemas.openxmlformats.org/officeDocument/2006/relationships/hyperlink" Target="https://drive.google.com/open?id=1iQ2jLGLu39ou2000a6H8CghSZzcHhV4b" TargetMode="External"/><Relationship Id="rId4487" Type="http://schemas.openxmlformats.org/officeDocument/2006/relationships/hyperlink" Target="http://novideo.com" TargetMode="External"/><Relationship Id="rId3159" Type="http://schemas.openxmlformats.org/officeDocument/2006/relationships/hyperlink" Target="https://drive.google.com/open?id=1aTrtdk9nl1sRWdTHq3dATzdE3XK2Rsp_" TargetMode="External"/><Relationship Id="rId3158" Type="http://schemas.openxmlformats.org/officeDocument/2006/relationships/hyperlink" Target="https://drive.google.com/open?id=16QNLMhP34i8tM3nn9QviGsDhcAamNLJZ" TargetMode="External"/><Relationship Id="rId4489" Type="http://schemas.openxmlformats.org/officeDocument/2006/relationships/hyperlink" Target="https://drive.google.com/open?id=1sZcddaw03VIKSaetuKcaKwfidxNk2J_u" TargetMode="External"/><Relationship Id="rId3149" Type="http://schemas.openxmlformats.org/officeDocument/2006/relationships/hyperlink" Target="https://drive.google.com/open?id=1oBU1GSNZ-d1Thp2Fqr-3oRkEAmZ98ers" TargetMode="External"/><Relationship Id="rId3140" Type="http://schemas.openxmlformats.org/officeDocument/2006/relationships/hyperlink" Target="https://drive.google.com/open?id=1HU8alsrCXlTotI52RNnVFy8M4B3t6lqr" TargetMode="External"/><Relationship Id="rId4471" Type="http://schemas.openxmlformats.org/officeDocument/2006/relationships/hyperlink" Target="https://drive.google.com/open?id=1OdUwz3HdWhiT73ovh2kz6SC8PlofyRvK" TargetMode="External"/><Relationship Id="rId4470" Type="http://schemas.openxmlformats.org/officeDocument/2006/relationships/hyperlink" Target="https://drive.google.com/open?id=1LG34t4mQSr3rDy6pDacX89KxcA-AQ4sV" TargetMode="External"/><Relationship Id="rId3142" Type="http://schemas.openxmlformats.org/officeDocument/2006/relationships/hyperlink" Target="https://drive.google.com/open?id=1pzwLRH4kpAJSlvE58a5WoDsFlA71Y3oY" TargetMode="External"/><Relationship Id="rId4473" Type="http://schemas.openxmlformats.org/officeDocument/2006/relationships/hyperlink" Target="https://www.linkedin.com/in/kakshank-jumade-0ba847241" TargetMode="External"/><Relationship Id="rId3141" Type="http://schemas.openxmlformats.org/officeDocument/2006/relationships/hyperlink" Target="https://drive.google.com/open?id=15ZuDh8mpiaPzSGW4oKJfiDLKGhx7FkiL" TargetMode="External"/><Relationship Id="rId4472" Type="http://schemas.openxmlformats.org/officeDocument/2006/relationships/hyperlink" Target="https://drive.google.com/open?id=1Pv_DSnXshBtdI1AndaPciw8Ogg27vBRZ" TargetMode="External"/><Relationship Id="rId3144" Type="http://schemas.openxmlformats.org/officeDocument/2006/relationships/hyperlink" Target="https://www.linkedin.com/in/prajjo/" TargetMode="External"/><Relationship Id="rId4475" Type="http://schemas.openxmlformats.org/officeDocument/2006/relationships/hyperlink" Target="https://drive.google.com/open?id=1WniaX4VWQeUNeDGBI45oQF6AIRH18FGK" TargetMode="External"/><Relationship Id="rId3143" Type="http://schemas.openxmlformats.org/officeDocument/2006/relationships/hyperlink" Target="https://drive.google.com/open?id=1HY-9vecWiJJfrWHMJS3IKFOW6UEXH-8J" TargetMode="External"/><Relationship Id="rId4474" Type="http://schemas.openxmlformats.org/officeDocument/2006/relationships/hyperlink" Target="https://preskilet.com/watch?v=62b54cbcaf4f2700045cdb60" TargetMode="External"/><Relationship Id="rId3146" Type="http://schemas.openxmlformats.org/officeDocument/2006/relationships/hyperlink" Target="https://drive.google.com/open?id=1Jz5VdVRPgRGZ8I7aYrF0hFy08dQhzO77" TargetMode="External"/><Relationship Id="rId4477" Type="http://schemas.openxmlformats.org/officeDocument/2006/relationships/hyperlink" Target="https://drive.google.com/open?id=1689nnZscH0XH6jKdSIUYM8aAxOiocGFr" TargetMode="External"/><Relationship Id="rId3145" Type="http://schemas.openxmlformats.org/officeDocument/2006/relationships/hyperlink" Target="https://preskilet.com/watch?v=62b3027acd590700045fb4ec" TargetMode="External"/><Relationship Id="rId4476" Type="http://schemas.openxmlformats.org/officeDocument/2006/relationships/hyperlink" Target="https://drive.google.com/open?id=16HOTnoIEsVkuprG2dqKZVqlF8zE0_9n2" TargetMode="External"/><Relationship Id="rId3148" Type="http://schemas.openxmlformats.org/officeDocument/2006/relationships/hyperlink" Target="https://drive.google.com/open?id=1OU7JjPHOBE6lqxCe80RingEKIN9svD4J" TargetMode="External"/><Relationship Id="rId4479" Type="http://schemas.openxmlformats.org/officeDocument/2006/relationships/hyperlink" Target="https://drive.google.com/open?id=1_-o1kXHHiAFwr5xR_NWUjfpsqzvQE2ZF" TargetMode="External"/><Relationship Id="rId3147" Type="http://schemas.openxmlformats.org/officeDocument/2006/relationships/hyperlink" Target="https://drive.google.com/open?id=1qiDI7Eu2rvIqrPQjq2s_OJg3_gUYv2TF" TargetMode="External"/><Relationship Id="rId4478" Type="http://schemas.openxmlformats.org/officeDocument/2006/relationships/hyperlink" Target="https://drive.google.com/open?id=14L-69VHrqx_d_02W9FuqKyFK9uEP1G71" TargetMode="External"/><Relationship Id="rId3171" Type="http://schemas.openxmlformats.org/officeDocument/2006/relationships/hyperlink" Target="https://preskilet.com/watch?v=62a39748a6956a0004600996" TargetMode="External"/><Relationship Id="rId3170" Type="http://schemas.openxmlformats.org/officeDocument/2006/relationships/hyperlink" Target="http://www.linkedin.com/in/harshada-gawade-ab82a6230" TargetMode="External"/><Relationship Id="rId3173" Type="http://schemas.openxmlformats.org/officeDocument/2006/relationships/hyperlink" Target="https://drive.google.com/open?id=1BFAWA4cwwg2T3bTq1ajO97JY-rsjL91n" TargetMode="External"/><Relationship Id="rId3172" Type="http://schemas.openxmlformats.org/officeDocument/2006/relationships/hyperlink" Target="https://drive.google.com/open?id=1K2JhOhq2Hfcff1xjhHrfofC9nQ7JVE0H" TargetMode="External"/><Relationship Id="rId3175" Type="http://schemas.openxmlformats.org/officeDocument/2006/relationships/hyperlink" Target="https://drive.google.com/open?id=1lrwQ-stbYGHPo9-dLwiiGKsLhWS9JUM2" TargetMode="External"/><Relationship Id="rId3174" Type="http://schemas.openxmlformats.org/officeDocument/2006/relationships/hyperlink" Target="https://drive.google.com/open?id=17_h8Xj3BgrOVvChdGs50SEJEjiBBmr_a" TargetMode="External"/><Relationship Id="rId3177" Type="http://schemas.openxmlformats.org/officeDocument/2006/relationships/hyperlink" Target="https://drive.google.com/open?id=1aSdM73Zv2-3mZSjTROa7erOOhQkYx6Oq" TargetMode="External"/><Relationship Id="rId3176" Type="http://schemas.openxmlformats.org/officeDocument/2006/relationships/hyperlink" Target="https://drive.google.com/open?id=1diQaWdBRx6saGaRxPfkkVPNPH-TDNxEa" TargetMode="External"/><Relationship Id="rId3179" Type="http://schemas.openxmlformats.org/officeDocument/2006/relationships/hyperlink" Target="https://drive.google.com/open?id=1a6u_r5otqRgUwBhn0yxFrgq1nHCaOFNA" TargetMode="External"/><Relationship Id="rId3178" Type="http://schemas.openxmlformats.org/officeDocument/2006/relationships/hyperlink" Target="https://drive.google.com/open?id=1lnhaOMUCPsmGyChFPYds6y8CY6VTpbwI" TargetMode="External"/><Relationship Id="rId3160" Type="http://schemas.openxmlformats.org/officeDocument/2006/relationships/hyperlink" Target="http://www.linkedin.com/in/mayuri-s-7a2857221" TargetMode="External"/><Relationship Id="rId4491" Type="http://schemas.openxmlformats.org/officeDocument/2006/relationships/hyperlink" Target="https://drive.google.com/drive/folders/1k4_2ySEpxp95VnC0ziyYhrRKcYTscMHp?usp=sharing" TargetMode="External"/><Relationship Id="rId4490" Type="http://schemas.openxmlformats.org/officeDocument/2006/relationships/hyperlink" Target="https://www.linkedin.com/in/shubham-mahajan-695737159/" TargetMode="External"/><Relationship Id="rId3162" Type="http://schemas.openxmlformats.org/officeDocument/2006/relationships/hyperlink" Target="https://drive.google.com/open?id=16G9jbRrNMDXcBGdX02QWTdfcLmT4VQwM" TargetMode="External"/><Relationship Id="rId4493" Type="http://schemas.openxmlformats.org/officeDocument/2006/relationships/hyperlink" Target="https://drive.google.com/open?id=1AbkptbBs-mg5kqH8VRc2MqbOGv-BkqIS" TargetMode="External"/><Relationship Id="rId3161" Type="http://schemas.openxmlformats.org/officeDocument/2006/relationships/hyperlink" Target="https://preskilet.com/watch?v=62a386eea6956a000460062e" TargetMode="External"/><Relationship Id="rId4492" Type="http://schemas.openxmlformats.org/officeDocument/2006/relationships/hyperlink" Target="https://drive.google.com/open?id=12W0VvJP3aB_myVD3GzcLTwejPD7WAi1d" TargetMode="External"/><Relationship Id="rId3164" Type="http://schemas.openxmlformats.org/officeDocument/2006/relationships/hyperlink" Target="https://drive.google.com/open?id=13i20SWrMWLgXgr_zzV-awWBM5-LWCRs6" TargetMode="External"/><Relationship Id="rId4495" Type="http://schemas.openxmlformats.org/officeDocument/2006/relationships/hyperlink" Target="https://www.linkedin.com/in/shradha-rathod-b30117241" TargetMode="External"/><Relationship Id="rId3163" Type="http://schemas.openxmlformats.org/officeDocument/2006/relationships/hyperlink" Target="https://drive.google.com/open?id=1SnJjP5usk2OBzKLiMI2RylI2lf8FVch6" TargetMode="External"/><Relationship Id="rId4494" Type="http://schemas.openxmlformats.org/officeDocument/2006/relationships/hyperlink" Target="https://drive.google.com/open?id=1YzRXiaSxv3Ii1tZdVp0zfDYTQDFNIJwJ" TargetMode="External"/><Relationship Id="rId3166" Type="http://schemas.openxmlformats.org/officeDocument/2006/relationships/hyperlink" Target="https://drive.google.com/open?id=1DZ-R22g9NE_4SrfZmAGhGF6OuCsciz0D" TargetMode="External"/><Relationship Id="rId4497" Type="http://schemas.openxmlformats.org/officeDocument/2006/relationships/hyperlink" Target="https://drive.google.com/open?id=1cZ0jSoE9NrzxIpCL5-xS4YyXRfsXETH5" TargetMode="External"/><Relationship Id="rId3165" Type="http://schemas.openxmlformats.org/officeDocument/2006/relationships/hyperlink" Target="https://drive.google.com/open?id=1EhEN6PsVGj08t1O75EmCxuh8Sk87s9VQ" TargetMode="External"/><Relationship Id="rId4496" Type="http://schemas.openxmlformats.org/officeDocument/2006/relationships/hyperlink" Target="https://preskilet.com/shradha.rathod@mitaoe.ac.in" TargetMode="External"/><Relationship Id="rId3168" Type="http://schemas.openxmlformats.org/officeDocument/2006/relationships/hyperlink" Target="https://drive.google.com/open?id=1Ao6Exj4McW0J_0Waco9n2GrYKgVlLt0p" TargetMode="External"/><Relationship Id="rId4499" Type="http://schemas.openxmlformats.org/officeDocument/2006/relationships/hyperlink" Target="https://drive.google.com/open?id=13-BieKKC6gM84pBaHpKcYsVX_Yo522Kn" TargetMode="External"/><Relationship Id="rId3167" Type="http://schemas.openxmlformats.org/officeDocument/2006/relationships/hyperlink" Target="https://drive.google.com/open?id=1FVgWtyZlonrgmdwMMedsf7Vv-GW_NBuy" TargetMode="External"/><Relationship Id="rId4498" Type="http://schemas.openxmlformats.org/officeDocument/2006/relationships/hyperlink" Target="https://drive.google.com/open?id=1p0r8loyUA__P_m0pFo-TeoVvD0voQJOP" TargetMode="External"/><Relationship Id="rId3169" Type="http://schemas.openxmlformats.org/officeDocument/2006/relationships/hyperlink" Target="https://drive.google.com/open?id=1m8jy7mcipoFq3V-pnJxbsYQfIvCdEpnV" TargetMode="External"/><Relationship Id="rId2700" Type="http://schemas.openxmlformats.org/officeDocument/2006/relationships/hyperlink" Target="https://drive.google.com/open?id=1mbMqkOxq_NZQCJAiwAkkLrgoZLXDfWFP" TargetMode="External"/><Relationship Id="rId2701" Type="http://schemas.openxmlformats.org/officeDocument/2006/relationships/hyperlink" Target="https://drive.google.com/open?id=1ThO561scDju27CY0eupe7N6zkk0YLKzB" TargetMode="External"/><Relationship Id="rId2702" Type="http://schemas.openxmlformats.org/officeDocument/2006/relationships/hyperlink" Target="https://drive.google.com/open?id=1RFhYRc1yIuHzhZPdBzQgeiyyvaOw5W5s" TargetMode="External"/><Relationship Id="rId2703" Type="http://schemas.openxmlformats.org/officeDocument/2006/relationships/hyperlink" Target="https://drive.google.com/open?id=1NJEPvGvkSWks4MrWSh0L3uN2zmSz8r6O" TargetMode="External"/><Relationship Id="rId2704" Type="http://schemas.openxmlformats.org/officeDocument/2006/relationships/hyperlink" Target="http://linkedin.com/in/samyak-zodape-20b880241" TargetMode="External"/><Relationship Id="rId2705" Type="http://schemas.openxmlformats.org/officeDocument/2006/relationships/hyperlink" Target="https://drive.google.com/open?id=1aNBs1Ov3uRDYG3CjePEtMZ2bawxBCjd_" TargetMode="External"/><Relationship Id="rId2706" Type="http://schemas.openxmlformats.org/officeDocument/2006/relationships/hyperlink" Target="https://drive.google.com/open?id=1OQ0uyZyuDLC33G6slb_0Ku_FoJ2VUc-E" TargetMode="External"/><Relationship Id="rId2707" Type="http://schemas.openxmlformats.org/officeDocument/2006/relationships/hyperlink" Target="https://drive.google.com/open?id=1XTwVHxUi7CBkh3IvfbX9vsIHY28Bf1Vz" TargetMode="External"/><Relationship Id="rId2708" Type="http://schemas.openxmlformats.org/officeDocument/2006/relationships/hyperlink" Target="https://drive.google.com/open?id=1z5WjeLisjZi2WBg6mZrzWufLNkowYU9C" TargetMode="External"/><Relationship Id="rId2709" Type="http://schemas.openxmlformats.org/officeDocument/2006/relationships/hyperlink" Target="https://drive.google.com/open?id=1EUbx6SXOVaBeG8R_GIdVQTXp1-JAd4kf" TargetMode="External"/><Relationship Id="rId2720" Type="http://schemas.openxmlformats.org/officeDocument/2006/relationships/hyperlink" Target="https://preskilet.com/watch?v=62bd7daf9535010004fd2607" TargetMode="External"/><Relationship Id="rId2721" Type="http://schemas.openxmlformats.org/officeDocument/2006/relationships/hyperlink" Target="https://drive.google.com/open?id=1Y2K2gtxBSN1MIcSAuf5ofbHlVZDZUQRh" TargetMode="External"/><Relationship Id="rId2722" Type="http://schemas.openxmlformats.org/officeDocument/2006/relationships/hyperlink" Target="https://drive.google.com/open?id=1ZG1Y0hQOT14XC4humiTbHRHypwQ1wEVM" TargetMode="External"/><Relationship Id="rId2723" Type="http://schemas.openxmlformats.org/officeDocument/2006/relationships/hyperlink" Target="https://drive.google.com/open?id=1cMmFkBVJW1_kQIqtzNinRh2L8k-3pOto" TargetMode="External"/><Relationship Id="rId2724" Type="http://schemas.openxmlformats.org/officeDocument/2006/relationships/hyperlink" Target="https://drive.google.com/open?id=1Mdoj6ZMaZ2po3jGD9eyTmKabW0Js7JL-" TargetMode="External"/><Relationship Id="rId2725" Type="http://schemas.openxmlformats.org/officeDocument/2006/relationships/hyperlink" Target="https://drive.google.com/open?id=1yVEq9ZpV8RrzMMPn8iqHsrJtXVbZngJd" TargetMode="External"/><Relationship Id="rId2726" Type="http://schemas.openxmlformats.org/officeDocument/2006/relationships/hyperlink" Target="https://drive.google.com/open?id=1pTN9MNKNgEcgc-EMaPQ8WfokvxUzS6G1" TargetMode="External"/><Relationship Id="rId2727" Type="http://schemas.openxmlformats.org/officeDocument/2006/relationships/hyperlink" Target="https://drive.google.com/open?id=1AKShLqIiK7YTUFUq_RI7B_aYKdA-5jk0" TargetMode="External"/><Relationship Id="rId2728" Type="http://schemas.openxmlformats.org/officeDocument/2006/relationships/hyperlink" Target="https://drive.google.com/open?id=1Qwg4fKiAd3J91GHc__2aR16cQ_aAsVpy" TargetMode="External"/><Relationship Id="rId2729" Type="http://schemas.openxmlformats.org/officeDocument/2006/relationships/hyperlink" Target="https://drive.google.com/open?id=1AuNJrNP9tQVBwRJOwmkFnKxnnuVnnMLa" TargetMode="External"/><Relationship Id="rId2710" Type="http://schemas.openxmlformats.org/officeDocument/2006/relationships/hyperlink" Target="https://www.linkedin.com/in/vanshika-sonekar-73b876241" TargetMode="External"/><Relationship Id="rId2711" Type="http://schemas.openxmlformats.org/officeDocument/2006/relationships/hyperlink" Target="https://preskilet.com/watch?v=62a38d56a6956a00046007e3" TargetMode="External"/><Relationship Id="rId2712" Type="http://schemas.openxmlformats.org/officeDocument/2006/relationships/hyperlink" Target="https://drive.google.com/open?id=15l3NnoO_xEnz3ZiuVhX5pP_BhcYffeK_" TargetMode="External"/><Relationship Id="rId2713" Type="http://schemas.openxmlformats.org/officeDocument/2006/relationships/hyperlink" Target="https://drive.google.com/open?id=1bvBMK9hY_zHoTPKjfgafFtB9cTuiCx8X" TargetMode="External"/><Relationship Id="rId2714" Type="http://schemas.openxmlformats.org/officeDocument/2006/relationships/hyperlink" Target="https://drive.google.com/open?id=1BRVaMIyWABxZbdompnvw4kbdWq0ppmEb" TargetMode="External"/><Relationship Id="rId2715" Type="http://schemas.openxmlformats.org/officeDocument/2006/relationships/hyperlink" Target="https://drive.google.com/open?id=1KVPkdfcirkSuYVjFi9Wdcov72zakfLok" TargetMode="External"/><Relationship Id="rId2716" Type="http://schemas.openxmlformats.org/officeDocument/2006/relationships/hyperlink" Target="https://drive.google.com/open?id=192pzljgZPNYoMpWRWdaVc8iq-qvNCK12" TargetMode="External"/><Relationship Id="rId2717" Type="http://schemas.openxmlformats.org/officeDocument/2006/relationships/hyperlink" Target="https://drive.google.com/open?id=1nCMqyZGtEl5f-2IB-OGq4lW1-7a_ds7z" TargetMode="External"/><Relationship Id="rId2718" Type="http://schemas.openxmlformats.org/officeDocument/2006/relationships/hyperlink" Target="https://drive.google.com/open?id=1dJA_IEy7t27rMwJzSQE2iWuLOifIm-JI" TargetMode="External"/><Relationship Id="rId2719" Type="http://schemas.openxmlformats.org/officeDocument/2006/relationships/hyperlink" Target="https://www.linkedin.com/in/ayush-jadhao-6aa319173" TargetMode="External"/><Relationship Id="rId1455" Type="http://schemas.openxmlformats.org/officeDocument/2006/relationships/hyperlink" Target="https://drive.google.com/open?id=1g0lTMk-xHUjL2bB2_H7u3xPl7p7xCHVm" TargetMode="External"/><Relationship Id="rId2786" Type="http://schemas.openxmlformats.org/officeDocument/2006/relationships/hyperlink" Target="https://drive.google.com/open?id=1bU65ZSInMH-xF0nY4TZ4c_-blEw0_XMq" TargetMode="External"/><Relationship Id="rId1456" Type="http://schemas.openxmlformats.org/officeDocument/2006/relationships/hyperlink" Target="https://drive.google.com/open?id=1fWNXHZHfm0lz5HnWIzlyebNUDWu0tRrD" TargetMode="External"/><Relationship Id="rId2787" Type="http://schemas.openxmlformats.org/officeDocument/2006/relationships/hyperlink" Target="https://drive.google.com/open?id=13Amy0uXnAPYnnR7euNdfKletoXmUOGnj" TargetMode="External"/><Relationship Id="rId1457" Type="http://schemas.openxmlformats.org/officeDocument/2006/relationships/hyperlink" Target="https://drive.google.com/open?id=1_nzFzRmr8B_0a6QK5zLsI1abTjNnCVq4" TargetMode="External"/><Relationship Id="rId2788" Type="http://schemas.openxmlformats.org/officeDocument/2006/relationships/hyperlink" Target="https://drive.google.com/open?id=18dR7tLPaJIOq73tVaBBfKT44AKjYjph2" TargetMode="External"/><Relationship Id="rId1458" Type="http://schemas.openxmlformats.org/officeDocument/2006/relationships/hyperlink" Target="https://drive.google.com/open?id=1LfJ8UURuewoFI8JejFnWKDDrpf86hXBp" TargetMode="External"/><Relationship Id="rId2789" Type="http://schemas.openxmlformats.org/officeDocument/2006/relationships/hyperlink" Target="https://drive.google.com/open?id=1sC17qiINS2ZxhcjWJ3ZvZn9Y420jUDdG" TargetMode="External"/><Relationship Id="rId1459" Type="http://schemas.openxmlformats.org/officeDocument/2006/relationships/hyperlink" Target="https://drive.google.com/open?id=18WQaeX_n_fFj7f4s38BrHF0wzLDUl34R" TargetMode="External"/><Relationship Id="rId629" Type="http://schemas.openxmlformats.org/officeDocument/2006/relationships/hyperlink" Target="https://preskilet.com/watch?v=62b478b730b28000045233d5" TargetMode="External"/><Relationship Id="rId624" Type="http://schemas.openxmlformats.org/officeDocument/2006/relationships/hyperlink" Target="https://drive.google.com/open?id=1GxbKMKMDUwEmZVF7DHH9YvwLWbjS8zP7" TargetMode="External"/><Relationship Id="rId623" Type="http://schemas.openxmlformats.org/officeDocument/2006/relationships/hyperlink" Target="https://preskilet.com/watch?v=62b2ff55cd590700045fb4be" TargetMode="External"/><Relationship Id="rId622" Type="http://schemas.openxmlformats.org/officeDocument/2006/relationships/hyperlink" Target="https://www.linkedin.com/in/rutuja-ghule-29084a241" TargetMode="External"/><Relationship Id="rId621" Type="http://schemas.openxmlformats.org/officeDocument/2006/relationships/hyperlink" Target="https://drive.google.com/open?id=1KhYO1Nshg_YqEYMT0g0V83GCqB5dN6-M" TargetMode="External"/><Relationship Id="rId628" Type="http://schemas.openxmlformats.org/officeDocument/2006/relationships/hyperlink" Target="https://www.linkedin.com/in/hyder-bhat-8557b520b" TargetMode="External"/><Relationship Id="rId627" Type="http://schemas.openxmlformats.org/officeDocument/2006/relationships/hyperlink" Target="https://drive.google.com/open?id=1SdWBFjILqCtR52a8ut9VZNO8yBCu-zHd" TargetMode="External"/><Relationship Id="rId626" Type="http://schemas.openxmlformats.org/officeDocument/2006/relationships/hyperlink" Target="https://drive.google.com/open?id=1nqQjyqZIV3hv3bF_2vcoLuwid_340qU6" TargetMode="External"/><Relationship Id="rId625" Type="http://schemas.openxmlformats.org/officeDocument/2006/relationships/hyperlink" Target="https://drive.google.com/open?id=1ZSZqaht8Fc-j5uQwUOydEt1ObEUfkA7S" TargetMode="External"/><Relationship Id="rId2780" Type="http://schemas.openxmlformats.org/officeDocument/2006/relationships/hyperlink" Target="https://drive.google.com/open?id=1s1GokcihHTh1T2YLIcOXKths4Kl6Y6ze" TargetMode="External"/><Relationship Id="rId1450" Type="http://schemas.openxmlformats.org/officeDocument/2006/relationships/hyperlink" Target="https://drive.google.com/open?id=1D-64bR2_LXjLat9TX7IEz9pVl85p_PpN" TargetMode="External"/><Relationship Id="rId2781" Type="http://schemas.openxmlformats.org/officeDocument/2006/relationships/hyperlink" Target="https://drive.google.com/open?id=1HQn_jRdbfItilpZCm7phAHJ2tV-9hg1d" TargetMode="External"/><Relationship Id="rId620" Type="http://schemas.openxmlformats.org/officeDocument/2006/relationships/hyperlink" Target="https://drive.google.com/open?id=1EiOI6qeYt9ljQL0AbvV5a-BCJb3w-YQK" TargetMode="External"/><Relationship Id="rId1451" Type="http://schemas.openxmlformats.org/officeDocument/2006/relationships/hyperlink" Target="https://www.linkedin.com/in/aaditya-barve-889073208/" TargetMode="External"/><Relationship Id="rId2782" Type="http://schemas.openxmlformats.org/officeDocument/2006/relationships/hyperlink" Target="https://drive.google.com/open?id=1BeyEgNkK_ZLqQOkEI90oBRzVcxykeftb" TargetMode="External"/><Relationship Id="rId1452" Type="http://schemas.openxmlformats.org/officeDocument/2006/relationships/hyperlink" Target="https://preskilet.com/watch?v=62b60abcaf4f2700045ce14f" TargetMode="External"/><Relationship Id="rId2783" Type="http://schemas.openxmlformats.org/officeDocument/2006/relationships/hyperlink" Target="https://drive.google.com/open?id=1kfcRWPsOLcUxJwsLsBMxJpNr8Y6RPIDn" TargetMode="External"/><Relationship Id="rId1453" Type="http://schemas.openxmlformats.org/officeDocument/2006/relationships/hyperlink" Target="https://drive.google.com/open?id=1NV_BjQ79KYJ-L5dERgHBzIKRiv5IkN08" TargetMode="External"/><Relationship Id="rId2784" Type="http://schemas.openxmlformats.org/officeDocument/2006/relationships/hyperlink" Target="http://www.linkedin.com/in/vaishnavi-divnale-b18491246" TargetMode="External"/><Relationship Id="rId1454" Type="http://schemas.openxmlformats.org/officeDocument/2006/relationships/hyperlink" Target="https://drive.google.com/open?id=1FNPzBco1-ovyIgE3pm-X7upE1BN17-Cy" TargetMode="External"/><Relationship Id="rId2785" Type="http://schemas.openxmlformats.org/officeDocument/2006/relationships/hyperlink" Target="https://preskilet.com/watch?v=62a38ce7a6956a00046007d7" TargetMode="External"/><Relationship Id="rId1444" Type="http://schemas.openxmlformats.org/officeDocument/2006/relationships/hyperlink" Target="https://drive.google.com/open?id=1QD6iVvfLcn_LY9Iq78jkWqwLw64dV6pC" TargetMode="External"/><Relationship Id="rId2775" Type="http://schemas.openxmlformats.org/officeDocument/2006/relationships/hyperlink" Target="https://drive.google.com/open?id=1qSB46CUG2jmeSDkS5Upg-Wxf7-KeQNkd" TargetMode="External"/><Relationship Id="rId1445" Type="http://schemas.openxmlformats.org/officeDocument/2006/relationships/hyperlink" Target="http://linkedin.com/in/shwetali-desai" TargetMode="External"/><Relationship Id="rId2776" Type="http://schemas.openxmlformats.org/officeDocument/2006/relationships/hyperlink" Target="https://www.linkedin.com/in/vishal-sule-280840231/" TargetMode="External"/><Relationship Id="rId1446" Type="http://schemas.openxmlformats.org/officeDocument/2006/relationships/hyperlink" Target="https://preskilet.com/watch?v=6296fb7d5545ea0004a922d0" TargetMode="External"/><Relationship Id="rId2777" Type="http://schemas.openxmlformats.org/officeDocument/2006/relationships/hyperlink" Target="https://drive.google.com/drive/folders/1ThNKWCq6lPKzdYXwiC9lcSTQzNHJ4oIJ?usp=sharing" TargetMode="External"/><Relationship Id="rId1447" Type="http://schemas.openxmlformats.org/officeDocument/2006/relationships/hyperlink" Target="https://drive.google.com/open?id=1JGjYcxrOg7tdLx_OjmHyiYhXEyCgZ7D2" TargetMode="External"/><Relationship Id="rId2778" Type="http://schemas.openxmlformats.org/officeDocument/2006/relationships/hyperlink" Target="https://drive.google.com/open?id=1kdfrmO8RcYLHR-Ksno0oujLA2HFfakGz" TargetMode="External"/><Relationship Id="rId1448" Type="http://schemas.openxmlformats.org/officeDocument/2006/relationships/hyperlink" Target="https://drive.google.com/open?id=1zA51bUNYdLb8R8ah0AYoYoTInoNENxRs" TargetMode="External"/><Relationship Id="rId2779" Type="http://schemas.openxmlformats.org/officeDocument/2006/relationships/hyperlink" Target="https://drive.google.com/open?id=1zaZ6AhxkaFGXqTHkEeTLhZJEaZ1g_yPN" TargetMode="External"/><Relationship Id="rId1449" Type="http://schemas.openxmlformats.org/officeDocument/2006/relationships/hyperlink" Target="https://drive.google.com/open?id=12JBTY8gS2T0w-zsaj9nCL9xcMgtZPUEZ" TargetMode="External"/><Relationship Id="rId619" Type="http://schemas.openxmlformats.org/officeDocument/2006/relationships/hyperlink" Target="https://drive.google.com/open?id=1pZY87lJq6rJmVK2zK5jLihDKiIpsMchC" TargetMode="External"/><Relationship Id="rId618" Type="http://schemas.openxmlformats.org/officeDocument/2006/relationships/hyperlink" Target="https://drive.google.com/open?id=1qBUUiPUd0ZCCngSXJ5sqQ5fBJzhqoLr_" TargetMode="External"/><Relationship Id="rId613" Type="http://schemas.openxmlformats.org/officeDocument/2006/relationships/hyperlink" Target="https://drive.google.com/open?id=14_eieAwM_5_o4nL7hl_bawMbcfa-JiNx" TargetMode="External"/><Relationship Id="rId612" Type="http://schemas.openxmlformats.org/officeDocument/2006/relationships/hyperlink" Target="https://preskilet.com/watch?v=62a5d3e3d629e000041e8d0e" TargetMode="External"/><Relationship Id="rId611" Type="http://schemas.openxmlformats.org/officeDocument/2006/relationships/hyperlink" Target="https://www.linkedin.com/in/keshraj-tonage-00375a199" TargetMode="External"/><Relationship Id="rId610" Type="http://schemas.openxmlformats.org/officeDocument/2006/relationships/hyperlink" Target="https://drive.google.com/open?id=1OQ1PF-daFcWF0E-t9JA4GLpFuIjaG82T" TargetMode="External"/><Relationship Id="rId617" Type="http://schemas.openxmlformats.org/officeDocument/2006/relationships/hyperlink" Target="https://drive.google.com/open?id=1ryYfGE3WbHA5xM4mbhUQVm_dgZ5txEtr" TargetMode="External"/><Relationship Id="rId616" Type="http://schemas.openxmlformats.org/officeDocument/2006/relationships/hyperlink" Target="https://drive.google.com/open?id=1ISAgqLFQ2Cyje_go8Mq_gnx2uule9vyB" TargetMode="External"/><Relationship Id="rId615" Type="http://schemas.openxmlformats.org/officeDocument/2006/relationships/hyperlink" Target="https://drive.google.com/open?id=1xddsTjxG7Nk11ecs4ZPUelnJtnRI2WaO" TargetMode="External"/><Relationship Id="rId614" Type="http://schemas.openxmlformats.org/officeDocument/2006/relationships/hyperlink" Target="https://drive.google.com/open?id=1Y1Zavfn1bYwTJ_IB9GCmsOJWWlwOB4Xa" TargetMode="External"/><Relationship Id="rId2770" Type="http://schemas.openxmlformats.org/officeDocument/2006/relationships/hyperlink" Target="https://drive.google.com/open?id=1LEOdewTtX2yKXG3m9o3wcD7cgFlhMZmW" TargetMode="External"/><Relationship Id="rId1440" Type="http://schemas.openxmlformats.org/officeDocument/2006/relationships/hyperlink" Target="https://drive.google.com/open?id=1HFmQMmT31fecSWrRuTEKApZheMY86NnX" TargetMode="External"/><Relationship Id="rId2771" Type="http://schemas.openxmlformats.org/officeDocument/2006/relationships/hyperlink" Target="https://drive.google.com/open?id=1KutRg9oKBDznmkAXjmJD-G0rkALCsiUt" TargetMode="External"/><Relationship Id="rId1441" Type="http://schemas.openxmlformats.org/officeDocument/2006/relationships/hyperlink" Target="https://drive.google.com/open?id=1lzXNnbNju-WjkXjQPr-eaA9alLhNel_y" TargetMode="External"/><Relationship Id="rId2772" Type="http://schemas.openxmlformats.org/officeDocument/2006/relationships/hyperlink" Target="https://www.linkedin.com/in/dakshay-kumar-b3aa02213/" TargetMode="External"/><Relationship Id="rId1442" Type="http://schemas.openxmlformats.org/officeDocument/2006/relationships/hyperlink" Target="https://drive.google.com/open?id=1Fissmwwy_P9PGs496PyfGUgcacJM2RaJ" TargetMode="External"/><Relationship Id="rId2773" Type="http://schemas.openxmlformats.org/officeDocument/2006/relationships/hyperlink" Target="https://preskilet.com/watch?v=62b4a49b30b28000045236f1" TargetMode="External"/><Relationship Id="rId1443" Type="http://schemas.openxmlformats.org/officeDocument/2006/relationships/hyperlink" Target="https://drive.google.com/open?id=1hP1dqIBDCnLqkVjn2eQfmI5NqAPbNmIl" TargetMode="External"/><Relationship Id="rId2774" Type="http://schemas.openxmlformats.org/officeDocument/2006/relationships/hyperlink" Target="https://drive.google.com/open?id=1DhS8aIxCtjD9Z09BUfiPXifSoZMbm10w" TargetMode="External"/><Relationship Id="rId1477" Type="http://schemas.openxmlformats.org/officeDocument/2006/relationships/hyperlink" Target="https://drive.google.com/open?id=1L2ogZnPiwnEiA9RflL2_r6YbzckOY6TB" TargetMode="External"/><Relationship Id="rId4503" Type="http://schemas.openxmlformats.org/officeDocument/2006/relationships/hyperlink" Target="https://drive.google.com/open?id=1y1IIJI-4P9saPm0zsl7WgMsnTyRXc4BX" TargetMode="External"/><Relationship Id="rId1478" Type="http://schemas.openxmlformats.org/officeDocument/2006/relationships/hyperlink" Target="https://drive.google.com/open?id=15nePemZysDnHlIRURG9PzWnm9-hguY0F" TargetMode="External"/><Relationship Id="rId4502" Type="http://schemas.openxmlformats.org/officeDocument/2006/relationships/hyperlink" Target="https://preskilet.com/raju.kadam@mitaoe.ac.in" TargetMode="External"/><Relationship Id="rId1479" Type="http://schemas.openxmlformats.org/officeDocument/2006/relationships/hyperlink" Target="https://drive.google.com/open?id=1-PvaSNBxlwLu_ol8qjgIOqzSZCplHFok" TargetMode="External"/><Relationship Id="rId4505" Type="http://schemas.openxmlformats.org/officeDocument/2006/relationships/hyperlink" Target="https://drive.google.com/open?id=1-yoFudX5fIIzifrbyAcwQpvI1c3Ut6qe" TargetMode="External"/><Relationship Id="rId4504" Type="http://schemas.openxmlformats.org/officeDocument/2006/relationships/hyperlink" Target="https://drive.google.com/open?id=1wDHPUV8khXMLBEcEY2Zi6Ovr-BZP4RCy" TargetMode="External"/><Relationship Id="rId4507" Type="http://schemas.openxmlformats.org/officeDocument/2006/relationships/hyperlink" Target="https://preskilet.com/watch?v=62b413ae30b2800004522fbe" TargetMode="External"/><Relationship Id="rId4506" Type="http://schemas.openxmlformats.org/officeDocument/2006/relationships/hyperlink" Target="https://www.linkedin.com/in/arpita-funde-8320941b9" TargetMode="External"/><Relationship Id="rId4509" Type="http://schemas.openxmlformats.org/officeDocument/2006/relationships/hyperlink" Target="https://drive.google.com/open?id=1YInSUPptaHsW6osHd_JHhrUW2WGZTqHr" TargetMode="External"/><Relationship Id="rId4508" Type="http://schemas.openxmlformats.org/officeDocument/2006/relationships/hyperlink" Target="https://drive.google.com/open?id=1K0CZUBDwQMi5zZTUJOHOipdI8fi_oh-i" TargetMode="External"/><Relationship Id="rId646" Type="http://schemas.openxmlformats.org/officeDocument/2006/relationships/hyperlink" Target="https://drive.google.com/drive/folders/1IA0kbLVYxYiZBGgWNXgxDCiHq7mNhOMa" TargetMode="External"/><Relationship Id="rId645" Type="http://schemas.openxmlformats.org/officeDocument/2006/relationships/hyperlink" Target="https://www.linkedin.com/in/komal-kakde-240127215" TargetMode="External"/><Relationship Id="rId644" Type="http://schemas.openxmlformats.org/officeDocument/2006/relationships/hyperlink" Target="https://drive.google.com/open?id=1moiQegzmkZfQOa273MvJitgYzJBdz502" TargetMode="External"/><Relationship Id="rId643" Type="http://schemas.openxmlformats.org/officeDocument/2006/relationships/hyperlink" Target="https://drive.google.com/open?id=1kPf90_E8uU88xNivOfZT9_7U8Bu8qkrf" TargetMode="External"/><Relationship Id="rId649" Type="http://schemas.openxmlformats.org/officeDocument/2006/relationships/hyperlink" Target="https://drive.google.com/open?id=1ZFuwEtWAOyyw35UGGQpB0BBMKgPRkP1C" TargetMode="External"/><Relationship Id="rId648" Type="http://schemas.openxmlformats.org/officeDocument/2006/relationships/hyperlink" Target="https://drive.google.com/open?id=1tTgfnVnOP3utlT2-dez6V9JsbHLxOEP_" TargetMode="External"/><Relationship Id="rId647" Type="http://schemas.openxmlformats.org/officeDocument/2006/relationships/hyperlink" Target="https://drive.google.com/open?id=1GTtLXGohGbO3eMw3K6nvhHOv4x7PZdVx" TargetMode="External"/><Relationship Id="rId1470" Type="http://schemas.openxmlformats.org/officeDocument/2006/relationships/hyperlink" Target="https://drive.google.com/open?id=1KljhuOYjnrJwTyaKGNUPt3JX2d2rpJip" TargetMode="External"/><Relationship Id="rId1471" Type="http://schemas.openxmlformats.org/officeDocument/2006/relationships/hyperlink" Target="https://drive.google.com/open?id=1fvZgsx7M7NNwQdebbNHfgogqEGGdrltB" TargetMode="External"/><Relationship Id="rId1472" Type="http://schemas.openxmlformats.org/officeDocument/2006/relationships/hyperlink" Target="https://drive.google.com/open?id=1zWYGrWB-FAG62TIOlnvWP4oSZKnFKziR" TargetMode="External"/><Relationship Id="rId642" Type="http://schemas.openxmlformats.org/officeDocument/2006/relationships/hyperlink" Target="https://drive.google.com/open?id=1IYd3CYm2fAl-s6Lj8udskV2pkSPFQ3gZ" TargetMode="External"/><Relationship Id="rId1473" Type="http://schemas.openxmlformats.org/officeDocument/2006/relationships/hyperlink" Target="https://drive.google.com/open?id=1tjTDhX5MquAR3aEqHbQ4C8vf_Wc1a3PI" TargetMode="External"/><Relationship Id="rId641" Type="http://schemas.openxmlformats.org/officeDocument/2006/relationships/hyperlink" Target="https://drive.google.com/open?id=1EYFGgvppKDIpiyq_ZNM_wdKIIwetPpgg" TargetMode="External"/><Relationship Id="rId1474" Type="http://schemas.openxmlformats.org/officeDocument/2006/relationships/hyperlink" Target="https://www.linkedin.com/in/arya-kashyap-38668a1b2" TargetMode="External"/><Relationship Id="rId640" Type="http://schemas.openxmlformats.org/officeDocument/2006/relationships/hyperlink" Target="https://drive.google.com/open?id=17U1SbiZXYA9i9kQavg4_rMuuZ-TUy0WW" TargetMode="External"/><Relationship Id="rId1475" Type="http://schemas.openxmlformats.org/officeDocument/2006/relationships/hyperlink" Target="https://preskilet.com/watch?v=62a36483a6956a00045fffd7" TargetMode="External"/><Relationship Id="rId4501" Type="http://schemas.openxmlformats.org/officeDocument/2006/relationships/hyperlink" Target="https://www.linkedin.com/in/raju-kadam-5751aa1a4" TargetMode="External"/><Relationship Id="rId1476" Type="http://schemas.openxmlformats.org/officeDocument/2006/relationships/hyperlink" Target="https://drive.google.com/open?id=1ayxMUNl2kAAImGZ7QvmzgI0QghqQYj4i" TargetMode="External"/><Relationship Id="rId4500" Type="http://schemas.openxmlformats.org/officeDocument/2006/relationships/hyperlink" Target="https://drive.google.com/open?id=1XEhbzz8EfMxHgsF_atVSPTkDNNlqeLnl" TargetMode="External"/><Relationship Id="rId1466" Type="http://schemas.openxmlformats.org/officeDocument/2006/relationships/hyperlink" Target="https://www.linkedin.com/in/manish-manohar-09a84123a" TargetMode="External"/><Relationship Id="rId2797" Type="http://schemas.openxmlformats.org/officeDocument/2006/relationships/hyperlink" Target="https://drive.google.com/open?id=1x1Fo7dt9AwNgvCQdbWLakDd67NhFZb4P" TargetMode="External"/><Relationship Id="rId1467" Type="http://schemas.openxmlformats.org/officeDocument/2006/relationships/hyperlink" Target="https://preskilet.com/mmanohar@mitaoe.ac.in" TargetMode="External"/><Relationship Id="rId2798" Type="http://schemas.openxmlformats.org/officeDocument/2006/relationships/hyperlink" Target="https://drive.google.com/open?id=1W13jwKGGJMCeTeubHfHr9Q_R7eLlQfi3" TargetMode="External"/><Relationship Id="rId1468" Type="http://schemas.openxmlformats.org/officeDocument/2006/relationships/hyperlink" Target="https://drive.google.com/open?id=1v9uGVEvNtAYs5f4pvArMJ65r7FaRZmz2" TargetMode="External"/><Relationship Id="rId2799" Type="http://schemas.openxmlformats.org/officeDocument/2006/relationships/hyperlink" Target="https://drive.google.com/open?id=1JajwLbDgf13G7fEVU3EDEUnK0VUWx2Ce" TargetMode="External"/><Relationship Id="rId1469" Type="http://schemas.openxmlformats.org/officeDocument/2006/relationships/hyperlink" Target="https://drive.google.com/open?id=1W5ZvQoI0FXQp_BHCUVg4HFAt61M8MD2a" TargetMode="External"/><Relationship Id="rId635" Type="http://schemas.openxmlformats.org/officeDocument/2006/relationships/hyperlink" Target="https://drive.google.com/open?id=1ntVcWEMc6ymDXR7zZ_yoBR5m4nwW2uJt" TargetMode="External"/><Relationship Id="rId634" Type="http://schemas.openxmlformats.org/officeDocument/2006/relationships/hyperlink" Target="https://drive.google.com/open?id=14fZb7sJvsi0HfUCLnwfSrrn9UZruWTAz" TargetMode="External"/><Relationship Id="rId633" Type="http://schemas.openxmlformats.org/officeDocument/2006/relationships/hyperlink" Target="https://drive.google.com/open?id=1pwTZjlpdJKd-YktHUZHGMT6-f3SRvjjm" TargetMode="External"/><Relationship Id="rId632" Type="http://schemas.openxmlformats.org/officeDocument/2006/relationships/hyperlink" Target="https://drive.google.com/open?id=1o4Zu9lirZtQoBxnh99Xk1b2A3LYaWle5" TargetMode="External"/><Relationship Id="rId639" Type="http://schemas.openxmlformats.org/officeDocument/2006/relationships/hyperlink" Target="https://drive.google.com/open?id=1ehOcmwQG0u9XSANpQFRKHj6qFmlf8Eug" TargetMode="External"/><Relationship Id="rId638" Type="http://schemas.openxmlformats.org/officeDocument/2006/relationships/hyperlink" Target="https://drive.google.com/open?id=1zoRHbQVM_EAuYk66l_UQdRV9SD1Ach41" TargetMode="External"/><Relationship Id="rId637" Type="http://schemas.openxmlformats.org/officeDocument/2006/relationships/hyperlink" Target="https://preskilet.com/watch?v=62a370dca6956a0004600189" TargetMode="External"/><Relationship Id="rId636" Type="http://schemas.openxmlformats.org/officeDocument/2006/relationships/hyperlink" Target="https://www.linkedin.com/in/payal-chaugule-7b806b218" TargetMode="External"/><Relationship Id="rId2790" Type="http://schemas.openxmlformats.org/officeDocument/2006/relationships/hyperlink" Target="https://drive.google.com/open?id=1yu3E3SSsLN__tk4zHJHuV4AyaC7TJG5G" TargetMode="External"/><Relationship Id="rId1460" Type="http://schemas.openxmlformats.org/officeDocument/2006/relationships/hyperlink" Target="https://drive.google.com/open?id=1t2O05Q_WdwrVkUf97vicx0rGL0IE3ozj" TargetMode="External"/><Relationship Id="rId2791" Type="http://schemas.openxmlformats.org/officeDocument/2006/relationships/hyperlink" Target="https://drive.google.com/open?id=1krIYO5xWLYHAATvh8Sr-UqnUFzD0LCKQ" TargetMode="External"/><Relationship Id="rId1461" Type="http://schemas.openxmlformats.org/officeDocument/2006/relationships/hyperlink" Target="https://drive.google.com/open?id=1frqdhClM84pvW9cQUuS-LY1F_J3fDnDP" TargetMode="External"/><Relationship Id="rId2792" Type="http://schemas.openxmlformats.org/officeDocument/2006/relationships/hyperlink" Target="https://drive.google.com/open?id=1kiQVNWpMd8UGZCasns6H73DmTuSbgJz1" TargetMode="External"/><Relationship Id="rId631" Type="http://schemas.openxmlformats.org/officeDocument/2006/relationships/hyperlink" Target="https://drive.google.com/open?id=1tL7pU8JH8twAr3OaFfaLCs7YahQbMuPh" TargetMode="External"/><Relationship Id="rId1462" Type="http://schemas.openxmlformats.org/officeDocument/2006/relationships/hyperlink" Target="https://www.linkedin.com/in/7-aditi-borkar-baa85a241" TargetMode="External"/><Relationship Id="rId2793" Type="http://schemas.openxmlformats.org/officeDocument/2006/relationships/hyperlink" Target="https://drive.google.com/open?id=1gaiBNQubok3eXvK38ylW3LcRjwRStOfd" TargetMode="External"/><Relationship Id="rId630" Type="http://schemas.openxmlformats.org/officeDocument/2006/relationships/hyperlink" Target="https://drive.google.com/open?id=1e50iAVR43hVrXEL7f0CHS30yOiH1jyqc" TargetMode="External"/><Relationship Id="rId1463" Type="http://schemas.openxmlformats.org/officeDocument/2006/relationships/hyperlink" Target="https://docs.google.com/document/d/1pmLBaQHiihqxDDSkgsaRCZnPMtm9t7N5tvWBAkzxJJ4/edit?usp=drivesdk" TargetMode="External"/><Relationship Id="rId2794" Type="http://schemas.openxmlformats.org/officeDocument/2006/relationships/hyperlink" Target="https://drive.google.com/open?id=1lOWWDHUpZUG6phpoVZeXH6aA6SyDpvcg" TargetMode="External"/><Relationship Id="rId1464" Type="http://schemas.openxmlformats.org/officeDocument/2006/relationships/hyperlink" Target="https://drive.google.com/open?id=1eiDz6rblcxvKleVXu0NrMSyXhnlY-eoe" TargetMode="External"/><Relationship Id="rId2795" Type="http://schemas.openxmlformats.org/officeDocument/2006/relationships/hyperlink" Target="https://www.linkedin.com/in/namrata-dhobale-694366214" TargetMode="External"/><Relationship Id="rId1465" Type="http://schemas.openxmlformats.org/officeDocument/2006/relationships/hyperlink" Target="https://drive.google.com/open?id=1edl9zpo9xc3bdX_UYoBc38j4NJeHlZrN" TargetMode="External"/><Relationship Id="rId2796" Type="http://schemas.openxmlformats.org/officeDocument/2006/relationships/hyperlink" Target="https://preskilet.com/watch?v=6299097b2c52a10004758676" TargetMode="External"/><Relationship Id="rId1411" Type="http://schemas.openxmlformats.org/officeDocument/2006/relationships/hyperlink" Target="https://drive.google.com/open?id=1ADt78PD7ZH5JWZLs5fwF15DIYrGKiDP6" TargetMode="External"/><Relationship Id="rId2742" Type="http://schemas.openxmlformats.org/officeDocument/2006/relationships/hyperlink" Target="https://drive.google.com/open?id=1yJRAS1KTOFooC2uBtjf5ehvusQi4Js97" TargetMode="External"/><Relationship Id="rId1412" Type="http://schemas.openxmlformats.org/officeDocument/2006/relationships/hyperlink" Target="https://drive.google.com/open?id=16MdlCSIQe7Vfp0FqMit2QInUNp_SFNQn" TargetMode="External"/><Relationship Id="rId2743" Type="http://schemas.openxmlformats.org/officeDocument/2006/relationships/hyperlink" Target="https://drive.google.com/open?id=1W3e4o3Ge1PWrzvwbUiAohhgPYe1uBZJ6" TargetMode="External"/><Relationship Id="rId1413" Type="http://schemas.openxmlformats.org/officeDocument/2006/relationships/hyperlink" Target="https://drive.google.com/open?id=1SCvjiKLex4iwDDNXqKwypN574wKpEPru" TargetMode="External"/><Relationship Id="rId2744" Type="http://schemas.openxmlformats.org/officeDocument/2006/relationships/hyperlink" Target="https://drive.google.com/open?id=1SLDNfACy1hzCVoQIMJo7S3M5wyRdVyDG" TargetMode="External"/><Relationship Id="rId1414" Type="http://schemas.openxmlformats.org/officeDocument/2006/relationships/hyperlink" Target="https://drive.google.com/open?id=1Ya8MMe09waimmXEs4RmVFl4WEdRAttmy" TargetMode="External"/><Relationship Id="rId2745" Type="http://schemas.openxmlformats.org/officeDocument/2006/relationships/hyperlink" Target="https://drive.google.com/open?id=1B1W3rFqNAVbNp7JcuznFKSO7G2tKjAqE" TargetMode="External"/><Relationship Id="rId1415" Type="http://schemas.openxmlformats.org/officeDocument/2006/relationships/hyperlink" Target="https://drive.google.com/open?id=1DK7iCBr1shcad-5rjvuZmuoyw1t8GolJ" TargetMode="External"/><Relationship Id="rId2746" Type="http://schemas.openxmlformats.org/officeDocument/2006/relationships/hyperlink" Target="https://www.linkedin.com/in/pallavi-gundre-673729228" TargetMode="External"/><Relationship Id="rId1416" Type="http://schemas.openxmlformats.org/officeDocument/2006/relationships/hyperlink" Target="https://www.linkedin.com/in/atharvakhonde/" TargetMode="External"/><Relationship Id="rId2747" Type="http://schemas.openxmlformats.org/officeDocument/2006/relationships/hyperlink" Target="https://preskilet.com/watch?v=62bde5509535010004fd2bc3" TargetMode="External"/><Relationship Id="rId1417" Type="http://schemas.openxmlformats.org/officeDocument/2006/relationships/hyperlink" Target="https://preskilet.com/watch?v=62a1d463fed70c00042b664b" TargetMode="External"/><Relationship Id="rId2748" Type="http://schemas.openxmlformats.org/officeDocument/2006/relationships/hyperlink" Target="https://drive.google.com/open?id=1_8JIYgYlruDPLqnsHcxaan7CZLpt9py1" TargetMode="External"/><Relationship Id="rId1418" Type="http://schemas.openxmlformats.org/officeDocument/2006/relationships/hyperlink" Target="https://drive.google.com/open?id=1FlGBhnvlbwVbKrcXJjfaNVXY8Mjydz5H" TargetMode="External"/><Relationship Id="rId2749" Type="http://schemas.openxmlformats.org/officeDocument/2006/relationships/hyperlink" Target="https://drive.google.com/open?id=1mkevfdptS8FxXk6uarA5bxhDvLG2QaO6" TargetMode="External"/><Relationship Id="rId1419" Type="http://schemas.openxmlformats.org/officeDocument/2006/relationships/hyperlink" Target="https://drive.google.com/open?id=1VMBVFvAGh69s1x701xU4OEW9acRZLSFD" TargetMode="External"/><Relationship Id="rId2740" Type="http://schemas.openxmlformats.org/officeDocument/2006/relationships/hyperlink" Target="https://www.linkedin.com/in/mayuri-ambegawe-133699228" TargetMode="External"/><Relationship Id="rId1410" Type="http://schemas.openxmlformats.org/officeDocument/2006/relationships/hyperlink" Target="https://preskilet.com/watch?v=62a5b990184d9600047c299d" TargetMode="External"/><Relationship Id="rId2741" Type="http://schemas.openxmlformats.org/officeDocument/2006/relationships/hyperlink" Target="https://drive.google.com/file/d/1wmhfCKRqIRLJNLx9GAPLNSDSf1M4Km5t/view?usp=sharing" TargetMode="External"/><Relationship Id="rId1400" Type="http://schemas.openxmlformats.org/officeDocument/2006/relationships/hyperlink" Target="https://www.linkedin.com/in/viraj-yadav-6a534423b" TargetMode="External"/><Relationship Id="rId2731" Type="http://schemas.openxmlformats.org/officeDocument/2006/relationships/hyperlink" Target="https://drive.google.com/drive/folders/1EJAV5g_T-BZB3DK7zDi5B2pQCwk8Sdyk" TargetMode="External"/><Relationship Id="rId1401" Type="http://schemas.openxmlformats.org/officeDocument/2006/relationships/hyperlink" Target="https://preskilet.com/watch?v=62a38cb8a6956a00046007c3" TargetMode="External"/><Relationship Id="rId2732" Type="http://schemas.openxmlformats.org/officeDocument/2006/relationships/hyperlink" Target="https://drive.google.com/open?id=15hvsi51mtnaVYUAoIOiHjCg95VZmdkbJ" TargetMode="External"/><Relationship Id="rId1402" Type="http://schemas.openxmlformats.org/officeDocument/2006/relationships/hyperlink" Target="https://drive.google.com/open?id=1q1lTJKP2vMG5-T2Y9yEVfmhxxayygeDA" TargetMode="External"/><Relationship Id="rId2733" Type="http://schemas.openxmlformats.org/officeDocument/2006/relationships/hyperlink" Target="https://drive.google.com/open?id=1b0BA3Q_ukeBMLDTAXcVpYky4xV1V3qGK" TargetMode="External"/><Relationship Id="rId1403" Type="http://schemas.openxmlformats.org/officeDocument/2006/relationships/hyperlink" Target="https://drive.google.com/open?id=1MmwJ4hjpaiUMrEsdrpws-daAtZzarHY1" TargetMode="External"/><Relationship Id="rId2734" Type="http://schemas.openxmlformats.org/officeDocument/2006/relationships/hyperlink" Target="https://www.linkedin.com/in/shivlila-vishwakarma-b24690228" TargetMode="External"/><Relationship Id="rId1404" Type="http://schemas.openxmlformats.org/officeDocument/2006/relationships/hyperlink" Target="https://drive.google.com/open?id=1ipSJ7JCeb9SssDlr0KJjIDs3nh3sJsK2" TargetMode="External"/><Relationship Id="rId2735" Type="http://schemas.openxmlformats.org/officeDocument/2006/relationships/hyperlink" Target="https://drive.google.com/file/d/1wmhfCKRqIRLJNLx9GAPLNSDSf1M4Km5t/view?usp=sharing" TargetMode="External"/><Relationship Id="rId1405" Type="http://schemas.openxmlformats.org/officeDocument/2006/relationships/hyperlink" Target="https://drive.google.com/open?id=1xj8AVrTDl60Grd2TD-MTI7AS_hw-tuqK" TargetMode="External"/><Relationship Id="rId2736" Type="http://schemas.openxmlformats.org/officeDocument/2006/relationships/hyperlink" Target="https://drive.google.com/open?id=1sxiRKJkptqPPGgZdyVUi6xosg7BXWcis" TargetMode="External"/><Relationship Id="rId1406" Type="http://schemas.openxmlformats.org/officeDocument/2006/relationships/hyperlink" Target="https://drive.google.com/open?id=1-iomrotYTYaNtksyNKkr8aK4_H4Ehxyr" TargetMode="External"/><Relationship Id="rId2737" Type="http://schemas.openxmlformats.org/officeDocument/2006/relationships/hyperlink" Target="https://drive.google.com/open?id=1vKUE7P003fLM1QPhq_gAbzGCRKygF_U3" TargetMode="External"/><Relationship Id="rId1407" Type="http://schemas.openxmlformats.org/officeDocument/2006/relationships/hyperlink" Target="https://drive.google.com/open?id=1ikW00IS8tjtDzmjY9wcZfuVVpWA-CILL" TargetMode="External"/><Relationship Id="rId2738" Type="http://schemas.openxmlformats.org/officeDocument/2006/relationships/hyperlink" Target="https://drive.google.com/open?id=1xbA8jSSqsUBjMX-gf0hZ01n01xIEVwk9" TargetMode="External"/><Relationship Id="rId1408" Type="http://schemas.openxmlformats.org/officeDocument/2006/relationships/hyperlink" Target="https://drive.google.com/open?id=1Vs83jrNtFK2aEDF1-w89Wt3o7M_6PBlA" TargetMode="External"/><Relationship Id="rId2739" Type="http://schemas.openxmlformats.org/officeDocument/2006/relationships/hyperlink" Target="https://drive.google.com/open?id=1d-c10_YIJ97A2bhhv7NUD9SChUFwEe71" TargetMode="External"/><Relationship Id="rId1409" Type="http://schemas.openxmlformats.org/officeDocument/2006/relationships/hyperlink" Target="https://www.linkedin.com/in/kaustubh-shelar-950443213" TargetMode="External"/><Relationship Id="rId2730" Type="http://schemas.openxmlformats.org/officeDocument/2006/relationships/hyperlink" Target="https://www.linkedin.com/in/rushikesh-bhuyekar-936a94182" TargetMode="External"/><Relationship Id="rId1433" Type="http://schemas.openxmlformats.org/officeDocument/2006/relationships/hyperlink" Target="https://drive.google.com/open?id=1km4ahHWWAs_x0NHUPVk3lMcx57YZbVWa" TargetMode="External"/><Relationship Id="rId2764" Type="http://schemas.openxmlformats.org/officeDocument/2006/relationships/hyperlink" Target="https://drive.google.com/open?id=1xgyCVAk_GS9VyBILAsl3OQrM-5nYwu7f" TargetMode="External"/><Relationship Id="rId1434" Type="http://schemas.openxmlformats.org/officeDocument/2006/relationships/hyperlink" Target="https://drive.google.com/open?id=10NfVYZm1IdK14nWq9vXnD72y0f-_eZpM" TargetMode="External"/><Relationship Id="rId2765" Type="http://schemas.openxmlformats.org/officeDocument/2006/relationships/hyperlink" Target="https://drive.google.com/open?id=1t9RXbJAc9ywnCH_P92BxXa149vpWwDJB" TargetMode="External"/><Relationship Id="rId1435" Type="http://schemas.openxmlformats.org/officeDocument/2006/relationships/hyperlink" Target="https://www.linkedin.com/in/aventika-khemani-44bb22209/" TargetMode="External"/><Relationship Id="rId2766" Type="http://schemas.openxmlformats.org/officeDocument/2006/relationships/hyperlink" Target="https://www.linkedin.com/in/mahesh-gaikwad-a97481228/" TargetMode="External"/><Relationship Id="rId1436" Type="http://schemas.openxmlformats.org/officeDocument/2006/relationships/hyperlink" Target="https://preskilet.com/watch?v=62965091716ac100049818b9" TargetMode="External"/><Relationship Id="rId2767" Type="http://schemas.openxmlformats.org/officeDocument/2006/relationships/hyperlink" Target="https://preskilet.com/watch?v=62b4885430b280000452344c" TargetMode="External"/><Relationship Id="rId1437" Type="http://schemas.openxmlformats.org/officeDocument/2006/relationships/hyperlink" Target="https://drive.google.com/open?id=1zMc0dsNd_3oMcrSqhqqqyRyOVG-SoZo6" TargetMode="External"/><Relationship Id="rId2768" Type="http://schemas.openxmlformats.org/officeDocument/2006/relationships/hyperlink" Target="https://drive.google.com/open?id=1hURRFw-eV3yNQ4HjG4rG2dkz3_hfn-EW" TargetMode="External"/><Relationship Id="rId1438" Type="http://schemas.openxmlformats.org/officeDocument/2006/relationships/hyperlink" Target="https://drive.google.com/open?id=1lyXFdM7o9Xyz_PUiyANadNSyaS7QTRQU" TargetMode="External"/><Relationship Id="rId2769" Type="http://schemas.openxmlformats.org/officeDocument/2006/relationships/hyperlink" Target="https://drive.google.com/open?id=1CkGdOL1wSn-P85ucax_3_HDtqit6u_UL" TargetMode="External"/><Relationship Id="rId1439" Type="http://schemas.openxmlformats.org/officeDocument/2006/relationships/hyperlink" Target="https://drive.google.com/open?id=124-8JdZbKHD5uByH-Z1GNnB0vYuhJ9yx" TargetMode="External"/><Relationship Id="rId609" Type="http://schemas.openxmlformats.org/officeDocument/2006/relationships/hyperlink" Target="https://drive.google.com/open?id=1oN49gjM_TniMXaaLR0GeqJC7aebolQRA" TargetMode="External"/><Relationship Id="rId608" Type="http://schemas.openxmlformats.org/officeDocument/2006/relationships/hyperlink" Target="https://drive.google.com/open?id=1-V0QqRuaYao2dt5wdDuawoRUAFQV3-oa" TargetMode="External"/><Relationship Id="rId607" Type="http://schemas.openxmlformats.org/officeDocument/2006/relationships/hyperlink" Target="https://drive.google.com/open?id=1MmaoRtSP_OlOpQYS9z0t04N0FRxM-5w4" TargetMode="External"/><Relationship Id="rId602" Type="http://schemas.openxmlformats.org/officeDocument/2006/relationships/hyperlink" Target="https://drive.google.com/open?id=1c_KhCWOoyBCLi0DGLAq2cil6w_vR5mFE" TargetMode="External"/><Relationship Id="rId601" Type="http://schemas.openxmlformats.org/officeDocument/2006/relationships/hyperlink" Target="https://drive.google.com/open?id=17FqZbnVKvpUH8CY3B9HpFxNBZ27TKXr4" TargetMode="External"/><Relationship Id="rId600" Type="http://schemas.openxmlformats.org/officeDocument/2006/relationships/hyperlink" Target="https://drive.google.com/open?id=1gQqTCiXZ9IMFjUPkeNvLqCMkCJGxjb__" TargetMode="External"/><Relationship Id="rId606" Type="http://schemas.openxmlformats.org/officeDocument/2006/relationships/hyperlink" Target="https://drive.google.com/open?id=1NC71obpj7K87Frg8SQJNfU6TiKitESUv" TargetMode="External"/><Relationship Id="rId605" Type="http://schemas.openxmlformats.org/officeDocument/2006/relationships/hyperlink" Target="https://preskilet.com/watch?v=62b53438af4f2700045cd8ff" TargetMode="External"/><Relationship Id="rId604" Type="http://schemas.openxmlformats.org/officeDocument/2006/relationships/hyperlink" Target="https://www.linkedin.com/in/sam-maske-642510236" TargetMode="External"/><Relationship Id="rId603" Type="http://schemas.openxmlformats.org/officeDocument/2006/relationships/hyperlink" Target="https://drive.google.com/open?id=1R9IwBc-wemgou6SJ_20iP77CpIQR_yG4" TargetMode="External"/><Relationship Id="rId2760" Type="http://schemas.openxmlformats.org/officeDocument/2006/relationships/hyperlink" Target="https://drive.google.com/open?id=1Ov6NyIL03vhmQjkhCcf22qqVjf2PCYiz" TargetMode="External"/><Relationship Id="rId1430" Type="http://schemas.openxmlformats.org/officeDocument/2006/relationships/hyperlink" Target="https://drive.google.com/open?id=1PPlp1FiHnxYaI-TjzTyRMSEi2AvPK8Tt" TargetMode="External"/><Relationship Id="rId2761" Type="http://schemas.openxmlformats.org/officeDocument/2006/relationships/hyperlink" Target="https://drive.google.com/open?id=1J_ZODJfLkCxGw5QukE-zwANYl-Q9vuyx" TargetMode="External"/><Relationship Id="rId1431" Type="http://schemas.openxmlformats.org/officeDocument/2006/relationships/hyperlink" Target="https://drive.google.com/open?id=1sswfNp4_JraVVVcJhpRz9jbfibCMvGot" TargetMode="External"/><Relationship Id="rId2762" Type="http://schemas.openxmlformats.org/officeDocument/2006/relationships/hyperlink" Target="https://drive.google.com/open?id=1vHqTLA14ZucufJjYmbL7NV8aElmXCb5P" TargetMode="External"/><Relationship Id="rId1432" Type="http://schemas.openxmlformats.org/officeDocument/2006/relationships/hyperlink" Target="https://drive.google.com/open?id=1wRQ3LrrH2fcAFBCxceMmfRjgCQF5xmMf" TargetMode="External"/><Relationship Id="rId2763" Type="http://schemas.openxmlformats.org/officeDocument/2006/relationships/hyperlink" Target="https://drive.google.com/open?id=13v5CjuiOVYis0e1TyiUpqLlu-aL9Iqpv" TargetMode="External"/><Relationship Id="rId1422" Type="http://schemas.openxmlformats.org/officeDocument/2006/relationships/hyperlink" Target="https://drive.google.com/open?id=1ovreC1TU0NguuzSKqbWieYMWA50vcarD" TargetMode="External"/><Relationship Id="rId2753" Type="http://schemas.openxmlformats.org/officeDocument/2006/relationships/hyperlink" Target="https://preskilet.com/watch?v=62bdccbf9535010004fd29fa" TargetMode="External"/><Relationship Id="rId1423" Type="http://schemas.openxmlformats.org/officeDocument/2006/relationships/hyperlink" Target="https://drive.google.com/open?id=1JnmDFAzA5hYbXM78VYBbtznFhTvIZrdi" TargetMode="External"/><Relationship Id="rId2754" Type="http://schemas.openxmlformats.org/officeDocument/2006/relationships/hyperlink" Target="https://drive.google.com/open?id=1go0nYyoUfxn2Ni-ihrld2qOP_c05ve7e" TargetMode="External"/><Relationship Id="rId1424" Type="http://schemas.openxmlformats.org/officeDocument/2006/relationships/hyperlink" Target="https://drive.google.com/open?id=1gtnSFbse3dBqXhckiJMY8OpQLJ-Z5NyV" TargetMode="External"/><Relationship Id="rId2755" Type="http://schemas.openxmlformats.org/officeDocument/2006/relationships/hyperlink" Target="https://drive.google.com/open?id=1FOTfE7LMEwm63dlayhkCS0SUA8Et0KFs" TargetMode="External"/><Relationship Id="rId1425" Type="http://schemas.openxmlformats.org/officeDocument/2006/relationships/hyperlink" Target="https://drive.google.com/open?id=18N9h1iRwBX5XSXwF2Y1JOQkC0rJoppAW" TargetMode="External"/><Relationship Id="rId2756" Type="http://schemas.openxmlformats.org/officeDocument/2006/relationships/hyperlink" Target="https://www.linkedin.com/in/krishnakant-phate-4a8245213/" TargetMode="External"/><Relationship Id="rId1426" Type="http://schemas.openxmlformats.org/officeDocument/2006/relationships/hyperlink" Target="https://drive.google.com/open?id=1YNLKfcaNl0vm_cRuLFdOMJ52cfie-me7" TargetMode="External"/><Relationship Id="rId2757" Type="http://schemas.openxmlformats.org/officeDocument/2006/relationships/hyperlink" Target="https://preskilet.com/watch?v=6295f4e2716ac100049814f3" TargetMode="External"/><Relationship Id="rId1427" Type="http://schemas.openxmlformats.org/officeDocument/2006/relationships/hyperlink" Target="https://drive.google.com/open?id=17tCLjRgEgOJUTdgPSMd4dy1CKECydniO" TargetMode="External"/><Relationship Id="rId2758" Type="http://schemas.openxmlformats.org/officeDocument/2006/relationships/hyperlink" Target="https://drive.google.com/open?id=1CZhFI0FY5itGEYNTeag6Ot5U__AncdpC" TargetMode="External"/><Relationship Id="rId1428" Type="http://schemas.openxmlformats.org/officeDocument/2006/relationships/hyperlink" Target="https://www.linkedin.com/in/sarangwadode/" TargetMode="External"/><Relationship Id="rId2759" Type="http://schemas.openxmlformats.org/officeDocument/2006/relationships/hyperlink" Target="https://drive.google.com/open?id=1P4VOKYq6adsF4AwSCauhOrOVV_Ztn0x8" TargetMode="External"/><Relationship Id="rId1429" Type="http://schemas.openxmlformats.org/officeDocument/2006/relationships/hyperlink" Target="https://preskilet.com/watch?v=62bda35e9535010004fd2767" TargetMode="External"/><Relationship Id="rId2750" Type="http://schemas.openxmlformats.org/officeDocument/2006/relationships/hyperlink" Target="https://drive.google.com/open?id=13ioYfKUxq1EKtfDe8HloGOmjUzpgw6SA" TargetMode="External"/><Relationship Id="rId1420" Type="http://schemas.openxmlformats.org/officeDocument/2006/relationships/hyperlink" Target="https://www.linkedin.com/in/manoranjan-jena-067316210/" TargetMode="External"/><Relationship Id="rId2751" Type="http://schemas.openxmlformats.org/officeDocument/2006/relationships/hyperlink" Target="https://drive.google.com/open?id=1qFyy3cW6Cox0kvSXekV1XNh1TBcS7Agu" TargetMode="External"/><Relationship Id="rId1421" Type="http://schemas.openxmlformats.org/officeDocument/2006/relationships/hyperlink" Target="https://preskilet.com/watch?v=62b42fa430b2800004523116" TargetMode="External"/><Relationship Id="rId2752" Type="http://schemas.openxmlformats.org/officeDocument/2006/relationships/hyperlink" Target="https://www.linkedin.com/in/rushikesh-karanjkar-a147711b4" TargetMode="External"/><Relationship Id="rId3238" Type="http://schemas.openxmlformats.org/officeDocument/2006/relationships/hyperlink" Target="https://preskilet.com/watch?v=62b461ce30b2800004523299" TargetMode="External"/><Relationship Id="rId4569" Type="http://schemas.openxmlformats.org/officeDocument/2006/relationships/hyperlink" Target="https://drive.google.com/open?id=1GJBKW126bZzym-OOI-ToCr2CcymXYGZB" TargetMode="External"/><Relationship Id="rId3237" Type="http://schemas.openxmlformats.org/officeDocument/2006/relationships/hyperlink" Target="https://www.linkedin.com/in/omkar-nehere-8933b71ab" TargetMode="External"/><Relationship Id="rId4568" Type="http://schemas.openxmlformats.org/officeDocument/2006/relationships/hyperlink" Target="https://drive.google.com/open?id=1BflWw39UGODIWJfjVd4aRMOCnLzZ05Xk" TargetMode="External"/><Relationship Id="rId3239" Type="http://schemas.openxmlformats.org/officeDocument/2006/relationships/hyperlink" Target="https://drive.google.com/open?id=1YdR41T2bKndkF2be5oymyFsKgzi9nI_h" TargetMode="External"/><Relationship Id="rId3230" Type="http://schemas.openxmlformats.org/officeDocument/2006/relationships/hyperlink" Target="https://preskilet.com/watch?v=62b548c0af4f2700045cdad4" TargetMode="External"/><Relationship Id="rId4561" Type="http://schemas.openxmlformats.org/officeDocument/2006/relationships/hyperlink" Target="https://preskilet.com/watch?v=62bdf1dd9535010004fd2d38" TargetMode="External"/><Relationship Id="rId4560" Type="http://schemas.openxmlformats.org/officeDocument/2006/relationships/hyperlink" Target="https://www.linkedin.com/in/shaikh-siraj-6a217522b" TargetMode="External"/><Relationship Id="rId3232" Type="http://schemas.openxmlformats.org/officeDocument/2006/relationships/hyperlink" Target="https://drive.google.com/open?id=1FPS3QH48UBDG4JVi4rLeRPpRa1hQnsn3" TargetMode="External"/><Relationship Id="rId4563" Type="http://schemas.openxmlformats.org/officeDocument/2006/relationships/hyperlink" Target="https://drive.google.com/open?id=19vWguvHH_YVZkeDsO_j2tMPKbsA_MRse" TargetMode="External"/><Relationship Id="rId3231" Type="http://schemas.openxmlformats.org/officeDocument/2006/relationships/hyperlink" Target="https://drive.google.com/open?id=1BVbe3sZGtI8I3pQhpLWS7XhddMNCTEfU" TargetMode="External"/><Relationship Id="rId4562" Type="http://schemas.openxmlformats.org/officeDocument/2006/relationships/hyperlink" Target="https://drive.google.com/open?id=1w5HoWobVJZfoR-rC5Km8nlC51fbrBtqE" TargetMode="External"/><Relationship Id="rId3234" Type="http://schemas.openxmlformats.org/officeDocument/2006/relationships/hyperlink" Target="https://drive.google.com/open?id=1eTPjS_6Q4RB206gYWRRiZCTsFGtpWC9a" TargetMode="External"/><Relationship Id="rId4565" Type="http://schemas.openxmlformats.org/officeDocument/2006/relationships/hyperlink" Target="https://drive.google.com/file/d/12t6FnBDP_hOZuLB0T2C6IdKda4N-iu0i/view?usp=drivesdk" TargetMode="External"/><Relationship Id="rId3233" Type="http://schemas.openxmlformats.org/officeDocument/2006/relationships/hyperlink" Target="https://drive.google.com/open?id=1JoIeJfA8m2kC9KZ2cwUxAtRXyf6RRJwT" TargetMode="External"/><Relationship Id="rId4564" Type="http://schemas.openxmlformats.org/officeDocument/2006/relationships/hyperlink" Target="https://www.linkedin.com/in/shubham-sonawane-106891241" TargetMode="External"/><Relationship Id="rId3236" Type="http://schemas.openxmlformats.org/officeDocument/2006/relationships/hyperlink" Target="https://drive.google.com/open?id=1fYJ1SehiA8O2RuPtOQK9y05m5HIvqa7d" TargetMode="External"/><Relationship Id="rId4567" Type="http://schemas.openxmlformats.org/officeDocument/2006/relationships/hyperlink" Target="https://drive.google.com/open?id=1flhkc3rt4lCAJtZecnW1frwwMg1B97a9" TargetMode="External"/><Relationship Id="rId3235" Type="http://schemas.openxmlformats.org/officeDocument/2006/relationships/hyperlink" Target="https://drive.google.com/open?id=1IgTcCLg2ydK7OGb4xvlGxbZvhYAleSSQ" TargetMode="External"/><Relationship Id="rId4566" Type="http://schemas.openxmlformats.org/officeDocument/2006/relationships/hyperlink" Target="https://drive.google.com/open?id=16kadIHqL3Q3tbjk8uRxq4pSmG6AjCijz" TargetMode="External"/><Relationship Id="rId3227" Type="http://schemas.openxmlformats.org/officeDocument/2006/relationships/hyperlink" Target="https://drive.google.com/open?id=1kkE-zoilZJwETG_1Dr1jOIWUdpxp6YZB" TargetMode="External"/><Relationship Id="rId4558" Type="http://schemas.openxmlformats.org/officeDocument/2006/relationships/hyperlink" Target="https://drive.google.com/open?id=11xkuCusao3cUFGngYTSHGO62Ra-EyO8y" TargetMode="External"/><Relationship Id="rId3226" Type="http://schemas.openxmlformats.org/officeDocument/2006/relationships/hyperlink" Target="https://drive.google.com/open?id=1fHuDcQl8tYh6Z9h3Qim7DJgG3TCPrs71" TargetMode="External"/><Relationship Id="rId4557" Type="http://schemas.openxmlformats.org/officeDocument/2006/relationships/hyperlink" Target="https://drive.google.com/open?id=1cGVnTvc_rtIvPbrjsSH3kGjWbSIyG4EM" TargetMode="External"/><Relationship Id="rId3229" Type="http://schemas.openxmlformats.org/officeDocument/2006/relationships/hyperlink" Target="https://www.linkedin.com/in/tanmay-kathane-05682b204?lipi=urn%3Ali%3Apage%3Ad_flagship3_profile_view_base_contact_details%3BIaDvSnX8RWie%2BfITx3whJg%3D%3D" TargetMode="External"/><Relationship Id="rId3228" Type="http://schemas.openxmlformats.org/officeDocument/2006/relationships/hyperlink" Target="https://drive.google.com/open?id=1NVN5gUiYlkjRdcfJS6ldKw1qIL_zWpBZ" TargetMode="External"/><Relationship Id="rId4559" Type="http://schemas.openxmlformats.org/officeDocument/2006/relationships/hyperlink" Target="https://drive.google.com/open?id=17dvBMNMI16i-TrfwkBQ-Alqw39tWvxG4" TargetMode="External"/><Relationship Id="rId699" Type="http://schemas.openxmlformats.org/officeDocument/2006/relationships/hyperlink" Target="https://drive.google.com/open?id=1FxRG71FydwYGrEtAb3-G8WBE8jzVMho6" TargetMode="External"/><Relationship Id="rId698" Type="http://schemas.openxmlformats.org/officeDocument/2006/relationships/hyperlink" Target="https://drive.google.com/open?id=1-lJLtIv74lCGeF7zHrdPpLw-TK1TTVie" TargetMode="External"/><Relationship Id="rId693" Type="http://schemas.openxmlformats.org/officeDocument/2006/relationships/hyperlink" Target="https://drive.google.com/open?id=1fV84R1_PvhllorcgKEdM0tZT7IsfHUBA" TargetMode="External"/><Relationship Id="rId4550" Type="http://schemas.openxmlformats.org/officeDocument/2006/relationships/hyperlink" Target="https://drive.google.com/open?id=1GMKHM_ac2tZ87vW0pDzKForZTDiQc_vv" TargetMode="External"/><Relationship Id="rId692" Type="http://schemas.openxmlformats.org/officeDocument/2006/relationships/hyperlink" Target="https://drive.google.com/open?id=16uN6w0hTnWBkVUo8V2mA4_liUDorBZBY" TargetMode="External"/><Relationship Id="rId691" Type="http://schemas.openxmlformats.org/officeDocument/2006/relationships/hyperlink" Target="https://drive.google.com/open?id=16AH4FAnTW-67zBWMomd_zErYBCT1dwpN" TargetMode="External"/><Relationship Id="rId3221" Type="http://schemas.openxmlformats.org/officeDocument/2006/relationships/hyperlink" Target="https://drive.google.com/open?id=1-axGusp-AK6NHSRbPRdv4pjtK0CEL1tK" TargetMode="External"/><Relationship Id="rId4552" Type="http://schemas.openxmlformats.org/officeDocument/2006/relationships/hyperlink" Target="https://drive.google.com/open?id=1OcIbnC_u9RkTRTfSXuOzGWM3YTcNmwxv" TargetMode="External"/><Relationship Id="rId690" Type="http://schemas.openxmlformats.org/officeDocument/2006/relationships/hyperlink" Target="https://drive.google.com/open?id=1sJ8hoqcCO1xvscuSVDTyFUDiby4KuJbD" TargetMode="External"/><Relationship Id="rId3220" Type="http://schemas.openxmlformats.org/officeDocument/2006/relationships/hyperlink" Target="https://preskilet.com/watch?v=62a3731fa6956a00046001ff" TargetMode="External"/><Relationship Id="rId4551" Type="http://schemas.openxmlformats.org/officeDocument/2006/relationships/hyperlink" Target="https://drive.google.com/open?id=1twyXRrCKPCSA0GNiLlibl5xqn-ZNdYFv" TargetMode="External"/><Relationship Id="rId697" Type="http://schemas.openxmlformats.org/officeDocument/2006/relationships/hyperlink" Target="https://drive.google.com/open?id=1e2oduT531iKVvAaY3yDVTI12ChzL3bim" TargetMode="External"/><Relationship Id="rId3223" Type="http://schemas.openxmlformats.org/officeDocument/2006/relationships/hyperlink" Target="https://drive.google.com/open?id=1HTIC0ZALsE-vWZgU0EahOvDWNF_9rKFe" TargetMode="External"/><Relationship Id="rId4554" Type="http://schemas.openxmlformats.org/officeDocument/2006/relationships/hyperlink" Target="https://preskilet.com/watch?v=62bddf349535010004fd2b68" TargetMode="External"/><Relationship Id="rId696" Type="http://schemas.openxmlformats.org/officeDocument/2006/relationships/hyperlink" Target="https://preskilet.com/6298598d1eda900004ec102a" TargetMode="External"/><Relationship Id="rId3222" Type="http://schemas.openxmlformats.org/officeDocument/2006/relationships/hyperlink" Target="https://drive.google.com/open?id=1E2g3uuq0lj95ycuK9Iom4Y1YuF0NEPYB" TargetMode="External"/><Relationship Id="rId4553" Type="http://schemas.openxmlformats.org/officeDocument/2006/relationships/hyperlink" Target="https://www.linkedin.com/in/akash-damdhar-0452801a2" TargetMode="External"/><Relationship Id="rId695" Type="http://schemas.openxmlformats.org/officeDocument/2006/relationships/hyperlink" Target="https://drive.google.com/open?id=1lL9XUdVLsdrjk75Xb7KcMQqZdrH7Kks5" TargetMode="External"/><Relationship Id="rId3225" Type="http://schemas.openxmlformats.org/officeDocument/2006/relationships/hyperlink" Target="https://drive.google.com/open?id=1glTtzCjPztxwb_XtT24HkDMzm-KVuwzQ" TargetMode="External"/><Relationship Id="rId4556" Type="http://schemas.openxmlformats.org/officeDocument/2006/relationships/hyperlink" Target="https://drive.google.com/open?id=1cJPpgvpolCbmlFaiyUV_CPFXoE7EftYs" TargetMode="External"/><Relationship Id="rId694" Type="http://schemas.openxmlformats.org/officeDocument/2006/relationships/hyperlink" Target="https://drive.google.com/open?id=1P8IDIFfwdz8sJcWUzNkr_ZzcloZ26tQW" TargetMode="External"/><Relationship Id="rId3224" Type="http://schemas.openxmlformats.org/officeDocument/2006/relationships/hyperlink" Target="https://drive.google.com/open?id=1VGTzQ4_gLp4GZF9jewnKXp8eOfWY0gk7" TargetMode="External"/><Relationship Id="rId4555" Type="http://schemas.openxmlformats.org/officeDocument/2006/relationships/hyperlink" Target="https://drive.google.com/open?id=15QlG5XjPpUuyRGX_ZGITm2qvk01kRZiO" TargetMode="External"/><Relationship Id="rId3259" Type="http://schemas.openxmlformats.org/officeDocument/2006/relationships/hyperlink" Target="https://drive.google.com/open?id=1voxpNRMleD3RUW2iDxXnThpnRFzhXkYD" TargetMode="External"/><Relationship Id="rId3250" Type="http://schemas.openxmlformats.org/officeDocument/2006/relationships/hyperlink" Target="https://drive.google.com/open?id=1061kRAw48Igd5TGnxiBgzO9OmbI1Ax6W" TargetMode="External"/><Relationship Id="rId4581" Type="http://schemas.openxmlformats.org/officeDocument/2006/relationships/hyperlink" Target="https://drive.google.com/open?id=1D-3HtLldekAfrhVco9_rQ0H8ST7jHx31" TargetMode="External"/><Relationship Id="rId4580" Type="http://schemas.openxmlformats.org/officeDocument/2006/relationships/hyperlink" Target="https://drive.google.com/open?id=1CxJk7yYldIJJuGJj2MaghTAvHp_q8kZE" TargetMode="External"/><Relationship Id="rId3252" Type="http://schemas.openxmlformats.org/officeDocument/2006/relationships/hyperlink" Target="https://drive.google.com/open?id=1iH-m7pSecrjtJAARXYZIWYtKHXPF_TlL" TargetMode="External"/><Relationship Id="rId4583" Type="http://schemas.openxmlformats.org/officeDocument/2006/relationships/hyperlink" Target="https://drive.google.com/open?id=13nmUikgXaI1qbFwJlJdNDATSmw1AFT8J" TargetMode="External"/><Relationship Id="rId3251" Type="http://schemas.openxmlformats.org/officeDocument/2006/relationships/hyperlink" Target="https://drive.google.com/open?id=1BhLKsI4t8WqpGCHrOsgp6H8oHCDcRAvn" TargetMode="External"/><Relationship Id="rId4582" Type="http://schemas.openxmlformats.org/officeDocument/2006/relationships/hyperlink" Target="https://drive.google.com/open?id=1Ehor5Si1wj_fYb4P_U1U2Ik-lChJvXEd" TargetMode="External"/><Relationship Id="rId3254" Type="http://schemas.openxmlformats.org/officeDocument/2006/relationships/hyperlink" Target="https://drive.google.com/open?id=1lL1r7tyCc62shMyJZkTjv60ZE_Fi2XCZ" TargetMode="External"/><Relationship Id="rId4585" Type="http://schemas.openxmlformats.org/officeDocument/2006/relationships/hyperlink" Target="https://www.linkedin.com/in/salman-tamboli-31300b22a" TargetMode="External"/><Relationship Id="rId3253" Type="http://schemas.openxmlformats.org/officeDocument/2006/relationships/hyperlink" Target="https://drive.google.com/open?id=1cxSMA0op2GBflgraUWRzwEcaEvDgo5QC" TargetMode="External"/><Relationship Id="rId4584" Type="http://schemas.openxmlformats.org/officeDocument/2006/relationships/hyperlink" Target="https://drive.google.com/open?id=1SL8DciOHmwHyz0wTL11nWk-w8vQSGwyU" TargetMode="External"/><Relationship Id="rId3256" Type="http://schemas.openxmlformats.org/officeDocument/2006/relationships/hyperlink" Target="https://www.linkedin.com/in/adarsh-pawar-1959851a7" TargetMode="External"/><Relationship Id="rId4587" Type="http://schemas.openxmlformats.org/officeDocument/2006/relationships/hyperlink" Target="https://drive.google.com/open?id=1FS_cijjHRhd08OKzbxTkHwzkxrKTe3ep" TargetMode="External"/><Relationship Id="rId3255" Type="http://schemas.openxmlformats.org/officeDocument/2006/relationships/hyperlink" Target="https://drive.google.com/open?id=1UaL2wXN6nK_prK7M2NZbQP6cxTDtZFCg" TargetMode="External"/><Relationship Id="rId4586" Type="http://schemas.openxmlformats.org/officeDocument/2006/relationships/hyperlink" Target="https://preskilet.com/watch?v=62a31b7ba6956a00045ff917" TargetMode="External"/><Relationship Id="rId3258" Type="http://schemas.openxmlformats.org/officeDocument/2006/relationships/hyperlink" Target="https://drive.google.com/open?id=1V4Ty9bujUdjCxHZ-SpjtfxdF6B_kRWqf" TargetMode="External"/><Relationship Id="rId4589" Type="http://schemas.openxmlformats.org/officeDocument/2006/relationships/hyperlink" Target="https://drive.google.com/open?id=1mSayFSKnTGunP9pKDMtnTFLZyPEAUEzE" TargetMode="External"/><Relationship Id="rId3257" Type="http://schemas.openxmlformats.org/officeDocument/2006/relationships/hyperlink" Target="https://preskilet.com/watch?v=62b4b97530b28000045238a5" TargetMode="External"/><Relationship Id="rId4588" Type="http://schemas.openxmlformats.org/officeDocument/2006/relationships/hyperlink" Target="https://drive.google.com/open?id=1mC-URmdMFpk4x1Aj6eFxln46s2K9l7RI" TargetMode="External"/><Relationship Id="rId3249" Type="http://schemas.openxmlformats.org/officeDocument/2006/relationships/hyperlink" Target="https://drive.google.com/open?id=1xI8RDYSSNrQkjFeXzNXi04ET6r6hW6dv" TargetMode="External"/><Relationship Id="rId3248" Type="http://schemas.openxmlformats.org/officeDocument/2006/relationships/hyperlink" Target="https://drive.google.com/open?id=1pcErPkwa5SRz025mB6Nyq0_5pwvYfeGj" TargetMode="External"/><Relationship Id="rId4579" Type="http://schemas.openxmlformats.org/officeDocument/2006/relationships/hyperlink" Target="https://drive.google.com/open?id=1f4gYe84N2i75fWaGqOPQ6a933jWts3Tt" TargetMode="External"/><Relationship Id="rId4570" Type="http://schemas.openxmlformats.org/officeDocument/2006/relationships/hyperlink" Target="http://www.linkedin.com/in/vishal-gaikwad-7a336b241" TargetMode="External"/><Relationship Id="rId3241" Type="http://schemas.openxmlformats.org/officeDocument/2006/relationships/hyperlink" Target="https://drive.google.com/open?id=1a15gGy_v01xx6rTuHuqImzOD40y4tvah" TargetMode="External"/><Relationship Id="rId4572" Type="http://schemas.openxmlformats.org/officeDocument/2006/relationships/hyperlink" Target="https://drive.google.com/open?id=1zut_gU1n5G4LqbiV6Tl6p43aIW_TVgMc" TargetMode="External"/><Relationship Id="rId3240" Type="http://schemas.openxmlformats.org/officeDocument/2006/relationships/hyperlink" Target="https://drive.google.com/open?id=117U6pLfdyZIy2jZ9AmjC0ZEkKRHW4PBZ" TargetMode="External"/><Relationship Id="rId4571" Type="http://schemas.openxmlformats.org/officeDocument/2006/relationships/hyperlink" Target="https://preskilet.com/watch?v=62a36251a6956a00045fff8d" TargetMode="External"/><Relationship Id="rId3243" Type="http://schemas.openxmlformats.org/officeDocument/2006/relationships/hyperlink" Target="https://drive.google.com/open?id=1gWhjtFsQavd5sAVrr-U26DHML6xSgmJM" TargetMode="External"/><Relationship Id="rId4574" Type="http://schemas.openxmlformats.org/officeDocument/2006/relationships/hyperlink" Target="https://drive.google.com/open?id=1-LGj_mUVBqvHyTkwAXmdH3hoVJ9o4ZdE" TargetMode="External"/><Relationship Id="rId3242" Type="http://schemas.openxmlformats.org/officeDocument/2006/relationships/hyperlink" Target="https://drive.google.com/open?id=1P7hPDmp4BhB3PHYQPsq0JZWTDuglKpII" TargetMode="External"/><Relationship Id="rId4573" Type="http://schemas.openxmlformats.org/officeDocument/2006/relationships/hyperlink" Target="https://drive.google.com/open?id=12RdJ_v36Hm6SqgStNtxcaZt6XzYLPQpH" TargetMode="External"/><Relationship Id="rId3245" Type="http://schemas.openxmlformats.org/officeDocument/2006/relationships/hyperlink" Target="https://drive.google.com/open?id=1ZuJs_P_Ktob40hlM_NIPtIu1En0fkYMm" TargetMode="External"/><Relationship Id="rId4576" Type="http://schemas.openxmlformats.org/officeDocument/2006/relationships/hyperlink" Target="https://preskilet.com/krantisinha.jagtap@mitaoe.ac.in" TargetMode="External"/><Relationship Id="rId3244" Type="http://schemas.openxmlformats.org/officeDocument/2006/relationships/hyperlink" Target="https://drive.google.com/open?id=1kINJOANjF9luRQEl-4B3OGT7QgcR3sy0" TargetMode="External"/><Relationship Id="rId4575" Type="http://schemas.openxmlformats.org/officeDocument/2006/relationships/hyperlink" Target="https://www.linkedin.com/in/krantisinha-jagtap-63304a21a/" TargetMode="External"/><Relationship Id="rId3247" Type="http://schemas.openxmlformats.org/officeDocument/2006/relationships/hyperlink" Target="https://preskilet.com/watch?v=62b4a02c30b2800004523652" TargetMode="External"/><Relationship Id="rId4578" Type="http://schemas.openxmlformats.org/officeDocument/2006/relationships/hyperlink" Target="https://drive.google.com/open?id=1k7z7e0It9uPTgqWQ0zCVMVtYMLJJigZz" TargetMode="External"/><Relationship Id="rId3246" Type="http://schemas.openxmlformats.org/officeDocument/2006/relationships/hyperlink" Target="https://www.linkedin.com/in/atharv-kad-a41a301a6" TargetMode="External"/><Relationship Id="rId4577" Type="http://schemas.openxmlformats.org/officeDocument/2006/relationships/hyperlink" Target="https://drive.google.com/open?id=1DfUAQnajg4L_J7DMiid6eRmeMCy_yGg7" TargetMode="External"/><Relationship Id="rId1499" Type="http://schemas.openxmlformats.org/officeDocument/2006/relationships/hyperlink" Target="https://drive.google.com/open?id=1QJMljZ8neUvsfEL6WTAf-fU90mxLWHYw" TargetMode="External"/><Relationship Id="rId4525" Type="http://schemas.openxmlformats.org/officeDocument/2006/relationships/hyperlink" Target="https://drive.google.com/open?id=1jMSZ-GYUKYwHgV0xOawteK-uUeuvLWRD" TargetMode="External"/><Relationship Id="rId4524" Type="http://schemas.openxmlformats.org/officeDocument/2006/relationships/hyperlink" Target="https://preskilet.com/watch?v=62a45548589aee0004d9844b" TargetMode="External"/><Relationship Id="rId4527" Type="http://schemas.openxmlformats.org/officeDocument/2006/relationships/hyperlink" Target="https://drive.google.com/open?id=1fnC3rW-5mbAeFHk5OLku4qqOcgLHZWAh" TargetMode="External"/><Relationship Id="rId4526" Type="http://schemas.openxmlformats.org/officeDocument/2006/relationships/hyperlink" Target="https://drive.google.com/open?id=1gs0y2KyYRfiOirMeyC6hmd3TdFgs9TOe" TargetMode="External"/><Relationship Id="rId4529" Type="http://schemas.openxmlformats.org/officeDocument/2006/relationships/hyperlink" Target="https://www.linkedin.com/in/sanket-yelwande-b99796241" TargetMode="External"/><Relationship Id="rId4528" Type="http://schemas.openxmlformats.org/officeDocument/2006/relationships/hyperlink" Target="https://drive.google.com/open?id=1eud8NHS_XG45j-KNydpZkD1t3sJB3bHl" TargetMode="External"/><Relationship Id="rId668" Type="http://schemas.openxmlformats.org/officeDocument/2006/relationships/hyperlink" Target="https://drive.google.com/open?id=1aUcjtzatqRrfbLHMmPWSDrJbB-1DzASq" TargetMode="External"/><Relationship Id="rId667" Type="http://schemas.openxmlformats.org/officeDocument/2006/relationships/hyperlink" Target="https://drive.google.com/open?id=1I-QJ55DbSHz1uErj0op3jvDOMKLd9cId" TargetMode="External"/><Relationship Id="rId666" Type="http://schemas.openxmlformats.org/officeDocument/2006/relationships/hyperlink" Target="https://drive.google.com/open?id=1R6nnvrzfGiN1CdbTk-iDrrAXeljes_qi" TargetMode="External"/><Relationship Id="rId665" Type="http://schemas.openxmlformats.org/officeDocument/2006/relationships/hyperlink" Target="https://drive.google.com/open?id=1fenwo-8nM_IPAEJo5Fk-UJA0zX5EH4VM" TargetMode="External"/><Relationship Id="rId669" Type="http://schemas.openxmlformats.org/officeDocument/2006/relationships/hyperlink" Target="https://drive.google.com/open?id=1E_UcfUvtwHJBM6jP6PzNRvvKuAXpa7jx" TargetMode="External"/><Relationship Id="rId1490" Type="http://schemas.openxmlformats.org/officeDocument/2006/relationships/hyperlink" Target="https://drive.google.com/open?id=13ADUOH0XRt_JJWn3UTWe7YZ87ndeBCPQ" TargetMode="External"/><Relationship Id="rId660" Type="http://schemas.openxmlformats.org/officeDocument/2006/relationships/hyperlink" Target="https://drive.google.com/open?id=1OfWd4pnaI8xoQ03A-5bOY7WtLzyy25g4" TargetMode="External"/><Relationship Id="rId1491" Type="http://schemas.openxmlformats.org/officeDocument/2006/relationships/hyperlink" Target="https://drive.google.com/open?id=1DvM3c7cvttJ8arGI5IWFqixxFcmRpbZ7" TargetMode="External"/><Relationship Id="rId1492" Type="http://schemas.openxmlformats.org/officeDocument/2006/relationships/hyperlink" Target="https://drive.google.com/open?id=1PJamJjl_fyMI4mH5KQzdljDzNX9IpVJw" TargetMode="External"/><Relationship Id="rId1493" Type="http://schemas.openxmlformats.org/officeDocument/2006/relationships/hyperlink" Target="https://drive.google.com/open?id=1aQcEnmQAUpawd3F0MQs5l7jqEARaaI2A" TargetMode="External"/><Relationship Id="rId1494" Type="http://schemas.openxmlformats.org/officeDocument/2006/relationships/hyperlink" Target="https://drive.google.com/open?id=1GlTYgcCTY6Hpmbh_JhhIuC9uZeEIuTNo" TargetMode="External"/><Relationship Id="rId664" Type="http://schemas.openxmlformats.org/officeDocument/2006/relationships/hyperlink" Target="https://drive.google.com/open?id=1P4iLL4gZ4b5DoW5raI_ENCQq3Xx7IROJ" TargetMode="External"/><Relationship Id="rId1495" Type="http://schemas.openxmlformats.org/officeDocument/2006/relationships/hyperlink" Target="https://drive.google.com/open?id=1Nnhffspw-gLZ3wxZnvlavu8bh2XxEdBq" TargetMode="External"/><Relationship Id="rId4521" Type="http://schemas.openxmlformats.org/officeDocument/2006/relationships/hyperlink" Target="https://drive.google.com/open?id=1OpCvsdBNbh83mkNjQ6FJpaa3HwNEYRmm" TargetMode="External"/><Relationship Id="rId663" Type="http://schemas.openxmlformats.org/officeDocument/2006/relationships/hyperlink" Target="https://preskilet.com/jatin.burde@mitaoe.ac.in" TargetMode="External"/><Relationship Id="rId1496" Type="http://schemas.openxmlformats.org/officeDocument/2006/relationships/hyperlink" Target="https://www.linkedin.com/in/ritesh-kulkarni-a70469188/" TargetMode="External"/><Relationship Id="rId4520" Type="http://schemas.openxmlformats.org/officeDocument/2006/relationships/hyperlink" Target="https://drive.google.com/open?id=1RNCTDoMaCR3oDqG8dsCrvl5YWKlK_wqB" TargetMode="External"/><Relationship Id="rId662" Type="http://schemas.openxmlformats.org/officeDocument/2006/relationships/hyperlink" Target="http://www.linkedin.com/in/jatin-burde-0233271aa" TargetMode="External"/><Relationship Id="rId1497" Type="http://schemas.openxmlformats.org/officeDocument/2006/relationships/hyperlink" Target="https://preskilet.com/watch?v=62a48cdd589aee0004d984f3" TargetMode="External"/><Relationship Id="rId4523" Type="http://schemas.openxmlformats.org/officeDocument/2006/relationships/hyperlink" Target="https://www.linkedin.com/in/ram-madhav-naghore-499420240" TargetMode="External"/><Relationship Id="rId661" Type="http://schemas.openxmlformats.org/officeDocument/2006/relationships/hyperlink" Target="https://drive.google.com/open?id=1hOYIW99cPEyontgG88CtkspNP8Vej8wx" TargetMode="External"/><Relationship Id="rId1498" Type="http://schemas.openxmlformats.org/officeDocument/2006/relationships/hyperlink" Target="https://drive.google.com/open?id=1CArtVp5TLrHBKF6JvdWwDd6JWMSxcgEW" TargetMode="External"/><Relationship Id="rId4522" Type="http://schemas.openxmlformats.org/officeDocument/2006/relationships/hyperlink" Target="https://drive.google.com/open?id=1x6i9EkQdB5zPSc6DKNzCMQXf0-M00pKd" TargetMode="External"/><Relationship Id="rId1488" Type="http://schemas.openxmlformats.org/officeDocument/2006/relationships/hyperlink" Target="http://inkedin.com/in/aditya-kumar-210a60211/" TargetMode="External"/><Relationship Id="rId4514" Type="http://schemas.openxmlformats.org/officeDocument/2006/relationships/hyperlink" Target="https://drive.google.com/open?id=1u1vm1oXHnNMiejnFW3UIo_DToqqXqgCD" TargetMode="External"/><Relationship Id="rId1489" Type="http://schemas.openxmlformats.org/officeDocument/2006/relationships/hyperlink" Target="https://preskilet.com/watch?v=62a365eaa6956a0004600019" TargetMode="External"/><Relationship Id="rId4513" Type="http://schemas.openxmlformats.org/officeDocument/2006/relationships/hyperlink" Target="https://drive.google.com/open?id=1So4U3b-bzQ9aya542cQDuCkyzsYo2wEt" TargetMode="External"/><Relationship Id="rId4516" Type="http://schemas.openxmlformats.org/officeDocument/2006/relationships/hyperlink" Target="https://preskilet.com/watch?v=62bdd72f9535010004fd2b11" TargetMode="External"/><Relationship Id="rId4515" Type="http://schemas.openxmlformats.org/officeDocument/2006/relationships/hyperlink" Target="https://www.linkedin.com/in/pratima-hatkar-a4a9b023a" TargetMode="External"/><Relationship Id="rId4518" Type="http://schemas.openxmlformats.org/officeDocument/2006/relationships/hyperlink" Target="https://drive.google.com/open?id=1zXL8kymDKRgOpejiwCXBj2z7lbflywd6" TargetMode="External"/><Relationship Id="rId4517" Type="http://schemas.openxmlformats.org/officeDocument/2006/relationships/hyperlink" Target="https://drive.google.com/open?id=1XW3HDq9DHFHrxJbNDpNefUYVMQlgx9jU" TargetMode="External"/><Relationship Id="rId4519" Type="http://schemas.openxmlformats.org/officeDocument/2006/relationships/hyperlink" Target="https://drive.google.com/open?id=1R479SBNdDV9UUICsANoJGQL-UF5qxzgL" TargetMode="External"/><Relationship Id="rId657" Type="http://schemas.openxmlformats.org/officeDocument/2006/relationships/hyperlink" Target="https://www.linkedin.com/in/shweta-jagtap-b66951241" TargetMode="External"/><Relationship Id="rId656" Type="http://schemas.openxmlformats.org/officeDocument/2006/relationships/hyperlink" Target="https://drive.google.com/open?id=1lYJuM49PgOWoVgEdSgH7M3HyqURVpmKa" TargetMode="External"/><Relationship Id="rId655" Type="http://schemas.openxmlformats.org/officeDocument/2006/relationships/hyperlink" Target="https://drive.google.com/open?id=11iFcd4ULmjj0IVBBcMPQzY_WGYS0ZRUU" TargetMode="External"/><Relationship Id="rId654" Type="http://schemas.openxmlformats.org/officeDocument/2006/relationships/hyperlink" Target="https://drive.google.com/open?id=1nip1-6LE-dBKr1ixeyGziX1UgWxdLj1F" TargetMode="External"/><Relationship Id="rId659" Type="http://schemas.openxmlformats.org/officeDocument/2006/relationships/hyperlink" Target="https://drive.google.com/open?id=199TaIPDprKuXF68VGPRKPuJ8cdju09B0" TargetMode="External"/><Relationship Id="rId658" Type="http://schemas.openxmlformats.org/officeDocument/2006/relationships/hyperlink" Target="https://drive.google.com/drive/folders/18ru-z1XJLPAdUgKkq36dKh8gv1BAqmJJ" TargetMode="External"/><Relationship Id="rId1480" Type="http://schemas.openxmlformats.org/officeDocument/2006/relationships/hyperlink" Target="https://www.linkedin.com/in/sanika-pareek-50548120a/" TargetMode="External"/><Relationship Id="rId1481" Type="http://schemas.openxmlformats.org/officeDocument/2006/relationships/hyperlink" Target="https://preskilet.com/watch?v=62962f55716ac10004981738" TargetMode="External"/><Relationship Id="rId1482" Type="http://schemas.openxmlformats.org/officeDocument/2006/relationships/hyperlink" Target="https://drive.google.com/open?id=1V_ZeN3Njt5zLfHs8plRclQdNs0D2B0ns" TargetMode="External"/><Relationship Id="rId1483" Type="http://schemas.openxmlformats.org/officeDocument/2006/relationships/hyperlink" Target="https://drive.google.com/open?id=1p5EIW8t9rEyJAvqb2dxVhoH3bf3uQ-Lf" TargetMode="External"/><Relationship Id="rId653" Type="http://schemas.openxmlformats.org/officeDocument/2006/relationships/hyperlink" Target="https://drive.google.com/open?id=1Mhx3k-o4BPFFcyR3ukuFIGZxPCwHAxjX" TargetMode="External"/><Relationship Id="rId1484" Type="http://schemas.openxmlformats.org/officeDocument/2006/relationships/hyperlink" Target="https://drive.google.com/open?id=1bj87W3TOuF4IPJv1kQNlKiRLqSjqNjCN" TargetMode="External"/><Relationship Id="rId4510" Type="http://schemas.openxmlformats.org/officeDocument/2006/relationships/hyperlink" Target="https://drive.google.com/open?id=1XLYDGKR7i50epdN2Hjj1tYprzfND6Jy3" TargetMode="External"/><Relationship Id="rId652" Type="http://schemas.openxmlformats.org/officeDocument/2006/relationships/hyperlink" Target="https://drive.google.com/open?id=1E8_-pjJHge-dN4ZX7_scZIGwRR8vn1rp" TargetMode="External"/><Relationship Id="rId1485" Type="http://schemas.openxmlformats.org/officeDocument/2006/relationships/hyperlink" Target="https://drive.google.com/open?id=1LXWqjsg1I3g-iXgj8clChtOhs1S0KLW8" TargetMode="External"/><Relationship Id="rId651" Type="http://schemas.openxmlformats.org/officeDocument/2006/relationships/hyperlink" Target="https://drive.google.com/open?id=1mKU-2O3MyEoBxn9zGjw2pphN9vmaeaeP" TargetMode="External"/><Relationship Id="rId1486" Type="http://schemas.openxmlformats.org/officeDocument/2006/relationships/hyperlink" Target="https://drive.google.com/open?id=1rSZAekdvqtiAYKDor-ghgZ6DWD5dmW0V" TargetMode="External"/><Relationship Id="rId4512" Type="http://schemas.openxmlformats.org/officeDocument/2006/relationships/hyperlink" Target="https://drive.google.com/open?id=1lL93bsWBbUOayCds9JO3B6B1o-WZ4qP0" TargetMode="External"/><Relationship Id="rId650" Type="http://schemas.openxmlformats.org/officeDocument/2006/relationships/hyperlink" Target="https://drive.google.com/open?id=1S5tTc1TExJny_svrn1SNQWSM5fU3O38d" TargetMode="External"/><Relationship Id="rId1487" Type="http://schemas.openxmlformats.org/officeDocument/2006/relationships/hyperlink" Target="https://drive.google.com/open?id=1dBTJYrkIqstkaqKRUjE0WjQVbach3tQy" TargetMode="External"/><Relationship Id="rId4511" Type="http://schemas.openxmlformats.org/officeDocument/2006/relationships/hyperlink" Target="https://drive.google.com/open?id=1VtKe6l4MiY6ZBxjINY81Ksfw4N5JTQZm" TargetMode="External"/><Relationship Id="rId3216" Type="http://schemas.openxmlformats.org/officeDocument/2006/relationships/hyperlink" Target="https://drive.google.com/open?id=11xhfhZFFi4awfRahTY8hT8Dsimk3A1a1" TargetMode="External"/><Relationship Id="rId4547" Type="http://schemas.openxmlformats.org/officeDocument/2006/relationships/hyperlink" Target="https://drive.google.com/open?id=1SCkQjnPMs2UQQwk239aXIKb5gjZEQqN1" TargetMode="External"/><Relationship Id="rId3215" Type="http://schemas.openxmlformats.org/officeDocument/2006/relationships/hyperlink" Target="https://preskilet.com/watch?v=62a34b87a6956a00045ffdb8" TargetMode="External"/><Relationship Id="rId4546" Type="http://schemas.openxmlformats.org/officeDocument/2006/relationships/hyperlink" Target="https://drive.google.com/open?id=1mJaGFEd39eeOVntejkUjU1M1XQx_OyKd" TargetMode="External"/><Relationship Id="rId3218" Type="http://schemas.openxmlformats.org/officeDocument/2006/relationships/hyperlink" Target="https://drive.google.com/open?id=1ppcpUw8unDkTKFnvHa-LItXhKbiKAAjA" TargetMode="External"/><Relationship Id="rId4549" Type="http://schemas.openxmlformats.org/officeDocument/2006/relationships/hyperlink" Target="https://drive.google.com/open?id=1UjnewnKY6AIYdxUJ3bzpB7hoHq_4I6VS" TargetMode="External"/><Relationship Id="rId3217" Type="http://schemas.openxmlformats.org/officeDocument/2006/relationships/hyperlink" Target="https://drive.google.com/open?id=16xhQSnLqAccxw3GKUVOlGRR9jH_CG_kE" TargetMode="External"/><Relationship Id="rId4548" Type="http://schemas.openxmlformats.org/officeDocument/2006/relationships/hyperlink" Target="https://drive.google.com/open?id=1uW9IBhSanRj2fpdMCJFt3hiMrnLWmp_N" TargetMode="External"/><Relationship Id="rId3219" Type="http://schemas.openxmlformats.org/officeDocument/2006/relationships/hyperlink" Target="http://www.linkedin.com/in/swaraj-kurapati23" TargetMode="External"/><Relationship Id="rId689" Type="http://schemas.openxmlformats.org/officeDocument/2006/relationships/hyperlink" Target="https://drive.google.com/open?id=1sGt9PQ4ePHKJEpY6-LjtvXk5ZJXpNhOT" TargetMode="External"/><Relationship Id="rId688" Type="http://schemas.openxmlformats.org/officeDocument/2006/relationships/hyperlink" Target="https://preskilet.com/62a49618589aee0004d9851c" TargetMode="External"/><Relationship Id="rId687" Type="http://schemas.openxmlformats.org/officeDocument/2006/relationships/hyperlink" Target="https://www.linkedin.com/in/varad-khandekar-65363b223" TargetMode="External"/><Relationship Id="rId682" Type="http://schemas.openxmlformats.org/officeDocument/2006/relationships/hyperlink" Target="https://drive.google.com/open?id=1FO2a9z8OjFKU7i3MKFuMcw3_bKj-_UMb" TargetMode="External"/><Relationship Id="rId681" Type="http://schemas.openxmlformats.org/officeDocument/2006/relationships/hyperlink" Target="https://drive.google.com/open?id=1pw424WE4d5xiEavcwrl6G-LpWqdViaqj" TargetMode="External"/><Relationship Id="rId680" Type="http://schemas.openxmlformats.org/officeDocument/2006/relationships/hyperlink" Target="https://drive.google.com/open?id=13VqjhtzVttoVY5c5cnT4XO7-_Ebjvn38" TargetMode="External"/><Relationship Id="rId3210" Type="http://schemas.openxmlformats.org/officeDocument/2006/relationships/hyperlink" Target="https://www.linkedin.com/in/kunal-shinde-1b17a2205/" TargetMode="External"/><Relationship Id="rId4541" Type="http://schemas.openxmlformats.org/officeDocument/2006/relationships/hyperlink" Target="https://drive.google.com/open?id=1DpwOrgHI2DjxWAm7qHR3cHMrDPqldNdU" TargetMode="External"/><Relationship Id="rId4540" Type="http://schemas.openxmlformats.org/officeDocument/2006/relationships/hyperlink" Target="https://drive.google.com/open?id=1nDt_5XP0NOQ2H8i2jGRWEnMbX84RDxc2" TargetMode="External"/><Relationship Id="rId686" Type="http://schemas.openxmlformats.org/officeDocument/2006/relationships/hyperlink" Target="https://drive.google.com/open?id=1Dd6eoKa4TC9EfuzbG2ZEcrOJE_U4yq28" TargetMode="External"/><Relationship Id="rId3212" Type="http://schemas.openxmlformats.org/officeDocument/2006/relationships/hyperlink" Target="https://drive.google.com/open?id=1gQZrQVKY08k_UJPY2bGWVzeUHfF1D5wP" TargetMode="External"/><Relationship Id="rId4543" Type="http://schemas.openxmlformats.org/officeDocument/2006/relationships/hyperlink" Target="https://drive.google.com/open?id=1fe98lFAT6NNCODvJfaeGedzU8ydgTWpx" TargetMode="External"/><Relationship Id="rId685" Type="http://schemas.openxmlformats.org/officeDocument/2006/relationships/hyperlink" Target="https://drive.google.com/open?id=1TzC0LiQ9lPxmfxwQeUEHLcFoJ3SyaoTA" TargetMode="External"/><Relationship Id="rId3211" Type="http://schemas.openxmlformats.org/officeDocument/2006/relationships/hyperlink" Target="https://preskilet.com/watch?v=62a33f2ca6956a00045ffc76" TargetMode="External"/><Relationship Id="rId4542" Type="http://schemas.openxmlformats.org/officeDocument/2006/relationships/hyperlink" Target="https://drive.google.com/open?id=1oTINN_rnX7CeDSCpRQ1sYM_5nLLqmXe0" TargetMode="External"/><Relationship Id="rId684" Type="http://schemas.openxmlformats.org/officeDocument/2006/relationships/hyperlink" Target="https://drive.google.com/open?id=10NG4ds3fPw4Qiv5_J_bYfFXDY4aAaPRv" TargetMode="External"/><Relationship Id="rId3214" Type="http://schemas.openxmlformats.org/officeDocument/2006/relationships/hyperlink" Target="https://www.linkedin.com/in/niraj-dete-512aaa223" TargetMode="External"/><Relationship Id="rId4545" Type="http://schemas.openxmlformats.org/officeDocument/2006/relationships/hyperlink" Target="https://preskilet.com/watch?v=62bd4c579535010004fd2480" TargetMode="External"/><Relationship Id="rId683" Type="http://schemas.openxmlformats.org/officeDocument/2006/relationships/hyperlink" Target="https://drive.google.com/open?id=1u8jdWjlfBHVuWKhztczlkrpaYO0cPAb6" TargetMode="External"/><Relationship Id="rId3213" Type="http://schemas.openxmlformats.org/officeDocument/2006/relationships/hyperlink" Target="https://drive.google.com/open?id=1TXSWhMFlQp44Dc4O6e21hBJvBQSCJDgA" TargetMode="External"/><Relationship Id="rId4544" Type="http://schemas.openxmlformats.org/officeDocument/2006/relationships/hyperlink" Target="https://www.linkedin.com/in/ketan-wagh-507460229" TargetMode="External"/><Relationship Id="rId3205" Type="http://schemas.openxmlformats.org/officeDocument/2006/relationships/hyperlink" Target="https://www.linkedin.com/in/aishwarya-chouthe-1a9b3a229" TargetMode="External"/><Relationship Id="rId4536" Type="http://schemas.openxmlformats.org/officeDocument/2006/relationships/hyperlink" Target="https://drive.google.com/open?id=1LZkgsPm6YuHQwdMHxgTjXsgHmr-AcxKk" TargetMode="External"/><Relationship Id="rId3204" Type="http://schemas.openxmlformats.org/officeDocument/2006/relationships/hyperlink" Target="https://drive.google.com/open?id=1ANnkTmWGehz_KLOJouPEEnk9iEDxofIY" TargetMode="External"/><Relationship Id="rId4535" Type="http://schemas.openxmlformats.org/officeDocument/2006/relationships/hyperlink" Target="https://drive.google.com/open?id=1NehZDk2RDBw1CzdIfimDsQZal5oDgDy2" TargetMode="External"/><Relationship Id="rId3207" Type="http://schemas.openxmlformats.org/officeDocument/2006/relationships/hyperlink" Target="https://drive.google.com/open?id=1NImdTz8r-NpcXs3yz_ESt3lucmwdNzbx" TargetMode="External"/><Relationship Id="rId4538" Type="http://schemas.openxmlformats.org/officeDocument/2006/relationships/hyperlink" Target="https://www.linkedin.com/in/avikesh-gaikwad-55167b224/" TargetMode="External"/><Relationship Id="rId3206" Type="http://schemas.openxmlformats.org/officeDocument/2006/relationships/hyperlink" Target="https://preskilet.com/aishwarya.chouthe@mitaoe.ac.in" TargetMode="External"/><Relationship Id="rId4537" Type="http://schemas.openxmlformats.org/officeDocument/2006/relationships/hyperlink" Target="https://drive.google.com/open?id=1ZJkhTGZwDD4Oke7AGa1RrJ_FHNcShM91" TargetMode="External"/><Relationship Id="rId3209" Type="http://schemas.openxmlformats.org/officeDocument/2006/relationships/hyperlink" Target="https://drive.google.com/open?id=1CmU-eNNOYKRhVWSw77Vln1gB4GAm7Z0c" TargetMode="External"/><Relationship Id="rId3208" Type="http://schemas.openxmlformats.org/officeDocument/2006/relationships/hyperlink" Target="https://drive.google.com/open?id=1OBI8-6LL_NrgV6OrdLdvZ32KvOy_ZPVy" TargetMode="External"/><Relationship Id="rId4539" Type="http://schemas.openxmlformats.org/officeDocument/2006/relationships/hyperlink" Target="https://preskilet.com/akgaikwad@mitaoe.ac.in" TargetMode="External"/><Relationship Id="rId679" Type="http://schemas.openxmlformats.org/officeDocument/2006/relationships/hyperlink" Target="https://preskilet.com/watch?v=629c842b300eb1000471f1ec" TargetMode="External"/><Relationship Id="rId678" Type="http://schemas.openxmlformats.org/officeDocument/2006/relationships/hyperlink" Target="https://www.linkedin.com/in/touphik-shaikh-815333231" TargetMode="External"/><Relationship Id="rId677" Type="http://schemas.openxmlformats.org/officeDocument/2006/relationships/hyperlink" Target="https://drive.google.com/open?id=1-E1YVv2RNWFUvT6XLkSCfcVUx5zSIzPt" TargetMode="External"/><Relationship Id="rId676" Type="http://schemas.openxmlformats.org/officeDocument/2006/relationships/hyperlink" Target="https://drive.google.com/open?id=1lA_coJHonmXfDbawD0VOmFZT9L5xfIJj" TargetMode="External"/><Relationship Id="rId671" Type="http://schemas.openxmlformats.org/officeDocument/2006/relationships/hyperlink" Target="https://preskilet.com/watch?v=62b209a9c1bbd50004166075" TargetMode="External"/><Relationship Id="rId670" Type="http://schemas.openxmlformats.org/officeDocument/2006/relationships/hyperlink" Target="https://www.linkedin.com/in/umesh-khillare-26316a241/" TargetMode="External"/><Relationship Id="rId4530" Type="http://schemas.openxmlformats.org/officeDocument/2006/relationships/hyperlink" Target="https://drive.google.com/file/d/1dn_CQgu_cpVqVmCgYmoY5WMXnybkviqk/view?usp=drivesdk" TargetMode="External"/><Relationship Id="rId675" Type="http://schemas.openxmlformats.org/officeDocument/2006/relationships/hyperlink" Target="https://drive.google.com/open?id=19iDDsqRf2RPlsCi8HinJs4r5KwC1WV5R" TargetMode="External"/><Relationship Id="rId3201" Type="http://schemas.openxmlformats.org/officeDocument/2006/relationships/hyperlink" Target="https://www.linkedin.com/in/lalitpetkule/" TargetMode="External"/><Relationship Id="rId4532" Type="http://schemas.openxmlformats.org/officeDocument/2006/relationships/hyperlink" Target="https://drive.google.com/open?id=1RNER6YdUb55myG_Juqi0P7Qu6C-5qS_S" TargetMode="External"/><Relationship Id="rId674" Type="http://schemas.openxmlformats.org/officeDocument/2006/relationships/hyperlink" Target="https://drive.google.com/open?id=1bb8xTnP6Qh5d_ccmqnfQulesCuRF473C" TargetMode="External"/><Relationship Id="rId3200" Type="http://schemas.openxmlformats.org/officeDocument/2006/relationships/hyperlink" Target="https://drive.google.com/open?id=1MsiN2NKHI4kYISNVuxEe-Erf9YTN88MW" TargetMode="External"/><Relationship Id="rId4531" Type="http://schemas.openxmlformats.org/officeDocument/2006/relationships/hyperlink" Target="https://drive.google.com/open?id=1_gqtnAefOiR2tMFYDt2d5U5KgY_40vW7" TargetMode="External"/><Relationship Id="rId673" Type="http://schemas.openxmlformats.org/officeDocument/2006/relationships/hyperlink" Target="https://drive.google.com/open?id=1kVndgS5iJF99bt0vZZbx1N-Udpj6mA3n" TargetMode="External"/><Relationship Id="rId3203" Type="http://schemas.openxmlformats.org/officeDocument/2006/relationships/hyperlink" Target="https://drive.google.com/open?id=1EUuRHI53JdvG_MCqOhwpVbTZ65t0q2Hj" TargetMode="External"/><Relationship Id="rId4534" Type="http://schemas.openxmlformats.org/officeDocument/2006/relationships/hyperlink" Target="https://drive.google.com/file/d/1CvmGOQBxeR3CAxlnegvxQg3xUruw70_l/view?usp=sharing" TargetMode="External"/><Relationship Id="rId672" Type="http://schemas.openxmlformats.org/officeDocument/2006/relationships/hyperlink" Target="https://drive.google.com/open?id=17FOqJ29WGQpNoH-rCxiCgSvdUKC7ZikX" TargetMode="External"/><Relationship Id="rId3202" Type="http://schemas.openxmlformats.org/officeDocument/2006/relationships/hyperlink" Target="https://drive.google.com/file/d/159COFqO0gQxoMtNOlTP8W6gZ5kVC5dZ9/view?usp=sharing" TargetMode="External"/><Relationship Id="rId4533" Type="http://schemas.openxmlformats.org/officeDocument/2006/relationships/hyperlink" Target="http://www.linkedin.com/in/patil-vishnu-88618a181" TargetMode="External"/><Relationship Id="rId190" Type="http://schemas.openxmlformats.org/officeDocument/2006/relationships/hyperlink" Target="https://drive.google.com/open?id=1bBSXmvUAxE3YB8ZGI0c65AWHo2ghIyDY" TargetMode="External"/><Relationship Id="rId5019" Type="http://schemas.openxmlformats.org/officeDocument/2006/relationships/hyperlink" Target="https://drive.google.com/open?id=1Ficc-K_GOp3FlrLnccXC8ODny4lnJVV8" TargetMode="External"/><Relationship Id="rId194" Type="http://schemas.openxmlformats.org/officeDocument/2006/relationships/hyperlink" Target="https://drive.google.com/open?id=1BFsnWTVNHopURHik5wX2kfoaLa93zeOB" TargetMode="External"/><Relationship Id="rId193" Type="http://schemas.openxmlformats.org/officeDocument/2006/relationships/hyperlink" Target="https://preskilet.com/watch?v=62bdabd89535010004fd27c4" TargetMode="External"/><Relationship Id="rId192" Type="http://schemas.openxmlformats.org/officeDocument/2006/relationships/hyperlink" Target="https://www.linkedin.com/in/nikita-garudkar-121792241" TargetMode="External"/><Relationship Id="rId191" Type="http://schemas.openxmlformats.org/officeDocument/2006/relationships/hyperlink" Target="https://drive.google.com/open?id=1L_9j2rDLF5IVjBOuK25Zq7RdEci50Qpi" TargetMode="External"/><Relationship Id="rId5010" Type="http://schemas.openxmlformats.org/officeDocument/2006/relationships/hyperlink" Target="https://preskilet.com/watch?v=62a379f5a6956a0004600382" TargetMode="External"/><Relationship Id="rId187" Type="http://schemas.openxmlformats.org/officeDocument/2006/relationships/hyperlink" Target="https://drive.google.com/open?id=1K2EzBG4vYsDRs8b8fqCXWHS5vwwYhmLo" TargetMode="External"/><Relationship Id="rId5013" Type="http://schemas.openxmlformats.org/officeDocument/2006/relationships/hyperlink" Target="https://drive.google.com/open?id=1sEM95x0ps-3G-3-dGwk7eVZ0FFfZva26" TargetMode="External"/><Relationship Id="rId186" Type="http://schemas.openxmlformats.org/officeDocument/2006/relationships/hyperlink" Target="https://drive.google.com/open?id=1-MIO6yWB6ct58pzMT5Sm3wgmvLcuhNxz" TargetMode="External"/><Relationship Id="rId5014" Type="http://schemas.openxmlformats.org/officeDocument/2006/relationships/hyperlink" Target="https://drive.google.com/open?id=1CncC81kE0ilgUgWz7emmsk_wl_U4_nu2" TargetMode="External"/><Relationship Id="rId185" Type="http://schemas.openxmlformats.org/officeDocument/2006/relationships/hyperlink" Target="https://preskilet.com/62b5b858af4f2700045cdfbd" TargetMode="External"/><Relationship Id="rId5011" Type="http://schemas.openxmlformats.org/officeDocument/2006/relationships/hyperlink" Target="https://drive.google.com/open?id=1OqmIW-iW0elBUYPBLJXWwlyJU890MSjL" TargetMode="External"/><Relationship Id="rId184" Type="http://schemas.openxmlformats.org/officeDocument/2006/relationships/hyperlink" Target="https://www.linkedin.com/in/sushant-urane-609261226" TargetMode="External"/><Relationship Id="rId5012" Type="http://schemas.openxmlformats.org/officeDocument/2006/relationships/hyperlink" Target="https://drive.google.com/open?id=1yu0TqB4uwvat_nBttKbmGSBB9mXbfO1k" TargetMode="External"/><Relationship Id="rId5017" Type="http://schemas.openxmlformats.org/officeDocument/2006/relationships/hyperlink" Target="https://drive.google.com/open?id=1lrjj6JYmEvXk3qNc1WdqpB_BCYmUcPLP" TargetMode="External"/><Relationship Id="rId5018" Type="http://schemas.openxmlformats.org/officeDocument/2006/relationships/hyperlink" Target="https://drive.google.com/open?id=139DFrayximYGZCu43ZgqSzXu9SfR9ex7" TargetMode="External"/><Relationship Id="rId189" Type="http://schemas.openxmlformats.org/officeDocument/2006/relationships/hyperlink" Target="https://drive.google.com/open?id=1A7AaYFckdwY2_nYTfqV0BvL18z5TqPSQ" TargetMode="External"/><Relationship Id="rId5015" Type="http://schemas.openxmlformats.org/officeDocument/2006/relationships/hyperlink" Target="https://drive.google.com/drive/folders/1UUpqgcTpfcNjMtMzwHt2t9ihAb5jzZF0?usp=sharing" TargetMode="External"/><Relationship Id="rId188" Type="http://schemas.openxmlformats.org/officeDocument/2006/relationships/hyperlink" Target="https://drive.google.com/open?id=11UAVSs6yAKRqbP091Yg-n9IiZ5pVEiG4" TargetMode="External"/><Relationship Id="rId5016" Type="http://schemas.openxmlformats.org/officeDocument/2006/relationships/hyperlink" Target="https://drive.google.com/open?id=175hqPR8Rj_1KxdzAEMtvGLe5lf1YjAQB" TargetMode="External"/><Relationship Id="rId5008" Type="http://schemas.openxmlformats.org/officeDocument/2006/relationships/hyperlink" Target="https://drive.google.com/open?id=1M9mD_ovQaGXZwwQHMULYOLMCpmiXboCy" TargetMode="External"/><Relationship Id="rId5009" Type="http://schemas.openxmlformats.org/officeDocument/2006/relationships/hyperlink" Target="https://www.linkedin.com/in/tanuja-hakepatil-125ba321a" TargetMode="External"/><Relationship Id="rId183" Type="http://schemas.openxmlformats.org/officeDocument/2006/relationships/hyperlink" Target="https://drive.google.com/open?id=1-jSaEIrWN1oo3gxHdQmdKz9xmSoCJxZP" TargetMode="External"/><Relationship Id="rId182" Type="http://schemas.openxmlformats.org/officeDocument/2006/relationships/hyperlink" Target="https://drive.google.com/open?id=1R-DGMvOjSYUxMb2vDK_pFgbqAdGvXE2F" TargetMode="External"/><Relationship Id="rId181" Type="http://schemas.openxmlformats.org/officeDocument/2006/relationships/hyperlink" Target="https://drive.google.com/open?id=1uQZ3zvFkRrxuYprbesk8ygNQXftVd1OD" TargetMode="External"/><Relationship Id="rId180" Type="http://schemas.openxmlformats.org/officeDocument/2006/relationships/hyperlink" Target="https://drive.google.com/open?id=1RdmuHrLl4y8Colohiidn-IcnUb5ZU-5u" TargetMode="External"/><Relationship Id="rId176" Type="http://schemas.openxmlformats.org/officeDocument/2006/relationships/hyperlink" Target="https://www.linkedin.com/in/vaibhav-shelake-79656b240" TargetMode="External"/><Relationship Id="rId5002" Type="http://schemas.openxmlformats.org/officeDocument/2006/relationships/hyperlink" Target="http://www.linkedin.com/in/sakshi-jagtap-549084212" TargetMode="External"/><Relationship Id="rId175" Type="http://schemas.openxmlformats.org/officeDocument/2006/relationships/hyperlink" Target="https://drive.google.com/open?id=1rniJH2rulMdVkCI8Ukyweyhf1lzD4NbJ" TargetMode="External"/><Relationship Id="rId5003" Type="http://schemas.openxmlformats.org/officeDocument/2006/relationships/hyperlink" Target="https://preskilet.com/watch?v=62a39651a6956a000460097c" TargetMode="External"/><Relationship Id="rId174" Type="http://schemas.openxmlformats.org/officeDocument/2006/relationships/hyperlink" Target="https://drive.google.com/open?id=1g6VvkIv3bn192pufyaT3In2D_oYQxJ-x" TargetMode="External"/><Relationship Id="rId5000" Type="http://schemas.openxmlformats.org/officeDocument/2006/relationships/hyperlink" Target="https://drive.google.com/open?id=11ghiwRVFXsRt8jRQeePTHB-J9MnoMukS" TargetMode="External"/><Relationship Id="rId173" Type="http://schemas.openxmlformats.org/officeDocument/2006/relationships/hyperlink" Target="https://drive.google.com/drive/folders/143OJqt-4nccjA19l9QdtnhbI3ZIq7EAb" TargetMode="External"/><Relationship Id="rId5001" Type="http://schemas.openxmlformats.org/officeDocument/2006/relationships/hyperlink" Target="https://drive.google.com/open?id=1CR5fkLzCf8seIXvglY0p3_FWlVYrhTTf" TargetMode="External"/><Relationship Id="rId5006" Type="http://schemas.openxmlformats.org/officeDocument/2006/relationships/hyperlink" Target="https://drive.google.com/open?id=1ErYTeVQqtIQXw1V1TZLdFVtNWxz-v_kr" TargetMode="External"/><Relationship Id="rId179" Type="http://schemas.openxmlformats.org/officeDocument/2006/relationships/hyperlink" Target="https://drive.google.com/open?id=1kXLZ4UI-_G-9GvQQRpqZMI7A9or_fqpb" TargetMode="External"/><Relationship Id="rId5007" Type="http://schemas.openxmlformats.org/officeDocument/2006/relationships/hyperlink" Target="https://drive.google.com/open?id=1kRVwZT-etXxUuJDbwHgw6pGAYPdd16eb" TargetMode="External"/><Relationship Id="rId178" Type="http://schemas.openxmlformats.org/officeDocument/2006/relationships/hyperlink" Target="https://drive.google.com/open?id=10fXd1bkrfHc7wW-ZHBy9QQqaI4-Ks3L5" TargetMode="External"/><Relationship Id="rId5004" Type="http://schemas.openxmlformats.org/officeDocument/2006/relationships/hyperlink" Target="https://drive.google.com/open?id=1f3wlgdxUEyIo2HSfe6EjbkhUEYMpYybo" TargetMode="External"/><Relationship Id="rId177" Type="http://schemas.openxmlformats.org/officeDocument/2006/relationships/hyperlink" Target="https://preskilet.com/watch?v=62bde20a9535010004fd2b93" TargetMode="External"/><Relationship Id="rId5005" Type="http://schemas.openxmlformats.org/officeDocument/2006/relationships/hyperlink" Target="https://drive.google.com/open?id=1LLSSJ7FCCOo3FKtTigZThzkfMEpAMVvs" TargetMode="External"/><Relationship Id="rId5031" Type="http://schemas.openxmlformats.org/officeDocument/2006/relationships/hyperlink" Target="https://drive.google.com/open?id=1h-pspxmfJhStYJrF0I5Y49epDS_Qq1XX" TargetMode="External"/><Relationship Id="rId5032" Type="http://schemas.openxmlformats.org/officeDocument/2006/relationships/hyperlink" Target="https://drive.google.com/open?id=1dJPxJC0tt-7VB4psERTp7LlMA2vFls4n" TargetMode="External"/><Relationship Id="rId5030" Type="http://schemas.openxmlformats.org/officeDocument/2006/relationships/hyperlink" Target="https://drive.google.com/open?id=1rvSkdELDO7ENkeWAtAtnVd-yp4O5wMSH" TargetMode="External"/><Relationship Id="rId5035" Type="http://schemas.openxmlformats.org/officeDocument/2006/relationships/hyperlink" Target="https://drive.google.com/open?id=1lkXHTNB6kD-9hkEhW7-XGcYHwfDLkwyF" TargetMode="External"/><Relationship Id="rId5036" Type="http://schemas.openxmlformats.org/officeDocument/2006/relationships/hyperlink" Target="https://drive.google.com/open?id=1MOJ2MlpsiLABv73sWAdlcgvcQok9ro4A" TargetMode="External"/><Relationship Id="rId5033" Type="http://schemas.openxmlformats.org/officeDocument/2006/relationships/hyperlink" Target="https://drive.google.com/open?id=1SlEMGtZn7iRK5H85hPlTAJQEsAkCZM1a" TargetMode="External"/><Relationship Id="rId5034" Type="http://schemas.openxmlformats.org/officeDocument/2006/relationships/hyperlink" Target="https://preskilet.com/watch?v=6297c5005545ea0004a92ae9" TargetMode="External"/><Relationship Id="rId5039" Type="http://schemas.openxmlformats.org/officeDocument/2006/relationships/hyperlink" Target="https://drive.google.com/open?id=1ePl9VbFQcRIeBDgMXHH-3JV3_frGo52T" TargetMode="External"/><Relationship Id="rId5037" Type="http://schemas.openxmlformats.org/officeDocument/2006/relationships/hyperlink" Target="https://drive.google.com/open?id=1BkHdJUS7I5By5_2ITeUpkZrFeQknQFvh" TargetMode="External"/><Relationship Id="rId5038" Type="http://schemas.openxmlformats.org/officeDocument/2006/relationships/hyperlink" Target="https://drive.google.com/file/d/1x8Xg11OKIjORJnYivOEQ7RqtxhyUXFqM/view?usp=sharing" TargetMode="External"/><Relationship Id="rId5020" Type="http://schemas.openxmlformats.org/officeDocument/2006/relationships/hyperlink" Target="https://www.linkedin.com/in/pankaj-chaudhari-2144631ab" TargetMode="External"/><Relationship Id="rId5021" Type="http://schemas.openxmlformats.org/officeDocument/2006/relationships/hyperlink" Target="https://preskilet.com/watch?v=629767855545ea0004a9264d" TargetMode="External"/><Relationship Id="rId198" Type="http://schemas.openxmlformats.org/officeDocument/2006/relationships/hyperlink" Target="https://drive.google.com/open?id=1TMytd4Fz3CWyTn_lcBLM0MFopZbRwWGw" TargetMode="External"/><Relationship Id="rId5024" Type="http://schemas.openxmlformats.org/officeDocument/2006/relationships/hyperlink" Target="https://drive.google.com/open?id=16iBH6L1zNk4OlyZ_PZop29r9--vDDDcX" TargetMode="External"/><Relationship Id="rId197" Type="http://schemas.openxmlformats.org/officeDocument/2006/relationships/hyperlink" Target="https://drive.google.com/open?id=16TmxKKxkaRDF090PTTmOcN5LVnIst3V5" TargetMode="External"/><Relationship Id="rId5025" Type="http://schemas.openxmlformats.org/officeDocument/2006/relationships/hyperlink" Target="https://drive.google.com/open?id=1uO6kQ7ojD6kurKMfKk6nMgZTJFvHInFW" TargetMode="External"/><Relationship Id="rId196" Type="http://schemas.openxmlformats.org/officeDocument/2006/relationships/hyperlink" Target="https://drive.google.com/open?id=15aZoyc7041GWVx9keEDwdT5HI4h_5MC8" TargetMode="External"/><Relationship Id="rId5022" Type="http://schemas.openxmlformats.org/officeDocument/2006/relationships/hyperlink" Target="https://drive.google.com/open?id=15vPCDGur0V5p9_IIclIDjUTckqGjFZ2S" TargetMode="External"/><Relationship Id="rId195" Type="http://schemas.openxmlformats.org/officeDocument/2006/relationships/hyperlink" Target="https://drive.google.com/open?id=1jxcEvenptpttDsjIPQzgO1sj6UDLotxA" TargetMode="External"/><Relationship Id="rId5023" Type="http://schemas.openxmlformats.org/officeDocument/2006/relationships/hyperlink" Target="https://drive.google.com/open?id=1qk3HnTZlfOxVgM6LkNHekNycfn4xDYSd" TargetMode="External"/><Relationship Id="rId5028" Type="http://schemas.openxmlformats.org/officeDocument/2006/relationships/hyperlink" Target="https://preskilet.com/watch?v=6297a47b5545ea0004a929d7" TargetMode="External"/><Relationship Id="rId5029" Type="http://schemas.openxmlformats.org/officeDocument/2006/relationships/hyperlink" Target="https://drive.google.com/open?id=11p9lggtIkoxLj3HzdYoX6vu5cO2EUE5m" TargetMode="External"/><Relationship Id="rId5026" Type="http://schemas.openxmlformats.org/officeDocument/2006/relationships/hyperlink" Target="https://drive.google.com/open?id=1gViVvph2LQ2IOUzr-dzy3WaMqHgZKNOO" TargetMode="External"/><Relationship Id="rId199" Type="http://schemas.openxmlformats.org/officeDocument/2006/relationships/hyperlink" Target="https://drive.google.com/open?id=1zgf7m8lIhme9L5aAndWuUCcpJILvVVw3" TargetMode="External"/><Relationship Id="rId5027" Type="http://schemas.openxmlformats.org/officeDocument/2006/relationships/hyperlink" Target="https://drive.google.com/open?id=1XX5rTNYkk-8Lt9OjNDPWiNMSmMzk8tDf" TargetMode="External"/><Relationship Id="rId150" Type="http://schemas.openxmlformats.org/officeDocument/2006/relationships/hyperlink" Target="https://drive.google.com/open?id=1ktrtjjm0vkqSQkYBaEY_dHxbHhcAxXMe" TargetMode="External"/><Relationship Id="rId149" Type="http://schemas.openxmlformats.org/officeDocument/2006/relationships/hyperlink" Target="https://preskilet.com/atbatule@mitaoe.ac.in" TargetMode="External"/><Relationship Id="rId148" Type="http://schemas.openxmlformats.org/officeDocument/2006/relationships/hyperlink" Target="http://www.linkedin.com/in/adityabatule12" TargetMode="External"/><Relationship Id="rId3270" Type="http://schemas.openxmlformats.org/officeDocument/2006/relationships/hyperlink" Target="https://drive.google.com/open?id=1IpE-3kRSGuf5N7qIItgiVNBt4lsL5mHh" TargetMode="External"/><Relationship Id="rId3272" Type="http://schemas.openxmlformats.org/officeDocument/2006/relationships/hyperlink" Target="https://preskilet.com/aabodke@mitaoe.ac.in" TargetMode="External"/><Relationship Id="rId3271" Type="http://schemas.openxmlformats.org/officeDocument/2006/relationships/hyperlink" Target="https://www.linkedin.com/in/aditya-bodke-b03126236" TargetMode="External"/><Relationship Id="rId143" Type="http://schemas.openxmlformats.org/officeDocument/2006/relationships/hyperlink" Target="https://drive.google.com/open?id=1YiLIOcN0F9MyS0isopL9dHnzRbvEUysJ" TargetMode="External"/><Relationship Id="rId3274" Type="http://schemas.openxmlformats.org/officeDocument/2006/relationships/hyperlink" Target="https://drive.google.com/open?id=1ZFIDgn8UuS7mqshXBpgjEXoXIiZbtpp_" TargetMode="External"/><Relationship Id="rId142" Type="http://schemas.openxmlformats.org/officeDocument/2006/relationships/hyperlink" Target="https://drive.google.com/open?id=1UYl6iEKu61-sTi36c3Gl2Ck4kjKfB2Mo" TargetMode="External"/><Relationship Id="rId3273" Type="http://schemas.openxmlformats.org/officeDocument/2006/relationships/hyperlink" Target="https://drive.google.com/open?id=1d3WvuXb6JCAI43msutF89EPkuravLy8H" TargetMode="External"/><Relationship Id="rId141" Type="http://schemas.openxmlformats.org/officeDocument/2006/relationships/hyperlink" Target="https://drive.google.com/open?id=1XVVFYBqSSp0AqjQ4feYN_wm78gezJt6R" TargetMode="External"/><Relationship Id="rId3276" Type="http://schemas.openxmlformats.org/officeDocument/2006/relationships/hyperlink" Target="https://drive.google.com/open?id=1JyYagXYf3lZEJoKHVmwSaD39mStvbn4g" TargetMode="External"/><Relationship Id="rId140" Type="http://schemas.openxmlformats.org/officeDocument/2006/relationships/hyperlink" Target="https://drive.google.com/open?id=1wGP-uAKsQE5bZ9MFytTKvQ1Qdw8vIZTt" TargetMode="External"/><Relationship Id="rId3275" Type="http://schemas.openxmlformats.org/officeDocument/2006/relationships/hyperlink" Target="https://drive.google.com/open?id=1oiXGSwM4R9PdJrD2hY7-Igom7Y-HUo-h" TargetMode="External"/><Relationship Id="rId147" Type="http://schemas.openxmlformats.org/officeDocument/2006/relationships/hyperlink" Target="https://drive.google.com/open?id=1ggj80GUjr6boO1RLgvpGigSsCUYqB-D1" TargetMode="External"/><Relationship Id="rId3278" Type="http://schemas.openxmlformats.org/officeDocument/2006/relationships/hyperlink" Target="https://drive.google.com/open?id=1a_mhm4Exhu_PiFqGv-oVpZJha1zabP4c" TargetMode="External"/><Relationship Id="rId146" Type="http://schemas.openxmlformats.org/officeDocument/2006/relationships/hyperlink" Target="https://drive.google.com/open?id=1CHEG0iN2hPcek_8b5J44llfDQmj5UZFE" TargetMode="External"/><Relationship Id="rId3277" Type="http://schemas.openxmlformats.org/officeDocument/2006/relationships/hyperlink" Target="https://drive.google.com/open?id=1W7J5njs41ppDRxKKcDCMpIaZJ26tjihH" TargetMode="External"/><Relationship Id="rId145" Type="http://schemas.openxmlformats.org/officeDocument/2006/relationships/hyperlink" Target="https://drive.google.com/open?id=1-HJxGQdUUNYDXKqODRByMPj9LP5obn86" TargetMode="External"/><Relationship Id="rId144" Type="http://schemas.openxmlformats.org/officeDocument/2006/relationships/hyperlink" Target="https://drive.google.com/open?id=1dKjUhyCq5C12ujVAFniLhQRruFhkccbI" TargetMode="External"/><Relationship Id="rId3279" Type="http://schemas.openxmlformats.org/officeDocument/2006/relationships/hyperlink" Target="https://drive.google.com/open?id=1V_oRS7iTh60AG76HPruS9lLVppfBEuPH" TargetMode="External"/><Relationship Id="rId139" Type="http://schemas.openxmlformats.org/officeDocument/2006/relationships/hyperlink" Target="https://preskilet.com/watch?v=62b528dbaf4f2700045cd8b6" TargetMode="External"/><Relationship Id="rId138" Type="http://schemas.openxmlformats.org/officeDocument/2006/relationships/hyperlink" Target="https://www.linkedin.com/in/shreya-chavhan-3b9a56228" TargetMode="External"/><Relationship Id="rId137" Type="http://schemas.openxmlformats.org/officeDocument/2006/relationships/hyperlink" Target="https://drive.google.com/open?id=1o11pG-Mmsb5u8sps-7T8Z4s_8R2sxs2B" TargetMode="External"/><Relationship Id="rId4590" Type="http://schemas.openxmlformats.org/officeDocument/2006/relationships/hyperlink" Target="https://drive.google.com/open?id=1BaF43sGTWg3RPxvs2XcEKaK0wh5NIMkd" TargetMode="External"/><Relationship Id="rId3261" Type="http://schemas.openxmlformats.org/officeDocument/2006/relationships/hyperlink" Target="https://drive.google.com/open?id=1H_NVDxb1RK6wyB9PstVNMXQR9WLdWai3" TargetMode="External"/><Relationship Id="rId4592" Type="http://schemas.openxmlformats.org/officeDocument/2006/relationships/hyperlink" Target="https://www.linkedin.com/in/mohit-jadhav-b27bb1147" TargetMode="External"/><Relationship Id="rId3260" Type="http://schemas.openxmlformats.org/officeDocument/2006/relationships/hyperlink" Target="https://drive.google.com/open?id=105wE3MudpGw-zEIhSbkFecsYE9TK3MT7" TargetMode="External"/><Relationship Id="rId4591" Type="http://schemas.openxmlformats.org/officeDocument/2006/relationships/hyperlink" Target="https://drive.google.com/open?id=1RO4SfZceO8wi_ODLdozYKPujCepixBbH" TargetMode="External"/><Relationship Id="rId132" Type="http://schemas.openxmlformats.org/officeDocument/2006/relationships/hyperlink" Target="https://drive.google.com/open?id=1SWznABfsLSa76otWhTsfyid4KQb7NbCB" TargetMode="External"/><Relationship Id="rId3263" Type="http://schemas.openxmlformats.org/officeDocument/2006/relationships/hyperlink" Target="https://drive.google.com/open?id=18KNUcHUiBOBjVJsKFdCGZAOZdAQ9oTPZ" TargetMode="External"/><Relationship Id="rId4594" Type="http://schemas.openxmlformats.org/officeDocument/2006/relationships/hyperlink" Target="https://drive.google.com/open?id=1RlU619XKyWWFvVHxkvt4oLoEuT3yDuP8" TargetMode="External"/><Relationship Id="rId131" Type="http://schemas.openxmlformats.org/officeDocument/2006/relationships/hyperlink" Target="https://preskilet.com/sjnawale@mitaoe.ac.in" TargetMode="External"/><Relationship Id="rId3262" Type="http://schemas.openxmlformats.org/officeDocument/2006/relationships/hyperlink" Target="https://drive.google.com/open?id=1qwGlluInGnb2YwGYVD8tr-og1Ilklkm8" TargetMode="External"/><Relationship Id="rId4593" Type="http://schemas.openxmlformats.org/officeDocument/2006/relationships/hyperlink" Target="https://preskilet.com/mohit.jadhav@mitaoe.ac.in" TargetMode="External"/><Relationship Id="rId130" Type="http://schemas.openxmlformats.org/officeDocument/2006/relationships/hyperlink" Target="http://www.linkedin.com/in/shivaji-nawale-b0b2b31a3" TargetMode="External"/><Relationship Id="rId3265" Type="http://schemas.openxmlformats.org/officeDocument/2006/relationships/hyperlink" Target="https://preskilet.com/watch?v=62bde3a19535010004fd2ba8" TargetMode="External"/><Relationship Id="rId4596" Type="http://schemas.openxmlformats.org/officeDocument/2006/relationships/hyperlink" Target="https://drive.google.com/open?id=1ibwpCXZyveY-du6ew15tP5EQ8GlvssEq" TargetMode="External"/><Relationship Id="rId3264" Type="http://schemas.openxmlformats.org/officeDocument/2006/relationships/hyperlink" Target="http://linkedin.in/in/nikhilshegokar" TargetMode="External"/><Relationship Id="rId4595" Type="http://schemas.openxmlformats.org/officeDocument/2006/relationships/hyperlink" Target="https://drive.google.com/open?id=1ZN3eK_QNfFGM-MdxqvxwlyQ858iDaE4F" TargetMode="External"/><Relationship Id="rId136" Type="http://schemas.openxmlformats.org/officeDocument/2006/relationships/hyperlink" Target="https://drive.google.com/open?id=1W_SHBtcmq1q8pvfndibr-BJUJKWqETTw" TargetMode="External"/><Relationship Id="rId3267" Type="http://schemas.openxmlformats.org/officeDocument/2006/relationships/hyperlink" Target="https://drive.google.com/open?id=1zzmtSeVaMSrFCeiExpCpKBgpOJN8bzsT" TargetMode="External"/><Relationship Id="rId4598" Type="http://schemas.openxmlformats.org/officeDocument/2006/relationships/hyperlink" Target="https://www.linkedin.com/in/varad-madhavi-14406a233" TargetMode="External"/><Relationship Id="rId135" Type="http://schemas.openxmlformats.org/officeDocument/2006/relationships/hyperlink" Target="https://drive.google.com/open?id=1exXWqfCt-hY0UowrXDxVBtu5vdeLNpSV" TargetMode="External"/><Relationship Id="rId3266" Type="http://schemas.openxmlformats.org/officeDocument/2006/relationships/hyperlink" Target="https://drive.google.com/open?id=13uJjcp2zpf8iUFG83cV93Tm0JC7AtNn9" TargetMode="External"/><Relationship Id="rId4597" Type="http://schemas.openxmlformats.org/officeDocument/2006/relationships/hyperlink" Target="https://drive.google.com/open?id=19fatbg9ie4dSqgaJIPHXlxQc6hTAOGHv" TargetMode="External"/><Relationship Id="rId134" Type="http://schemas.openxmlformats.org/officeDocument/2006/relationships/hyperlink" Target="https://drive.google.com/open?id=1QYyO-mrt7jA_YMPiWXLjmeGwY9veMT2o" TargetMode="External"/><Relationship Id="rId3269" Type="http://schemas.openxmlformats.org/officeDocument/2006/relationships/hyperlink" Target="https://drive.google.com/open?id=1cQnEcnEHhdZdIgZVXGAZCX5F2H6GQj8X" TargetMode="External"/><Relationship Id="rId133" Type="http://schemas.openxmlformats.org/officeDocument/2006/relationships/hyperlink" Target="https://drive.google.com/open?id=1GghKr_fCQNo6ehevfucExehBBgXeiHNj" TargetMode="External"/><Relationship Id="rId3268" Type="http://schemas.openxmlformats.org/officeDocument/2006/relationships/hyperlink" Target="https://drive.google.com/open?id=1veZdcVYQDnceZhf3id1EgnsFYm4ylduD" TargetMode="External"/><Relationship Id="rId4599" Type="http://schemas.openxmlformats.org/officeDocument/2006/relationships/hyperlink" Target="https://preskilet.com/watch?v=62a36b2ca6956a00046000ac" TargetMode="External"/><Relationship Id="rId172" Type="http://schemas.openxmlformats.org/officeDocument/2006/relationships/hyperlink" Target="https://www.linkedin.com/in/rushikeshanandgaokar" TargetMode="External"/><Relationship Id="rId171" Type="http://schemas.openxmlformats.org/officeDocument/2006/relationships/hyperlink" Target="https://drive.google.com/open?id=1DMs0IgEmJE07W4cdcJDvTu59XEqusE8q" TargetMode="External"/><Relationship Id="rId170" Type="http://schemas.openxmlformats.org/officeDocument/2006/relationships/hyperlink" Target="https://drive.google.com/open?id=1awxKhMzsuNeEyDR3fh4VFcMjLVcmQhB6" TargetMode="External"/><Relationship Id="rId3290" Type="http://schemas.openxmlformats.org/officeDocument/2006/relationships/hyperlink" Target="https://preskilet.com/watch?v=62b5594baf4f2700045cdd29" TargetMode="External"/><Relationship Id="rId3292" Type="http://schemas.openxmlformats.org/officeDocument/2006/relationships/hyperlink" Target="https://drive.google.com/open?id=13szX7EQ0PlKPBrTFZf23YAfbqhhVQhpj" TargetMode="External"/><Relationship Id="rId3291" Type="http://schemas.openxmlformats.org/officeDocument/2006/relationships/hyperlink" Target="https://drive.google.com/open?id=13br3mmG8tXm6fPrxo-YfHNOld-41igbW" TargetMode="External"/><Relationship Id="rId3294" Type="http://schemas.openxmlformats.org/officeDocument/2006/relationships/hyperlink" Target="https://www.linkedin.com/in/anjani-nandan-107a701a4/" TargetMode="External"/><Relationship Id="rId3293" Type="http://schemas.openxmlformats.org/officeDocument/2006/relationships/hyperlink" Target="https://drive.google.com/open?id=1bc4udQErBbFS5NLr-RFo08nsYpeiWE1v" TargetMode="External"/><Relationship Id="rId165" Type="http://schemas.openxmlformats.org/officeDocument/2006/relationships/hyperlink" Target="https://www.linkedin.com/in/tejas-b-b629511b5" TargetMode="External"/><Relationship Id="rId3296" Type="http://schemas.openxmlformats.org/officeDocument/2006/relationships/hyperlink" Target="https://drive.google.com/open?id=1jg3ET7-zzGJ0V357NnOWaAevhmtFiwAe" TargetMode="External"/><Relationship Id="rId164" Type="http://schemas.openxmlformats.org/officeDocument/2006/relationships/hyperlink" Target="https://drive.google.com/open?id=19eBymk2tUFP3rNokJPOhpSd5cG6zhtlQ" TargetMode="External"/><Relationship Id="rId3295" Type="http://schemas.openxmlformats.org/officeDocument/2006/relationships/hyperlink" Target="https://preskilet.com/anjaninandan1234@gmail.com" TargetMode="External"/><Relationship Id="rId163" Type="http://schemas.openxmlformats.org/officeDocument/2006/relationships/hyperlink" Target="https://drive.google.com/open?id=1Ss6l6a9NMvnXPLBnCwiPHxRkTxI6k3Co" TargetMode="External"/><Relationship Id="rId3298" Type="http://schemas.openxmlformats.org/officeDocument/2006/relationships/hyperlink" Target="https://drive.google.com/open?id=1P7aUkpRcJK-xyYi7CXI3dQMwX1A7iFtk" TargetMode="External"/><Relationship Id="rId162" Type="http://schemas.openxmlformats.org/officeDocument/2006/relationships/hyperlink" Target="https://preskilet.com/watch?v=62b2d4b9cd590700045fb3ab" TargetMode="External"/><Relationship Id="rId3297" Type="http://schemas.openxmlformats.org/officeDocument/2006/relationships/hyperlink" Target="https://drive.google.com/open?id=1QjDc50DhJiKkb82aE9croZYruCf_Bapo" TargetMode="External"/><Relationship Id="rId169" Type="http://schemas.openxmlformats.org/officeDocument/2006/relationships/hyperlink" Target="https://drive.google.com/open?id=1QiNKeXkFEbUg8vg_h3XWMtNgIVTnNjEA" TargetMode="External"/><Relationship Id="rId168" Type="http://schemas.openxmlformats.org/officeDocument/2006/relationships/hyperlink" Target="https://drive.google.com/open?id=13nyKlh1d-g0-IRL9tRYwTjHmP04nsC2C" TargetMode="External"/><Relationship Id="rId3299" Type="http://schemas.openxmlformats.org/officeDocument/2006/relationships/hyperlink" Target="https://drive.google.com/open?id=1Hu6fN6RKJ-4jGPdOuZN6z3L7WkR24k6v" TargetMode="External"/><Relationship Id="rId167" Type="http://schemas.openxmlformats.org/officeDocument/2006/relationships/hyperlink" Target="https://drive.google.com/open?id=1g8efDisFbthA41hKgzcVry7xko5PKRws" TargetMode="External"/><Relationship Id="rId166" Type="http://schemas.openxmlformats.org/officeDocument/2006/relationships/hyperlink" Target="https://preskilet.com/watch?v=62b4360d30b2800004523147" TargetMode="External"/><Relationship Id="rId161" Type="http://schemas.openxmlformats.org/officeDocument/2006/relationships/hyperlink" Target="https://www.linkedin.com/in/atharv-uttarwar-134741210" TargetMode="External"/><Relationship Id="rId160" Type="http://schemas.openxmlformats.org/officeDocument/2006/relationships/hyperlink" Target="https://drive.google.com/open?id=1Wu5T8jRB53w_Ap66NrQh-0fRh9LrXsYz" TargetMode="External"/><Relationship Id="rId159" Type="http://schemas.openxmlformats.org/officeDocument/2006/relationships/hyperlink" Target="https://drive.google.com/open?id=1gRs4EydM8SsMCjhDtn07IhZVbVK8K5fP" TargetMode="External"/><Relationship Id="rId3281" Type="http://schemas.openxmlformats.org/officeDocument/2006/relationships/hyperlink" Target="https://www.linkedin.com/in/sneha-kharate-a54286213" TargetMode="External"/><Relationship Id="rId3280" Type="http://schemas.openxmlformats.org/officeDocument/2006/relationships/hyperlink" Target="https://drive.google.com/open?id=1MQg-F04LhkUU-Z_fz7pZim2889e67iVH" TargetMode="External"/><Relationship Id="rId3283" Type="http://schemas.openxmlformats.org/officeDocument/2006/relationships/hyperlink" Target="https://drive.google.com/open?id=15_hH4T3panFHHy1e-U2Jih92_FuYJYKa" TargetMode="External"/><Relationship Id="rId3282" Type="http://schemas.openxmlformats.org/officeDocument/2006/relationships/hyperlink" Target="https://drive.google.com/file/d/1q_Fli0jDKBG58gsbuNQXhXaZ5jmde28Z/view?usp=sharing" TargetMode="External"/><Relationship Id="rId154" Type="http://schemas.openxmlformats.org/officeDocument/2006/relationships/hyperlink" Target="https://drive.google.com/open?id=1A-GDZl3-mcRpZSccXXMKvZfBwxUcThf1" TargetMode="External"/><Relationship Id="rId3285" Type="http://schemas.openxmlformats.org/officeDocument/2006/relationships/hyperlink" Target="https://drive.google.com/open?id=1zzKjTZDFli5GeAZ5K3C3hNmz73mo8KLG" TargetMode="External"/><Relationship Id="rId153" Type="http://schemas.openxmlformats.org/officeDocument/2006/relationships/hyperlink" Target="https://drive.google.com/open?id=10RU5P7IDSzF6TXHd-0j_SJo9In8ohOFt" TargetMode="External"/><Relationship Id="rId3284" Type="http://schemas.openxmlformats.org/officeDocument/2006/relationships/hyperlink" Target="https://drive.google.com/open?id=17Swufh97E988scwbpS2RlQvFhzhdOIAZ" TargetMode="External"/><Relationship Id="rId152" Type="http://schemas.openxmlformats.org/officeDocument/2006/relationships/hyperlink" Target="https://drive.google.com/open?id=1gubzdyEdl21udjyTEDYVMuCToZ_R1X9v" TargetMode="External"/><Relationship Id="rId3287" Type="http://schemas.openxmlformats.org/officeDocument/2006/relationships/hyperlink" Target="https://drive.google.com/open?id=1lKxOjfgJ-1KSRuvn_pp9XkqFeI_7L4nU" TargetMode="External"/><Relationship Id="rId151" Type="http://schemas.openxmlformats.org/officeDocument/2006/relationships/hyperlink" Target="https://drive.google.com/open?id=1stK1mMwgFQBqQx27VT9mgFrTioZnK1Tw" TargetMode="External"/><Relationship Id="rId3286" Type="http://schemas.openxmlformats.org/officeDocument/2006/relationships/hyperlink" Target="https://drive.google.com/open?id=1In68lWaJvlOGDfe5iJ7p1rLQYuTH-zJt" TargetMode="External"/><Relationship Id="rId158" Type="http://schemas.openxmlformats.org/officeDocument/2006/relationships/hyperlink" Target="https://drive.google.com/open?id=1C6v3ScQvpY-apGzHhllv2VDKsjbIZwJV" TargetMode="External"/><Relationship Id="rId3289" Type="http://schemas.openxmlformats.org/officeDocument/2006/relationships/hyperlink" Target="http://www.linkedin.com/in/muskan-kumari-304b71217" TargetMode="External"/><Relationship Id="rId157" Type="http://schemas.openxmlformats.org/officeDocument/2006/relationships/hyperlink" Target="https://drive.google.com/open?id=1H_ql_MMp9n7a3d23EJw04J48NMzP0Rzq" TargetMode="External"/><Relationship Id="rId3288" Type="http://schemas.openxmlformats.org/officeDocument/2006/relationships/hyperlink" Target="https://drive.google.com/open?id=1Y5QZLkvFqy_5QmEfMdGq4-JDeMyo39TY" TargetMode="External"/><Relationship Id="rId156" Type="http://schemas.openxmlformats.org/officeDocument/2006/relationships/hyperlink" Target="https://drive.google.com/open?id=1aGpzWPrcIz1LJ61ffn4YlpWpiF2sagwY" TargetMode="External"/><Relationship Id="rId155" Type="http://schemas.openxmlformats.org/officeDocument/2006/relationships/hyperlink" Target="https://drive.google.com/open?id=1MzrMm-zhyI4LEEUrC8lil61IR-x8KO-R" TargetMode="External"/><Relationship Id="rId2820" Type="http://schemas.openxmlformats.org/officeDocument/2006/relationships/hyperlink" Target="http://www.linkedin.com/in/sakshi-londhe-4a718b212" TargetMode="External"/><Relationship Id="rId2821" Type="http://schemas.openxmlformats.org/officeDocument/2006/relationships/hyperlink" Target="https://preskilet.com/watch?v=62b98061bd2b77000426768b" TargetMode="External"/><Relationship Id="rId2822" Type="http://schemas.openxmlformats.org/officeDocument/2006/relationships/hyperlink" Target="https://drive.google.com/open?id=1iBB8JpYUYdrxr3tZugN5XxNDuhH8PSC_" TargetMode="External"/><Relationship Id="rId2823" Type="http://schemas.openxmlformats.org/officeDocument/2006/relationships/hyperlink" Target="https://drive.google.com/open?id=1Fsiki8KGWPehrxobl2QSGVq5ljbdSF0Y" TargetMode="External"/><Relationship Id="rId2824" Type="http://schemas.openxmlformats.org/officeDocument/2006/relationships/hyperlink" Target="https://drive.google.com/open?id=1-iRK_k7ZDi1RBpp_vGRUZR5mhPcriExg" TargetMode="External"/><Relationship Id="rId2825" Type="http://schemas.openxmlformats.org/officeDocument/2006/relationships/hyperlink" Target="https://drive.google.com/open?id=1lgJ1lbDQ5BCLEt0WJvdqyhgrvgq_8MGd" TargetMode="External"/><Relationship Id="rId2826" Type="http://schemas.openxmlformats.org/officeDocument/2006/relationships/hyperlink" Target="https://drive.google.com/open?id=1a_YQ1tTHJUlU-sKv1JXEhNehv0WLPSWR" TargetMode="External"/><Relationship Id="rId2827" Type="http://schemas.openxmlformats.org/officeDocument/2006/relationships/hyperlink" Target="https://www.linkedin.com/in/amit-kumar-05a9291aa/" TargetMode="External"/><Relationship Id="rId2828" Type="http://schemas.openxmlformats.org/officeDocument/2006/relationships/hyperlink" Target="https://preskilet.com/watch?v=62b4bb7530b28000045238bc" TargetMode="External"/><Relationship Id="rId2829" Type="http://schemas.openxmlformats.org/officeDocument/2006/relationships/hyperlink" Target="https://drive.google.com/open?id=16Bh3hKSjYL735ukt2MT77tnLgap_zcmX" TargetMode="External"/><Relationship Id="rId5093" Type="http://schemas.openxmlformats.org/officeDocument/2006/relationships/hyperlink" Target="https://drive.google.com/open?id=14BsYDEaF1Bf7uyIQ447nYTM7D5m3eWF7" TargetMode="External"/><Relationship Id="rId5094" Type="http://schemas.openxmlformats.org/officeDocument/2006/relationships/hyperlink" Target="https://drive.google.com/open?id=1bxxG5Rvj-uL9vlmgzoOXxVfSlWgnbi1y" TargetMode="External"/><Relationship Id="rId5091" Type="http://schemas.openxmlformats.org/officeDocument/2006/relationships/hyperlink" Target="https://www.linkedin.com/in/tejas-khandait-733456241" TargetMode="External"/><Relationship Id="rId5092" Type="http://schemas.openxmlformats.org/officeDocument/2006/relationships/hyperlink" Target="https://preskilet.com/takhandait@mitaoe.ac.in" TargetMode="External"/><Relationship Id="rId5097" Type="http://schemas.openxmlformats.org/officeDocument/2006/relationships/hyperlink" Target="https://drive.google.com/open?id=1YnkI1dB1iZxsCa_zkbgOLVEQg0aBi-bI" TargetMode="External"/><Relationship Id="rId5098" Type="http://schemas.openxmlformats.org/officeDocument/2006/relationships/hyperlink" Target="https://drive.google.com/open?id=1wMIJJDwZ4zJNwwmhD9UchcRwbMjHSFjG" TargetMode="External"/><Relationship Id="rId5095" Type="http://schemas.openxmlformats.org/officeDocument/2006/relationships/hyperlink" Target="https://www.linkedin.com/in/sushant-pardhi-91a8771b9" TargetMode="External"/><Relationship Id="rId5096" Type="http://schemas.openxmlformats.org/officeDocument/2006/relationships/hyperlink" Target="https://preskilet.com/watch?v=62a304e8a6956a00045ff6be" TargetMode="External"/><Relationship Id="rId5099" Type="http://schemas.openxmlformats.org/officeDocument/2006/relationships/hyperlink" Target="https://drive.google.com/open?id=1l77N6W0nn9u95iocOfpZWlGPgebtFQjQ" TargetMode="External"/><Relationship Id="rId2810" Type="http://schemas.openxmlformats.org/officeDocument/2006/relationships/hyperlink" Target="https://drive.google.com/open?id=1_xhcrcNP1JpB42KbVDFDDya_Ele5o6Vt" TargetMode="External"/><Relationship Id="rId2811" Type="http://schemas.openxmlformats.org/officeDocument/2006/relationships/hyperlink" Target="https://drive.google.com/open?id=1BUG9oACrwqBrTgVVj91A_PojX2XqIA7J" TargetMode="External"/><Relationship Id="rId2812" Type="http://schemas.openxmlformats.org/officeDocument/2006/relationships/hyperlink" Target="https://drive.google.com/open?id=1dtuJwrlQnogiTOuuNYNPwBATnpXGEfnh" TargetMode="External"/><Relationship Id="rId2813" Type="http://schemas.openxmlformats.org/officeDocument/2006/relationships/hyperlink" Target="http://www.linkedin.com/in/harsh-bhosale-370397210" TargetMode="External"/><Relationship Id="rId2814" Type="http://schemas.openxmlformats.org/officeDocument/2006/relationships/hyperlink" Target="https://preskilet.com/hdbhosale@mitaoe.ac.in" TargetMode="External"/><Relationship Id="rId2815" Type="http://schemas.openxmlformats.org/officeDocument/2006/relationships/hyperlink" Target="https://drive.google.com/open?id=14JGfd6v6SvJt4cLW2wx8A4inqACGPzNa" TargetMode="External"/><Relationship Id="rId2816" Type="http://schemas.openxmlformats.org/officeDocument/2006/relationships/hyperlink" Target="https://drive.google.com/open?id=1vXUoaoy6BPxHyCfODyLaoFMdeu3TKbs-" TargetMode="External"/><Relationship Id="rId2817" Type="http://schemas.openxmlformats.org/officeDocument/2006/relationships/hyperlink" Target="https://drive.google.com/open?id=1Yf3jezDIzBv9CB0PSYQYC9X2G4LISFUl" TargetMode="External"/><Relationship Id="rId2818" Type="http://schemas.openxmlformats.org/officeDocument/2006/relationships/hyperlink" Target="https://drive.google.com/open?id=1MbewuSO1TAgr0e3lxp_dO_pO_3hjKUV3" TargetMode="External"/><Relationship Id="rId2819" Type="http://schemas.openxmlformats.org/officeDocument/2006/relationships/hyperlink" Target="https://drive.google.com/open?id=1GnJzM69gnNl9uH4MmnaFSNnCo0xpYG-O" TargetMode="External"/><Relationship Id="rId5090" Type="http://schemas.openxmlformats.org/officeDocument/2006/relationships/hyperlink" Target="https://drive.google.com/open?id=1RAFeRdB210dlkv8hcMgSpekmtXnpzS8R" TargetMode="External"/><Relationship Id="rId5082" Type="http://schemas.openxmlformats.org/officeDocument/2006/relationships/hyperlink" Target="https://www.linkedin.com/in/vivek-ingole-155757241/" TargetMode="External"/><Relationship Id="rId5083" Type="http://schemas.openxmlformats.org/officeDocument/2006/relationships/hyperlink" Target="https://drive.google.com/drive/folders/1WHiNtPsBj2YZZbl6oJubrvr343SYQ_px?usp=sharing" TargetMode="External"/><Relationship Id="rId5080" Type="http://schemas.openxmlformats.org/officeDocument/2006/relationships/hyperlink" Target="https://drive.google.com/open?id=1XOpYiIj0LY8KBLTeH71_QO8fwOmNhcak" TargetMode="External"/><Relationship Id="rId5081" Type="http://schemas.openxmlformats.org/officeDocument/2006/relationships/hyperlink" Target="https://drive.google.com/open?id=1YxND-4ihSwkYGjTUyNK4a7tpUE5wS9As" TargetMode="External"/><Relationship Id="rId5086" Type="http://schemas.openxmlformats.org/officeDocument/2006/relationships/hyperlink" Target="https://drive.google.com/open?id=1XvVHezvVVV6QqAN7HLz9_idwWoLsvolZ" TargetMode="External"/><Relationship Id="rId5087" Type="http://schemas.openxmlformats.org/officeDocument/2006/relationships/hyperlink" Target="https://www.linkedin.com/in/aniket-rudraksh-727848241" TargetMode="External"/><Relationship Id="rId5084" Type="http://schemas.openxmlformats.org/officeDocument/2006/relationships/hyperlink" Target="https://drive.google.com/open?id=1hE4V9Gofabok_IDMAFmdqOojScCtRx3_" TargetMode="External"/><Relationship Id="rId5085" Type="http://schemas.openxmlformats.org/officeDocument/2006/relationships/hyperlink" Target="https://drive.google.com/open?id=1aHEtLzXvCJqq6Jzri7H0XoDxnWxT-9P0" TargetMode="External"/><Relationship Id="rId5088" Type="http://schemas.openxmlformats.org/officeDocument/2006/relationships/hyperlink" Target="https://drive.google.com/drive/folders/0B0tYo1ciSSFEfkJiejFKaUVGeWt3MjFabnZXTVdtNDNsTnBLQTJmcDdUS0wxa2xycGFaQ1E?resourcekey=0-BxYQPH6qN8VNWTVYPVjBSg" TargetMode="External"/><Relationship Id="rId5089" Type="http://schemas.openxmlformats.org/officeDocument/2006/relationships/hyperlink" Target="https://drive.google.com/open?id=15YJ594O0k2qFwk6a0FiuyUGlOvUih8zB" TargetMode="External"/><Relationship Id="rId1510" Type="http://schemas.openxmlformats.org/officeDocument/2006/relationships/hyperlink" Target="https://drive.google.com/open?id=10FN_bHQ0QSdKzaw5RbDsn6vJ4yAy7TQz" TargetMode="External"/><Relationship Id="rId2841" Type="http://schemas.openxmlformats.org/officeDocument/2006/relationships/hyperlink" Target="https://drive.google.com/open?id=1bgJu18v3_dJr3eBoGw067SObdQ7mTTEv" TargetMode="External"/><Relationship Id="rId1511" Type="http://schemas.openxmlformats.org/officeDocument/2006/relationships/hyperlink" Target="http://www.linkedin.com/in/madanuamisha" TargetMode="External"/><Relationship Id="rId2842" Type="http://schemas.openxmlformats.org/officeDocument/2006/relationships/hyperlink" Target="https://drive.google.com/open?id=1vv8hEbHArh2gxo4FIMIYRFA_GazWyK0-" TargetMode="External"/><Relationship Id="rId1512" Type="http://schemas.openxmlformats.org/officeDocument/2006/relationships/hyperlink" Target="https://preskilet.com/watch?v=62a316f1a6956a00045ff897" TargetMode="External"/><Relationship Id="rId2843" Type="http://schemas.openxmlformats.org/officeDocument/2006/relationships/hyperlink" Target="https://drive.google.com/open?id=1nBpwyVHCBSDbBk12kkvDguyBlQsk7Mcc" TargetMode="External"/><Relationship Id="rId1513" Type="http://schemas.openxmlformats.org/officeDocument/2006/relationships/hyperlink" Target="https://drive.google.com/open?id=109Ea4pWEXWsVjwcLhbEjErJ9YWtbMuNZ" TargetMode="External"/><Relationship Id="rId2844" Type="http://schemas.openxmlformats.org/officeDocument/2006/relationships/hyperlink" Target="http://www.linkedin.com/in/evakhajuria" TargetMode="External"/><Relationship Id="rId1514" Type="http://schemas.openxmlformats.org/officeDocument/2006/relationships/hyperlink" Target="https://drive.google.com/open?id=1Kx7x0Cw5AQvFd5tIucKWHJ9Oh8qDkeiE" TargetMode="External"/><Relationship Id="rId2845" Type="http://schemas.openxmlformats.org/officeDocument/2006/relationships/hyperlink" Target="https://preskilet.com/watch?v=62a39262a6956a0004600903" TargetMode="External"/><Relationship Id="rId1515" Type="http://schemas.openxmlformats.org/officeDocument/2006/relationships/hyperlink" Target="https://drive.google.com/open?id=1Q4urYNpJYvdm-MgyV4GHfwQG51NvlBTd" TargetMode="External"/><Relationship Id="rId2846" Type="http://schemas.openxmlformats.org/officeDocument/2006/relationships/hyperlink" Target="https://drive.google.com/open?id=1v3d_1M0ALayRG8FYJ4YKIY8kd2J9Y0Xm" TargetMode="External"/><Relationship Id="rId1516" Type="http://schemas.openxmlformats.org/officeDocument/2006/relationships/hyperlink" Target="https://drive.google.com/open?id=1vBI-XopGXOpUFfkr2t3mjIxmdJyVYfKE" TargetMode="External"/><Relationship Id="rId2847" Type="http://schemas.openxmlformats.org/officeDocument/2006/relationships/hyperlink" Target="https://drive.google.com/open?id=1citbGfsiCwjM5WyzxQsoqtx8cK0wxAeL" TargetMode="External"/><Relationship Id="rId1517" Type="http://schemas.openxmlformats.org/officeDocument/2006/relationships/hyperlink" Target="https://drive.google.com/open?id=1G-QQylralcevXaNP1OE-SH9MyrD8qBs2" TargetMode="External"/><Relationship Id="rId2848" Type="http://schemas.openxmlformats.org/officeDocument/2006/relationships/hyperlink" Target="https://drive.google.com/open?id=1b4LejSpqiFeNkoTDxXNzQegv5wE_VcOL" TargetMode="External"/><Relationship Id="rId1518" Type="http://schemas.openxmlformats.org/officeDocument/2006/relationships/hyperlink" Target="https://drive.google.com/open?id=1eZZ-w65x2N0NV70WE7vQIW4gRrbklpGX" TargetMode="External"/><Relationship Id="rId2849" Type="http://schemas.openxmlformats.org/officeDocument/2006/relationships/hyperlink" Target="https://drive.google.com/open?id=1dVMX7eBn-CyrD9uYiYP8XIV1fQJriePw" TargetMode="External"/><Relationship Id="rId1519" Type="http://schemas.openxmlformats.org/officeDocument/2006/relationships/hyperlink" Target="https://www.linkedin.com/in/rutuja-khakare-78a6a9152" TargetMode="External"/><Relationship Id="rId2840" Type="http://schemas.openxmlformats.org/officeDocument/2006/relationships/hyperlink" Target="https://drive.google.com/open?id=1x5FHRhQuL6dY9wsJHPdZqA1yRCcXKNgz" TargetMode="External"/><Relationship Id="rId2830" Type="http://schemas.openxmlformats.org/officeDocument/2006/relationships/hyperlink" Target="https://drive.google.com/open?id=1DaekGs719KuFe3jG17dnCdqZVn3ELp6Y" TargetMode="External"/><Relationship Id="rId1500" Type="http://schemas.openxmlformats.org/officeDocument/2006/relationships/hyperlink" Target="https://drive.google.com/open?id=1rCgsRn56Qe5YqnfwSQQK7YT4LTvPUMXq" TargetMode="External"/><Relationship Id="rId2831" Type="http://schemas.openxmlformats.org/officeDocument/2006/relationships/hyperlink" Target="https://drive.google.com/open?id=1f3mv0uLm1V3BjHBmE-E7J21Zl8HCvX6-" TargetMode="External"/><Relationship Id="rId1501" Type="http://schemas.openxmlformats.org/officeDocument/2006/relationships/hyperlink" Target="https://drive.google.com/open?id=1u5__2qIwFz-2aBvZpE6kVmGCsnN8CuFu" TargetMode="External"/><Relationship Id="rId2832" Type="http://schemas.openxmlformats.org/officeDocument/2006/relationships/hyperlink" Target="https://drive.google.com/open?id=11sHacOv9rJ8Wv_wlpMKHej_LgX8vOos5" TargetMode="External"/><Relationship Id="rId1502" Type="http://schemas.openxmlformats.org/officeDocument/2006/relationships/hyperlink" Target="https://drive.google.com/open?id=1OOj7MHr8eo1VgV8V24Y25G7njoCDBhz3" TargetMode="External"/><Relationship Id="rId2833" Type="http://schemas.openxmlformats.org/officeDocument/2006/relationships/hyperlink" Target="https://www.linkedin.com/in/mansi-singh-408994211" TargetMode="External"/><Relationship Id="rId1503" Type="http://schemas.openxmlformats.org/officeDocument/2006/relationships/hyperlink" Target="https://www.linkedin.com/mwlite/in/priyanka-rathod-93a263237" TargetMode="External"/><Relationship Id="rId2834" Type="http://schemas.openxmlformats.org/officeDocument/2006/relationships/hyperlink" Target="https://preskilet.com/watch?v=6295d60c716ac10004981440" TargetMode="External"/><Relationship Id="rId1504" Type="http://schemas.openxmlformats.org/officeDocument/2006/relationships/hyperlink" Target="https://preskilet.com/watch?v=62a30946a6956a00045ff747" TargetMode="External"/><Relationship Id="rId2835" Type="http://schemas.openxmlformats.org/officeDocument/2006/relationships/hyperlink" Target="https://drive.google.com/open?id=1y3pJZe6hCZr4WDgrQna8neh2iN6yR1JT" TargetMode="External"/><Relationship Id="rId1505" Type="http://schemas.openxmlformats.org/officeDocument/2006/relationships/hyperlink" Target="https://drive.google.com/open?id=1tdpY3KCZVeITGJ7RRr_u2ZjNThx5Nk_i" TargetMode="External"/><Relationship Id="rId2836" Type="http://schemas.openxmlformats.org/officeDocument/2006/relationships/hyperlink" Target="https://drive.google.com/open?id=12r7J4mXaP6r-rRYg8Ad4eqraczkK73Uy" TargetMode="External"/><Relationship Id="rId1506" Type="http://schemas.openxmlformats.org/officeDocument/2006/relationships/hyperlink" Target="https://drive.google.com/open?id=1cJqL-GRHSR4nouTOR4nXuvt6sopcPsQk" TargetMode="External"/><Relationship Id="rId2837" Type="http://schemas.openxmlformats.org/officeDocument/2006/relationships/hyperlink" Target="https://drive.google.com/open?id=1L04Ql1xtZJryDRbIkszzZu6BNSTz4Sc3" TargetMode="External"/><Relationship Id="rId1507" Type="http://schemas.openxmlformats.org/officeDocument/2006/relationships/hyperlink" Target="https://drive.google.com/open?id=1OP4bIbEhbgBl79Dlz3JdW-gQedEHJoFd" TargetMode="External"/><Relationship Id="rId2838" Type="http://schemas.openxmlformats.org/officeDocument/2006/relationships/hyperlink" Target="https://drive.google.com/open?id=1Yqet3WsHaM4dbQacrMJ7qk7f167sxQ6Q" TargetMode="External"/><Relationship Id="rId1508" Type="http://schemas.openxmlformats.org/officeDocument/2006/relationships/hyperlink" Target="https://drive.google.com/open?id=10QK_q3mCei8sou0IZjpgSOj1EwQarijb" TargetMode="External"/><Relationship Id="rId2839" Type="http://schemas.openxmlformats.org/officeDocument/2006/relationships/hyperlink" Target="https://drive.google.com/open?id=1Ovpl6D_BQs6jXfaN99gAp6aUK8Ekgps4" TargetMode="External"/><Relationship Id="rId1509" Type="http://schemas.openxmlformats.org/officeDocument/2006/relationships/hyperlink" Target="https://drive.google.com/open?id=1fI0JOHAXQ68C9A0HTVUNCOX6BmS1T7kx" TargetMode="External"/><Relationship Id="rId5050" Type="http://schemas.openxmlformats.org/officeDocument/2006/relationships/hyperlink" Target="https://drive.google.com/open?id=1qawChhbTka-7vrgVzWdkvo6CrodEUZrg" TargetMode="External"/><Relationship Id="rId5053" Type="http://schemas.openxmlformats.org/officeDocument/2006/relationships/hyperlink" Target="https://www.linkedin.com/in/madhurendra-kumar-8a5930208" TargetMode="External"/><Relationship Id="rId5054" Type="http://schemas.openxmlformats.org/officeDocument/2006/relationships/hyperlink" Target="https://drive.google.com/drive/folders/1I5EwhMumWmdzNjlduYc5KDBtiOPMqjKr?usp=sharing" TargetMode="External"/><Relationship Id="rId5051" Type="http://schemas.openxmlformats.org/officeDocument/2006/relationships/hyperlink" Target="https://drive.google.com/open?id=1F50LQxLOSJaFNtCsweqf-aApWT9pI5v1" TargetMode="External"/><Relationship Id="rId5052" Type="http://schemas.openxmlformats.org/officeDocument/2006/relationships/hyperlink" Target="https://drive.google.com/open?id=1GogQSA0p_eon15MVZe2aXAiovzx1_JVt" TargetMode="External"/><Relationship Id="rId5057" Type="http://schemas.openxmlformats.org/officeDocument/2006/relationships/hyperlink" Target="https://drive.google.com/open?id=1D4kEs2hUYOhURuOaHFLnqVJYOlSLufkO" TargetMode="External"/><Relationship Id="rId5058" Type="http://schemas.openxmlformats.org/officeDocument/2006/relationships/hyperlink" Target="https://drive.google.com/open?id=1_jdDhmZN1_VE9ITZAG7oFhM1w2eqvHOZ" TargetMode="External"/><Relationship Id="rId5055" Type="http://schemas.openxmlformats.org/officeDocument/2006/relationships/hyperlink" Target="https://drive.google.com/open?id=1e45yvo57Ts3tGk1Ph6Xc15Cf-JAq0uR1" TargetMode="External"/><Relationship Id="rId5056" Type="http://schemas.openxmlformats.org/officeDocument/2006/relationships/hyperlink" Target="https://drive.google.com/open?id=1uKK2FWutRKrnNB83PIJ8ZMame_phw7vW" TargetMode="External"/><Relationship Id="rId5059" Type="http://schemas.openxmlformats.org/officeDocument/2006/relationships/hyperlink" Target="https://www.linkedin.com/in/gokul-chandere-42177720b" TargetMode="External"/><Relationship Id="rId5042" Type="http://schemas.openxmlformats.org/officeDocument/2006/relationships/hyperlink" Target="https://drive.google.com/open?id=1cz_AEGruECPO8By5Kla5OfD4XJzbgXKu" TargetMode="External"/><Relationship Id="rId5043" Type="http://schemas.openxmlformats.org/officeDocument/2006/relationships/hyperlink" Target="https://drive.google.com/open?id=1mgK_EToCKkVBVw_RlS3U257CC3Aspmde" TargetMode="External"/><Relationship Id="rId5040" Type="http://schemas.openxmlformats.org/officeDocument/2006/relationships/hyperlink" Target="https://drive.google.com/open?id=1wib9-WOxhvBgR71rAmySIDyQ0SxFcwDI" TargetMode="External"/><Relationship Id="rId5041" Type="http://schemas.openxmlformats.org/officeDocument/2006/relationships/hyperlink" Target="https://drive.google.com/open?id=1jb8I-jMiADlFQlH3yF0M2n-3kCRTXwuy" TargetMode="External"/><Relationship Id="rId5046" Type="http://schemas.openxmlformats.org/officeDocument/2006/relationships/hyperlink" Target="https://drive.google.com/drive/folders/1qVaviuFLfHh8NtLM-JKJQ1QXQe6Xx1ok?usp=sharing" TargetMode="External"/><Relationship Id="rId5047" Type="http://schemas.openxmlformats.org/officeDocument/2006/relationships/hyperlink" Target="https://drive.google.com/open?id=1LyHkVKPjWeAyIHzp41WICm71WG0h_8ma" TargetMode="External"/><Relationship Id="rId5044" Type="http://schemas.openxmlformats.org/officeDocument/2006/relationships/hyperlink" Target="https://drive.google.com/open?id=1UrF6YgF8d1SwL169fOynsddiF4CH2KLN" TargetMode="External"/><Relationship Id="rId5045" Type="http://schemas.openxmlformats.org/officeDocument/2006/relationships/hyperlink" Target="http://www.linkedin.com/in/abhijeet-kadoo-8099861a6" TargetMode="External"/><Relationship Id="rId5048" Type="http://schemas.openxmlformats.org/officeDocument/2006/relationships/hyperlink" Target="https://drive.google.com/open?id=1rRZLR_wLbxiQPvhPXQZ7REipT0Q_TyzA" TargetMode="External"/><Relationship Id="rId5049" Type="http://schemas.openxmlformats.org/officeDocument/2006/relationships/hyperlink" Target="https://drive.google.com/open?id=1OmrnNZ0Nn0y-b2c65W4rEdiw2XSHeIfO" TargetMode="External"/><Relationship Id="rId2800" Type="http://schemas.openxmlformats.org/officeDocument/2006/relationships/hyperlink" Target="https://drive.google.com/open?id=1stFqZPYYA6bGfgR20JNBGUR0hOQfx27E" TargetMode="External"/><Relationship Id="rId2801" Type="http://schemas.openxmlformats.org/officeDocument/2006/relationships/hyperlink" Target="https://drive.google.com/open?id=16xEpqIp-mrskpb8-rklOAel2dnh8-uWp" TargetMode="External"/><Relationship Id="rId2802" Type="http://schemas.openxmlformats.org/officeDocument/2006/relationships/hyperlink" Target="https://drive.google.com/open?id=1pAcZ55hXESFJrVNo04AUmT1jXCbQPhC1" TargetMode="External"/><Relationship Id="rId2803" Type="http://schemas.openxmlformats.org/officeDocument/2006/relationships/hyperlink" Target="https://www.linkedin.com/in/ssk13/" TargetMode="External"/><Relationship Id="rId2804" Type="http://schemas.openxmlformats.org/officeDocument/2006/relationships/hyperlink" Target="https://preskilet.com/watch?v=62b2c2e9cd590700045fb2d6" TargetMode="External"/><Relationship Id="rId2805" Type="http://schemas.openxmlformats.org/officeDocument/2006/relationships/hyperlink" Target="https://drive.google.com/open?id=1gqSS8jgjNXCAQW9EswgPsPpcX5L0kgP4" TargetMode="External"/><Relationship Id="rId2806" Type="http://schemas.openxmlformats.org/officeDocument/2006/relationships/hyperlink" Target="https://drive.google.com/open?id=1pPM3PjOv4MHM3A08Xn_LVvog2aBL-qdG" TargetMode="External"/><Relationship Id="rId2807" Type="http://schemas.openxmlformats.org/officeDocument/2006/relationships/hyperlink" Target="https://drive.google.com/open?id=1GUipGp3WSnRs1Ork2mrsZeQB6ry_iQUI" TargetMode="External"/><Relationship Id="rId2808" Type="http://schemas.openxmlformats.org/officeDocument/2006/relationships/hyperlink" Target="https://drive.google.com/open?id=1yS6Vj7GWd1yp56httywKhWYB_MswMHrg" TargetMode="External"/><Relationship Id="rId2809" Type="http://schemas.openxmlformats.org/officeDocument/2006/relationships/hyperlink" Target="https://drive.google.com/open?id=1FMbvW-U-ZdN6rlwgLgSYKKj4VGWaFdSp" TargetMode="External"/><Relationship Id="rId5071" Type="http://schemas.openxmlformats.org/officeDocument/2006/relationships/hyperlink" Target="https://drive.google.com/drive/folders/1BmW0pXXUps7zFE0TEC506gBSdjeNqOgg" TargetMode="External"/><Relationship Id="rId5072" Type="http://schemas.openxmlformats.org/officeDocument/2006/relationships/hyperlink" Target="https://drive.google.com/open?id=1jNWc8KJK_7XHfkKcvGCHqXS9JCvJ2rGU" TargetMode="External"/><Relationship Id="rId5070" Type="http://schemas.openxmlformats.org/officeDocument/2006/relationships/hyperlink" Target="https://www.linkedin.com/in/vaibhav-devshatwar-a182a5219" TargetMode="External"/><Relationship Id="rId5075" Type="http://schemas.openxmlformats.org/officeDocument/2006/relationships/hyperlink" Target="https://drive.google.com/open?id=1pKuNE8wY47ymqnbor3FL5rdMwALmX5vm" TargetMode="External"/><Relationship Id="rId5076" Type="http://schemas.openxmlformats.org/officeDocument/2006/relationships/hyperlink" Target="https://www.linkedin.com/in/vedant-mukhedkar-4864881b0/" TargetMode="External"/><Relationship Id="rId5073" Type="http://schemas.openxmlformats.org/officeDocument/2006/relationships/hyperlink" Target="https://drive.google.com/open?id=1fS3mrCo1e2riXI9F8IaQJieZR4oSzlGb" TargetMode="External"/><Relationship Id="rId5074" Type="http://schemas.openxmlformats.org/officeDocument/2006/relationships/hyperlink" Target="https://drive.google.com/open?id=1nN6mL4hVOBTQD8Eis9X59kQ6_YA59IdJ" TargetMode="External"/><Relationship Id="rId5079" Type="http://schemas.openxmlformats.org/officeDocument/2006/relationships/hyperlink" Target="https://drive.google.com/open?id=1V5bgncuicB1rtD7clSbyLHfuWGPFfGxi" TargetMode="External"/><Relationship Id="rId5077" Type="http://schemas.openxmlformats.org/officeDocument/2006/relationships/hyperlink" Target="https://preskilet.com/watch?v=62a23a4bfed70c00042b6922" TargetMode="External"/><Relationship Id="rId5078" Type="http://schemas.openxmlformats.org/officeDocument/2006/relationships/hyperlink" Target="https://drive.google.com/open?id=15jEbTvkLOyp-Usjzu_PdoUg7tu_4O15x" TargetMode="External"/><Relationship Id="rId5060" Type="http://schemas.openxmlformats.org/officeDocument/2006/relationships/hyperlink" Target="https://drive.google.com/file/d/1KQKIZKGPPpYoALXbRCDMyB4_y61dxbWU/view?usp=drivesdk" TargetMode="External"/><Relationship Id="rId5061" Type="http://schemas.openxmlformats.org/officeDocument/2006/relationships/hyperlink" Target="https://drive.google.com/open?id=10ahlwODGEIGDVAr61I305YKJdH8_3gsE" TargetMode="External"/><Relationship Id="rId5064" Type="http://schemas.openxmlformats.org/officeDocument/2006/relationships/hyperlink" Target="https://drive.google.com/open?id=19nlEGS0tm7UsUpeaNgMn_EQZz5NdUx58" TargetMode="External"/><Relationship Id="rId5065" Type="http://schemas.openxmlformats.org/officeDocument/2006/relationships/hyperlink" Target="https://drive.google.com/open?id=19h9ds0w3Hm7zT_MOZYSkYyaiUtYrvCTr" TargetMode="External"/><Relationship Id="rId5062" Type="http://schemas.openxmlformats.org/officeDocument/2006/relationships/hyperlink" Target="https://drive.google.com/open?id=1tsE9daim2ibVbLjJimtQ_2Zs1tf-Ufji" TargetMode="External"/><Relationship Id="rId5063" Type="http://schemas.openxmlformats.org/officeDocument/2006/relationships/hyperlink" Target="https://drive.google.com/open?id=1-0jmB_SZfKb4feaB1lxM_0yyadbYSK6R" TargetMode="External"/><Relationship Id="rId5068" Type="http://schemas.openxmlformats.org/officeDocument/2006/relationships/hyperlink" Target="https://drive.google.com/open?id=1UfHCdOF0Q_-ADoNTRMrLRLewRXoqXJhw" TargetMode="External"/><Relationship Id="rId5069" Type="http://schemas.openxmlformats.org/officeDocument/2006/relationships/hyperlink" Target="https://drive.google.com/open?id=1274Tnj15ZPZvuhKZ6qY1h4G2ABxQKlOG" TargetMode="External"/><Relationship Id="rId5066" Type="http://schemas.openxmlformats.org/officeDocument/2006/relationships/hyperlink" Target="https://www.linkedin.com/in/abhas-modak-5a63a0220/" TargetMode="External"/><Relationship Id="rId5067" Type="http://schemas.openxmlformats.org/officeDocument/2006/relationships/hyperlink" Target="https://drive.google.com/file/d/1phtuxVntAuP7y4xeYEmkhS0TIKTrbVfN/view?usp=drivesdk" TargetMode="External"/><Relationship Id="rId1576" Type="http://schemas.openxmlformats.org/officeDocument/2006/relationships/hyperlink" Target="https://preskilet.com/watch?v=62b53d96af4f2700045cd9c3" TargetMode="External"/><Relationship Id="rId4602" Type="http://schemas.openxmlformats.org/officeDocument/2006/relationships/hyperlink" Target="https://drive.google.com/open?id=1sSwzh1b2fYsEbALA5pw6dYzssfn3IXAt" TargetMode="External"/><Relationship Id="rId1577" Type="http://schemas.openxmlformats.org/officeDocument/2006/relationships/hyperlink" Target="https://drive.google.com/open?id=1CYAAUmM9WEMH4FTUBPkm1awhWhNfF5G7" TargetMode="External"/><Relationship Id="rId4601" Type="http://schemas.openxmlformats.org/officeDocument/2006/relationships/hyperlink" Target="https://drive.google.com/open?id=1NF2OUEm5i8Btkoox2KHH_fdilB02OYHF" TargetMode="External"/><Relationship Id="rId1578" Type="http://schemas.openxmlformats.org/officeDocument/2006/relationships/hyperlink" Target="https://drive.google.com/open?id=1_N67j_0v6boUXD8pe2vvQcGmFi_dkMj5" TargetMode="External"/><Relationship Id="rId4604" Type="http://schemas.openxmlformats.org/officeDocument/2006/relationships/hyperlink" Target="https://www.linkedin.com/in/rugved-naigaonkar-573337212/" TargetMode="External"/><Relationship Id="rId1579" Type="http://schemas.openxmlformats.org/officeDocument/2006/relationships/hyperlink" Target="https://drive.google.com/open?id=1wdBBN5UNel0SpRf_YLg-NF3_qjb3-ywQ" TargetMode="External"/><Relationship Id="rId4603" Type="http://schemas.openxmlformats.org/officeDocument/2006/relationships/hyperlink" Target="https://drive.google.com/open?id=1NdSUuR-yC87-gSs4uihF4G1YESgsszqm" TargetMode="External"/><Relationship Id="rId4606" Type="http://schemas.openxmlformats.org/officeDocument/2006/relationships/hyperlink" Target="https://drive.google.com/open?id=10PD6p3WdakXMMHtW5ZcObaKdPDCgAEh7" TargetMode="External"/><Relationship Id="rId4605" Type="http://schemas.openxmlformats.org/officeDocument/2006/relationships/hyperlink" Target="https://drive.google.com/drive/folders/1aGY55WXh6B9R4ff6d5HobZwufKxsxG0E?usp=sharing" TargetMode="External"/><Relationship Id="rId4608" Type="http://schemas.openxmlformats.org/officeDocument/2006/relationships/hyperlink" Target="https://drive.google.com/open?id=1CXIgpnnHxBPZGqRIaK3-5BQe0Wsy79xY" TargetMode="External"/><Relationship Id="rId4607" Type="http://schemas.openxmlformats.org/officeDocument/2006/relationships/hyperlink" Target="https://drive.google.com/open?id=1qWv7q-9EX-kwnA85Tu6xviswb7ss9pIU" TargetMode="External"/><Relationship Id="rId4609" Type="http://schemas.openxmlformats.org/officeDocument/2006/relationships/hyperlink" Target="https://drive.google.com/open?id=1IzMzRJqsEm_lo-zAqEyoTG85YvYnDXyn" TargetMode="External"/><Relationship Id="rId987" Type="http://schemas.openxmlformats.org/officeDocument/2006/relationships/hyperlink" Target="https://preskilet.com/watch?v=62b56cfbaf4f2700045cde35" TargetMode="External"/><Relationship Id="rId986" Type="http://schemas.openxmlformats.org/officeDocument/2006/relationships/hyperlink" Target="https://www.linkedin.com/in/ms2602/" TargetMode="External"/><Relationship Id="rId985" Type="http://schemas.openxmlformats.org/officeDocument/2006/relationships/hyperlink" Target="https://drive.google.com/open?id=1ZDGmsKDQtOXlxnD8_EsXVC3bN5x9yxH9" TargetMode="External"/><Relationship Id="rId984" Type="http://schemas.openxmlformats.org/officeDocument/2006/relationships/hyperlink" Target="https://drive.google.com/open?id=17j6DkdaQU0DmX3Vv8NiuJoCKA_OfWW9K" TargetMode="External"/><Relationship Id="rId989" Type="http://schemas.openxmlformats.org/officeDocument/2006/relationships/hyperlink" Target="https://drive.google.com/open?id=1_VBJutqMebmfxr_S0Shaq18QpArok5ZE" TargetMode="External"/><Relationship Id="rId988" Type="http://schemas.openxmlformats.org/officeDocument/2006/relationships/hyperlink" Target="https://drive.google.com/open?id=1jqBgjVDVMtUcqTe25ypzgfv60EXOOF5N" TargetMode="External"/><Relationship Id="rId1570" Type="http://schemas.openxmlformats.org/officeDocument/2006/relationships/hyperlink" Target="https://drive.google.com/open?id=1FiHuYblsAt8oom6NoGnUm_N5vgUXQQrj" TargetMode="External"/><Relationship Id="rId1571" Type="http://schemas.openxmlformats.org/officeDocument/2006/relationships/hyperlink" Target="https://drive.google.com/open?id=1um4dO9unN4GATROOyHGJd4v2smFkPmYB" TargetMode="External"/><Relationship Id="rId983" Type="http://schemas.openxmlformats.org/officeDocument/2006/relationships/hyperlink" Target="https://drive.google.com/open?id=1C9coV2fZwYExt7jkhGdRi8HetEkuZj-7" TargetMode="External"/><Relationship Id="rId1572" Type="http://schemas.openxmlformats.org/officeDocument/2006/relationships/hyperlink" Target="https://drive.google.com/open?id=1a7tMFo4A3c0aD4JXs8AIAp6rWpUpsFrS" TargetMode="External"/><Relationship Id="rId982" Type="http://schemas.openxmlformats.org/officeDocument/2006/relationships/hyperlink" Target="https://drive.google.com/open?id=1gfP1IRf4-RNY1ZfNjXKl3VYX5qfrIv4j" TargetMode="External"/><Relationship Id="rId1573" Type="http://schemas.openxmlformats.org/officeDocument/2006/relationships/hyperlink" Target="https://drive.google.com/open?id=1uU3QAE_HEw_V8SLara9_vERCAmTNgPM-" TargetMode="External"/><Relationship Id="rId981" Type="http://schemas.openxmlformats.org/officeDocument/2006/relationships/hyperlink" Target="https://drive.google.com/open?id=1BJNyVS3QOxAte0I-zCR-ThQXtKY9V-dX" TargetMode="External"/><Relationship Id="rId1574" Type="http://schemas.openxmlformats.org/officeDocument/2006/relationships/hyperlink" Target="https://drive.google.com/open?id=10aB5SkSOBwgjsMH59r6_UWANFoW9EDP5" TargetMode="External"/><Relationship Id="rId4600" Type="http://schemas.openxmlformats.org/officeDocument/2006/relationships/hyperlink" Target="https://drive.google.com/open?id=1h7m-Qo78unbaCLRljhuQ5OUHPPlzl60j" TargetMode="External"/><Relationship Id="rId980" Type="http://schemas.openxmlformats.org/officeDocument/2006/relationships/hyperlink" Target="https://drive.google.com/open?id=1WSp6tH3-u3G8gJYQ61nIy3CHX0YyQAMW" TargetMode="External"/><Relationship Id="rId1575" Type="http://schemas.openxmlformats.org/officeDocument/2006/relationships/hyperlink" Target="http://www.linkedin.com/in/srushtiijadhav" TargetMode="External"/><Relationship Id="rId1565" Type="http://schemas.openxmlformats.org/officeDocument/2006/relationships/hyperlink" Target="https://drive.google.com/open?id=1toNp5ETACJNxOmOCU5Bf4wEBJiJbk4YE" TargetMode="External"/><Relationship Id="rId2896" Type="http://schemas.openxmlformats.org/officeDocument/2006/relationships/hyperlink" Target="https://drive.google.com/open?id=1A1Wwidb-uSplJK3FjKSGWOTesBjyVfhx" TargetMode="External"/><Relationship Id="rId1566" Type="http://schemas.openxmlformats.org/officeDocument/2006/relationships/hyperlink" Target="https://drive.google.com/open?id=1oiGi1eHbxsgULmnW-SjznzOloWEFoT1v" TargetMode="External"/><Relationship Id="rId2897" Type="http://schemas.openxmlformats.org/officeDocument/2006/relationships/hyperlink" Target="https://drive.google.com/open?id=11QjIRwBMZAmtJ9krj6O_rxVSjFTl81-2" TargetMode="External"/><Relationship Id="rId1567" Type="http://schemas.openxmlformats.org/officeDocument/2006/relationships/hyperlink" Target="https://www.linkedin.com/in/shruti-dhumne-85b24616b/" TargetMode="External"/><Relationship Id="rId2898" Type="http://schemas.openxmlformats.org/officeDocument/2006/relationships/hyperlink" Target="https://drive.google.com/open?id=1cMQGZtqXIrV_Rf5zUiI0NIizXRZ7DgOF" TargetMode="External"/><Relationship Id="rId1568" Type="http://schemas.openxmlformats.org/officeDocument/2006/relationships/hyperlink" Target="https://preskilet.com/watch?v=62a38b5ba6956a0004600749" TargetMode="External"/><Relationship Id="rId2899" Type="http://schemas.openxmlformats.org/officeDocument/2006/relationships/hyperlink" Target="https://drive.google.com/open?id=1fzfk3ZoqifGeXlA11KcbIQR9FNg5k7BF" TargetMode="External"/><Relationship Id="rId1569" Type="http://schemas.openxmlformats.org/officeDocument/2006/relationships/hyperlink" Target="https://drive.google.com/open?id=1rPoc2s_Qaa01f6v0JXEiorJn70gT98eL" TargetMode="External"/><Relationship Id="rId976" Type="http://schemas.openxmlformats.org/officeDocument/2006/relationships/hyperlink" Target="https://drive.google.com/open?id=1w-sH9NFMNy2Pq5q8R_OvgFEQqSGCNBcw" TargetMode="External"/><Relationship Id="rId975" Type="http://schemas.openxmlformats.org/officeDocument/2006/relationships/hyperlink" Target="https://drive.google.com/open?id=1BhO832arjLgN1Z_pHq6O0YuacLpmvGud" TargetMode="External"/><Relationship Id="rId974" Type="http://schemas.openxmlformats.org/officeDocument/2006/relationships/hyperlink" Target="https://preskilet.com/trneharkar@mitaoe.ac.in" TargetMode="External"/><Relationship Id="rId973" Type="http://schemas.openxmlformats.org/officeDocument/2006/relationships/hyperlink" Target="https://www.linkedin.com/in/tanuja-neharkar-490b7423b/" TargetMode="External"/><Relationship Id="rId979" Type="http://schemas.openxmlformats.org/officeDocument/2006/relationships/hyperlink" Target="https://drive.google.com/open?id=1XgfaxnmJEAInazWFbHpKAN0rPrUq1S_n" TargetMode="External"/><Relationship Id="rId978" Type="http://schemas.openxmlformats.org/officeDocument/2006/relationships/hyperlink" Target="https://drive.google.com/open?id=1kPnuu8RGFdXaV1JLwWpanj37M8r_wiSU" TargetMode="External"/><Relationship Id="rId977" Type="http://schemas.openxmlformats.org/officeDocument/2006/relationships/hyperlink" Target="https://drive.google.com/open?id=1rkhUJ2zykXF9fXcaTMoWd_375YVNTe_g" TargetMode="External"/><Relationship Id="rId2890" Type="http://schemas.openxmlformats.org/officeDocument/2006/relationships/hyperlink" Target="https://drive.google.com/open?id=1I57mnM7RnUveD58DoFWdmvWEpp_5Wemy" TargetMode="External"/><Relationship Id="rId1560" Type="http://schemas.openxmlformats.org/officeDocument/2006/relationships/hyperlink" Target="https://drive.google.com/open?id=1POnUHW9OLLuPu-nW2TR6Sbv_Ve-IBNla" TargetMode="External"/><Relationship Id="rId2891" Type="http://schemas.openxmlformats.org/officeDocument/2006/relationships/hyperlink" Target="https://drive.google.com/open?id=1K-wfTlOvrUxWiAYElScnbefEDyPqfcdj" TargetMode="External"/><Relationship Id="rId972" Type="http://schemas.openxmlformats.org/officeDocument/2006/relationships/hyperlink" Target="https://drive.google.com/open?id=1IcL6zwDRsbwNExm7P1K8_KEVeNNulUav" TargetMode="External"/><Relationship Id="rId1561" Type="http://schemas.openxmlformats.org/officeDocument/2006/relationships/hyperlink" Target="https://drive.google.com/open?id=1H_QWhxYWx9XpWulIEnWLgl1Buq8eCrSl" TargetMode="External"/><Relationship Id="rId2892" Type="http://schemas.openxmlformats.org/officeDocument/2006/relationships/hyperlink" Target="https://drive.google.com/open?id=18Mw9icTADfdMsAx05j8rKQB3_un2HYRL" TargetMode="External"/><Relationship Id="rId971" Type="http://schemas.openxmlformats.org/officeDocument/2006/relationships/hyperlink" Target="https://drive.google.com/open?id=1wjjhPtFwxMYOMZrH1rlnepTITCfGbzao" TargetMode="External"/><Relationship Id="rId1562" Type="http://schemas.openxmlformats.org/officeDocument/2006/relationships/hyperlink" Target="https://drive.google.com/open?id=1O0QIyIKlx2zcqfI6kzHr5WHxhnVa0ZH8" TargetMode="External"/><Relationship Id="rId2893" Type="http://schemas.openxmlformats.org/officeDocument/2006/relationships/hyperlink" Target="https://www.linkedin.com/in/raut-s-bb379b204/" TargetMode="External"/><Relationship Id="rId970" Type="http://schemas.openxmlformats.org/officeDocument/2006/relationships/hyperlink" Target="https://drive.google.com/open?id=1xPSlAZjuEtMnw07QH2IWhcy5DuegtZX7" TargetMode="External"/><Relationship Id="rId1563" Type="http://schemas.openxmlformats.org/officeDocument/2006/relationships/hyperlink" Target="https://drive.google.com/open?id=13dAzd3TRyLtpRvhGlt-3DNSt3WHjmPf_" TargetMode="External"/><Relationship Id="rId2894" Type="http://schemas.openxmlformats.org/officeDocument/2006/relationships/hyperlink" Target="https://preskilet.com/watch?v=62b31cc4cd590700045fb602" TargetMode="External"/><Relationship Id="rId1564" Type="http://schemas.openxmlformats.org/officeDocument/2006/relationships/hyperlink" Target="https://drive.google.com/open?id=1JZPZ0dmEMuwpgnSQtLctP17BuBPrfxMu" TargetMode="External"/><Relationship Id="rId2895" Type="http://schemas.openxmlformats.org/officeDocument/2006/relationships/hyperlink" Target="https://drive.google.com/open?id=1L1xAlHMjl9o02XzhrlmVWvnveoKKFV5m" TargetMode="External"/><Relationship Id="rId1598" Type="http://schemas.openxmlformats.org/officeDocument/2006/relationships/hyperlink" Target="https://www.linkedin.com/in/omkarrshinde/" TargetMode="External"/><Relationship Id="rId4624" Type="http://schemas.openxmlformats.org/officeDocument/2006/relationships/hyperlink" Target="https://drive.google.com/open?id=1vQrCvQjmoDd1lHU8XND3kbn9QzgTP1wB" TargetMode="External"/><Relationship Id="rId1599" Type="http://schemas.openxmlformats.org/officeDocument/2006/relationships/hyperlink" Target="https://preskilet.com/watch?v=62a374bca6956a0004600277" TargetMode="External"/><Relationship Id="rId4623" Type="http://schemas.openxmlformats.org/officeDocument/2006/relationships/hyperlink" Target="https://drive.google.com/open?id=1TuwZFIUMHZ8u2pt13pFSuNrWIRA7dTCA" TargetMode="External"/><Relationship Id="rId4626" Type="http://schemas.openxmlformats.org/officeDocument/2006/relationships/hyperlink" Target="https://drive.google.com/open?id=1CfZ8w9RxaxgZ_my_gDfAEuhW4_C9aMPc" TargetMode="External"/><Relationship Id="rId4625" Type="http://schemas.openxmlformats.org/officeDocument/2006/relationships/hyperlink" Target="https://drive.google.com/open?id=1vPKco4Ab6zI0tUcE0WiFzgrhPVKskGRZ" TargetMode="External"/><Relationship Id="rId4628" Type="http://schemas.openxmlformats.org/officeDocument/2006/relationships/hyperlink" Target="https://drive.google.com/drive/folders/1gbvnlUSVo3Bg-rH4bmJpgrG7CEmdzFIS" TargetMode="External"/><Relationship Id="rId4627" Type="http://schemas.openxmlformats.org/officeDocument/2006/relationships/hyperlink" Target="http://www.linkedin.com/in/pavankumar-sarvade999" TargetMode="External"/><Relationship Id="rId4629" Type="http://schemas.openxmlformats.org/officeDocument/2006/relationships/hyperlink" Target="https://drive.google.com/open?id=1EyekP84Tz9P1fW_BkeUXcl2wrhiSRCA6" TargetMode="External"/><Relationship Id="rId1590" Type="http://schemas.openxmlformats.org/officeDocument/2006/relationships/hyperlink" Target="https://www.linkedin.com/in/karthik-gunturi-92993522a/" TargetMode="External"/><Relationship Id="rId1591" Type="http://schemas.openxmlformats.org/officeDocument/2006/relationships/hyperlink" Target="https://preskilet.com/watch?v=62a1e9e7fed70c00042b66e7" TargetMode="External"/><Relationship Id="rId1592" Type="http://schemas.openxmlformats.org/officeDocument/2006/relationships/hyperlink" Target="https://drive.google.com/open?id=1x4ROSMAWKOZMSYE4K2uBq5udYVqyICiI" TargetMode="External"/><Relationship Id="rId1593" Type="http://schemas.openxmlformats.org/officeDocument/2006/relationships/hyperlink" Target="https://drive.google.com/open?id=1zJAVQThgS_sqVlTOgHkFdS_5q_-h5kyV" TargetMode="External"/><Relationship Id="rId1594" Type="http://schemas.openxmlformats.org/officeDocument/2006/relationships/hyperlink" Target="https://drive.google.com/open?id=1Y93rGGAxbVSoCy5DGWzgHKOpMepkvdry" TargetMode="External"/><Relationship Id="rId4620" Type="http://schemas.openxmlformats.org/officeDocument/2006/relationships/hyperlink" Target="https://www.linkedin.com/in/prajwal-agarwal-a05707213" TargetMode="External"/><Relationship Id="rId1595" Type="http://schemas.openxmlformats.org/officeDocument/2006/relationships/hyperlink" Target="https://drive.google.com/open?id=15TgCThWnkVM36WtsQBxrMNX71y_BGJa7" TargetMode="External"/><Relationship Id="rId1596" Type="http://schemas.openxmlformats.org/officeDocument/2006/relationships/hyperlink" Target="https://drive.google.com/open?id=1aU1cJscy_6_3Aui_dvhzQe4X2dzBhbc2" TargetMode="External"/><Relationship Id="rId4622" Type="http://schemas.openxmlformats.org/officeDocument/2006/relationships/hyperlink" Target="https://drive.google.com/open?id=1bu6JBhhvca1zAYrtaiFU862AFkR9_lPa" TargetMode="External"/><Relationship Id="rId1597" Type="http://schemas.openxmlformats.org/officeDocument/2006/relationships/hyperlink" Target="https://drive.google.com/open?id=1zCyYgT_-LhbuYXMFUVh20fIb3tPD1cSG" TargetMode="External"/><Relationship Id="rId4621" Type="http://schemas.openxmlformats.org/officeDocument/2006/relationships/hyperlink" Target="https://drive.google.com/file/d/1sf3T-sM7-EyZDsEhWyhyEhbxPUnMYo8k/view?usp=sharing" TargetMode="External"/><Relationship Id="rId1587" Type="http://schemas.openxmlformats.org/officeDocument/2006/relationships/hyperlink" Target="https://drive.google.com/open?id=1Q5uutvisTr37BQOqzza2iJRM0eg32c00" TargetMode="External"/><Relationship Id="rId4613" Type="http://schemas.openxmlformats.org/officeDocument/2006/relationships/hyperlink" Target="https://preskilet.com/watch?v=62a3761aa6956a00046002ad" TargetMode="External"/><Relationship Id="rId1588" Type="http://schemas.openxmlformats.org/officeDocument/2006/relationships/hyperlink" Target="https://drive.google.com/open?id=12ZX52ksk_nrE2pdRNcUEypyeci-h5A0T" TargetMode="External"/><Relationship Id="rId4612" Type="http://schemas.openxmlformats.org/officeDocument/2006/relationships/hyperlink" Target="https://www.linkedin.com/in/prathamesh-dhamnikar-bab435211" TargetMode="External"/><Relationship Id="rId1589" Type="http://schemas.openxmlformats.org/officeDocument/2006/relationships/hyperlink" Target="https://drive.google.com/open?id=1OK7675U7nZv6MA0Eigj_oIPW-1qkrQpP" TargetMode="External"/><Relationship Id="rId4615" Type="http://schemas.openxmlformats.org/officeDocument/2006/relationships/hyperlink" Target="https://drive.google.com/open?id=11tj2f88YzwQ0nW1cMSD0PE-wz2nvdzfT" TargetMode="External"/><Relationship Id="rId4614" Type="http://schemas.openxmlformats.org/officeDocument/2006/relationships/hyperlink" Target="https://drive.google.com/open?id=10QbJIVoK3AzwzkaHpsqPUjwG87J7KnOo" TargetMode="External"/><Relationship Id="rId4617" Type="http://schemas.openxmlformats.org/officeDocument/2006/relationships/hyperlink" Target="https://drive.google.com/open?id=1tDc5sleyzq2WwxHEwqqR5XgHPEQtBYUy" TargetMode="External"/><Relationship Id="rId4616" Type="http://schemas.openxmlformats.org/officeDocument/2006/relationships/hyperlink" Target="https://drive.google.com/open?id=1yrA0ln_Fcuid8uDcTaPOltbt2ZVpoqwk" TargetMode="External"/><Relationship Id="rId4619" Type="http://schemas.openxmlformats.org/officeDocument/2006/relationships/hyperlink" Target="https://drive.google.com/open?id=11OhPNAvNiF-dxI3FZEjLTY4fJf0sg9UV" TargetMode="External"/><Relationship Id="rId4618" Type="http://schemas.openxmlformats.org/officeDocument/2006/relationships/hyperlink" Target="https://drive.google.com/open?id=1-LKLw_RU4p4oL8TiZ7VjwDOHiB0CX3wy" TargetMode="External"/><Relationship Id="rId998" Type="http://schemas.openxmlformats.org/officeDocument/2006/relationships/hyperlink" Target="https://drive.google.com/open?id=1_g5QlDLWyKDdbiNStczQZQyv2FZ3DpFz" TargetMode="External"/><Relationship Id="rId997" Type="http://schemas.openxmlformats.org/officeDocument/2006/relationships/hyperlink" Target="https://drive.google.com/open?id=1zLrMrOcERov0IgFQY1kpvZDLZmS_CeFv" TargetMode="External"/><Relationship Id="rId996" Type="http://schemas.openxmlformats.org/officeDocument/2006/relationships/hyperlink" Target="https://drive.google.com/open?id=1LwUlf3rrzOdkPUKekM-UU-PyhnNcLUZU" TargetMode="External"/><Relationship Id="rId995" Type="http://schemas.openxmlformats.org/officeDocument/2006/relationships/hyperlink" Target="https://drive.google.com/open?id=11M60c8xJhpLbnsO-4u3nuaC6RxFwRkB9" TargetMode="External"/><Relationship Id="rId999" Type="http://schemas.openxmlformats.org/officeDocument/2006/relationships/hyperlink" Target="https://drive.google.com/open?id=1s0_xoUo3415g-dNYeSCvI6R9gajx0Wdu" TargetMode="External"/><Relationship Id="rId990" Type="http://schemas.openxmlformats.org/officeDocument/2006/relationships/hyperlink" Target="https://drive.google.com/open?id=1VFsOpNikOqG_vOln18frJFYosuaktfVr" TargetMode="External"/><Relationship Id="rId1580" Type="http://schemas.openxmlformats.org/officeDocument/2006/relationships/hyperlink" Target="https://drive.google.com/open?id=1XbCQb0nUSnBTkmb8MEhbEoRp0tQdE3IZ" TargetMode="External"/><Relationship Id="rId1581" Type="http://schemas.openxmlformats.org/officeDocument/2006/relationships/hyperlink" Target="https://drive.google.com/open?id=1czN8WOGIurpIVKNQGg-fiDERXwoDqsOA" TargetMode="External"/><Relationship Id="rId1582" Type="http://schemas.openxmlformats.org/officeDocument/2006/relationships/hyperlink" Target="https://www.linkedin.com/in/karan-sajeeth-2a329020b/" TargetMode="External"/><Relationship Id="rId994" Type="http://schemas.openxmlformats.org/officeDocument/2006/relationships/hyperlink" Target="https://drive.google.com/open?id=1c10PxMyFLB3qox2OZ3HyXJRXa3jRNkyh" TargetMode="External"/><Relationship Id="rId1583" Type="http://schemas.openxmlformats.org/officeDocument/2006/relationships/hyperlink" Target="https://preskilet.com/watch?v=62a1c9d8fed70c00042b65eb" TargetMode="External"/><Relationship Id="rId993" Type="http://schemas.openxmlformats.org/officeDocument/2006/relationships/hyperlink" Target="https://preskilet.com/rssahoo@mitaoe.ac.in" TargetMode="External"/><Relationship Id="rId1584" Type="http://schemas.openxmlformats.org/officeDocument/2006/relationships/hyperlink" Target="https://drive.google.com/open?id=1BGx-rYVqndw8kEAPeT-7xdqCOCF64vic" TargetMode="External"/><Relationship Id="rId992" Type="http://schemas.openxmlformats.org/officeDocument/2006/relationships/hyperlink" Target="https://www.linkedin.com/in/rajesh-sahoo-14926a21a/" TargetMode="External"/><Relationship Id="rId1585" Type="http://schemas.openxmlformats.org/officeDocument/2006/relationships/hyperlink" Target="https://drive.google.com/open?id=1zYAM1z42jyoC7pO4ng6GEHZSUkSlA5o-" TargetMode="External"/><Relationship Id="rId4611" Type="http://schemas.openxmlformats.org/officeDocument/2006/relationships/hyperlink" Target="https://drive.google.com/open?id=1kSXJT6dC-OXn_193VPQCTkADjUkDHfHR" TargetMode="External"/><Relationship Id="rId991" Type="http://schemas.openxmlformats.org/officeDocument/2006/relationships/hyperlink" Target="https://drive.google.com/open?id=1RPf-7uTLW5d8uSGMyhqr5VitsoZtChYa" TargetMode="External"/><Relationship Id="rId1586" Type="http://schemas.openxmlformats.org/officeDocument/2006/relationships/hyperlink" Target="https://drive.google.com/open?id=1aJqrPbycb3q7Eycu3rGKt1zxcuBu9XWX" TargetMode="External"/><Relationship Id="rId4610" Type="http://schemas.openxmlformats.org/officeDocument/2006/relationships/hyperlink" Target="https://drive.google.com/open?id=19EzquVfEcYI24G9QfYQqRaGst2QJxE9P" TargetMode="External"/><Relationship Id="rId1532" Type="http://schemas.openxmlformats.org/officeDocument/2006/relationships/hyperlink" Target="https://drive.google.com/open?id=1wV9Yy1KJPqtrf4PMEU84Qf4cfYirV2vH" TargetMode="External"/><Relationship Id="rId2863" Type="http://schemas.openxmlformats.org/officeDocument/2006/relationships/hyperlink" Target="https://drive.google.com/open?id=1MbyPqNGcaWOJ67-u9t1m2UYBAnZqAhoi" TargetMode="External"/><Relationship Id="rId1533" Type="http://schemas.openxmlformats.org/officeDocument/2006/relationships/hyperlink" Target="http://www.linkedin.com/in/uddhav-patil-9389a2206" TargetMode="External"/><Relationship Id="rId2864" Type="http://schemas.openxmlformats.org/officeDocument/2006/relationships/hyperlink" Target="https://drive.google.com/open?id=1uyI3iV-NOBmG6tQHNniCUnJSNZVRnkVf" TargetMode="External"/><Relationship Id="rId1534" Type="http://schemas.openxmlformats.org/officeDocument/2006/relationships/hyperlink" Target="https://preskilet.com/watch?v=62a373f0a6956a0004600240" TargetMode="External"/><Relationship Id="rId2865" Type="http://schemas.openxmlformats.org/officeDocument/2006/relationships/hyperlink" Target="https://drive.google.com/open?id=1RBlM9OMD8LSUiUirN-876NhZ9XXtaIHm" TargetMode="External"/><Relationship Id="rId1535" Type="http://schemas.openxmlformats.org/officeDocument/2006/relationships/hyperlink" Target="https://drive.google.com/open?id=1TrMKhOVYWnPFBJzwtfpuClz4ErUI50ZD" TargetMode="External"/><Relationship Id="rId2866" Type="http://schemas.openxmlformats.org/officeDocument/2006/relationships/hyperlink" Target="https://drive.google.com/open?id=1d2Mz8-sahUoDobN-I1HgVGV_Uaj52eS-" TargetMode="External"/><Relationship Id="rId1536" Type="http://schemas.openxmlformats.org/officeDocument/2006/relationships/hyperlink" Target="https://drive.google.com/open?id=1S4ubonDs47Fsao3Nxhg95G7DowMPaVwT" TargetMode="External"/><Relationship Id="rId2867" Type="http://schemas.openxmlformats.org/officeDocument/2006/relationships/hyperlink" Target="https://drive.google.com/open?id=1sKXiQwVIDzEg0ZObMxvOq_m4RclPOzJU" TargetMode="External"/><Relationship Id="rId1537" Type="http://schemas.openxmlformats.org/officeDocument/2006/relationships/hyperlink" Target="https://drive.google.com/open?id=1DGoHm6p1n5gzMHy42_WhUS03Of8fBWif" TargetMode="External"/><Relationship Id="rId2868" Type="http://schemas.openxmlformats.org/officeDocument/2006/relationships/hyperlink" Target="https://drive.google.com/open?id=1TclLHYwOFi3utFunXPGK1JrwuS_3NBhB" TargetMode="External"/><Relationship Id="rId1538" Type="http://schemas.openxmlformats.org/officeDocument/2006/relationships/hyperlink" Target="https://drive.google.com/open?id=1HAcZZ8DM3y2J24o41qW3HAts8Bnkx_jE" TargetMode="External"/><Relationship Id="rId2869" Type="http://schemas.openxmlformats.org/officeDocument/2006/relationships/hyperlink" Target="https://drive.google.com/open?id=1wwOanonrrnzgiFPou0mhclNku2uAeWqC" TargetMode="External"/><Relationship Id="rId1539" Type="http://schemas.openxmlformats.org/officeDocument/2006/relationships/hyperlink" Target="https://drive.google.com/open?id=1mXBezzsfTGJOmn5Ede4Loh_FKwPG0TRp" TargetMode="External"/><Relationship Id="rId949" Type="http://schemas.openxmlformats.org/officeDocument/2006/relationships/hyperlink" Target="https://preskilet.com/watch?v=62a2469efed70c00042b6980" TargetMode="External"/><Relationship Id="rId948" Type="http://schemas.openxmlformats.org/officeDocument/2006/relationships/hyperlink" Target="http://www.linkedin.com/in/shwetakumar6" TargetMode="External"/><Relationship Id="rId943" Type="http://schemas.openxmlformats.org/officeDocument/2006/relationships/hyperlink" Target="https://drive.google.com/open?id=1hnYe3H7Numz8l-7XOXgTjwtXKzM4Hmi5" TargetMode="External"/><Relationship Id="rId942" Type="http://schemas.openxmlformats.org/officeDocument/2006/relationships/hyperlink" Target="https://drive.google.com/open?id=1tD558pthgvCINAUCvgdu2tupezl7-E8y" TargetMode="External"/><Relationship Id="rId941" Type="http://schemas.openxmlformats.org/officeDocument/2006/relationships/hyperlink" Target="https://preskilet.com/watch?v=62a318e1a6956a00045ff8df" TargetMode="External"/><Relationship Id="rId940" Type="http://schemas.openxmlformats.org/officeDocument/2006/relationships/hyperlink" Target="https://www.linkedin.com/in/shantanu-kadam-7b4225192/" TargetMode="External"/><Relationship Id="rId947" Type="http://schemas.openxmlformats.org/officeDocument/2006/relationships/hyperlink" Target="https://drive.google.com/open?id=11uSe7c3LQ3Nq_tKldwyAvRqyusB3Lr2s" TargetMode="External"/><Relationship Id="rId946" Type="http://schemas.openxmlformats.org/officeDocument/2006/relationships/hyperlink" Target="https://drive.google.com/open?id=1HZU-Z0S-CnEMQHm6j9kwvevgRqZADF-g" TargetMode="External"/><Relationship Id="rId945" Type="http://schemas.openxmlformats.org/officeDocument/2006/relationships/hyperlink" Target="https://drive.google.com/open?id=1V4HXGMcJf7FALenhNJ7V893L6X5N1f_P" TargetMode="External"/><Relationship Id="rId944" Type="http://schemas.openxmlformats.org/officeDocument/2006/relationships/hyperlink" Target="https://drive.google.com/open?id=1z89E_-EejxDGjo0KszIlGijOXBNz4Nlo" TargetMode="External"/><Relationship Id="rId2860" Type="http://schemas.openxmlformats.org/officeDocument/2006/relationships/hyperlink" Target="http://linkedin.com/sanskrutijoshi" TargetMode="External"/><Relationship Id="rId1530" Type="http://schemas.openxmlformats.org/officeDocument/2006/relationships/hyperlink" Target="https://drive.google.com/open?id=1HkPRETWE5igSZsmVFln5uO94wfz43S0N" TargetMode="External"/><Relationship Id="rId2861" Type="http://schemas.openxmlformats.org/officeDocument/2006/relationships/hyperlink" Target="https://preskilet.com/watch?v=62bd9aef9535010004fd26d4" TargetMode="External"/><Relationship Id="rId1531" Type="http://schemas.openxmlformats.org/officeDocument/2006/relationships/hyperlink" Target="https://drive.google.com/open?id=1z4rANwMopMmauLxOcC_U3sWdUn_Qb_WU" TargetMode="External"/><Relationship Id="rId2862" Type="http://schemas.openxmlformats.org/officeDocument/2006/relationships/hyperlink" Target="https://drive.google.com/open?id=1WalFxLCom8mHAUNY4vibSh5LBF_WKvnG" TargetMode="External"/><Relationship Id="rId1521" Type="http://schemas.openxmlformats.org/officeDocument/2006/relationships/hyperlink" Target="https://drive.google.com/open?id=15pFcJbvk-WKQuxGkMm-NmlXKaHt8Tt5y" TargetMode="External"/><Relationship Id="rId2852" Type="http://schemas.openxmlformats.org/officeDocument/2006/relationships/hyperlink" Target="https://www.linkedin.com/in/adityabirangal/" TargetMode="External"/><Relationship Id="rId1522" Type="http://schemas.openxmlformats.org/officeDocument/2006/relationships/hyperlink" Target="https://drive.google.com/open?id=1062Bk4WiYBDCjE3HLRnMsd2q2zDc0q1G" TargetMode="External"/><Relationship Id="rId2853" Type="http://schemas.openxmlformats.org/officeDocument/2006/relationships/hyperlink" Target="https://preskilet.com/watch?v=62b383372836970004a073c9" TargetMode="External"/><Relationship Id="rId1523" Type="http://schemas.openxmlformats.org/officeDocument/2006/relationships/hyperlink" Target="https://drive.google.com/open?id=1Oz8AHNyV4xDw_GD6WRN42aB7JcgPQK3o" TargetMode="External"/><Relationship Id="rId2854" Type="http://schemas.openxmlformats.org/officeDocument/2006/relationships/hyperlink" Target="https://drive.google.com/open?id=1HMEGeCYOC491ZlhfQvRXX8Yhk4pwdIc9" TargetMode="External"/><Relationship Id="rId1524" Type="http://schemas.openxmlformats.org/officeDocument/2006/relationships/hyperlink" Target="https://drive.google.com/open?id=18qNm9ZaSKoDR4eZYoUYAqIeVwyhDA6ND" TargetMode="External"/><Relationship Id="rId2855" Type="http://schemas.openxmlformats.org/officeDocument/2006/relationships/hyperlink" Target="https://drive.google.com/open?id=1QsqvO9xu0SxFBz30tqKe_9BC9vHMTmCX" TargetMode="External"/><Relationship Id="rId1525" Type="http://schemas.openxmlformats.org/officeDocument/2006/relationships/hyperlink" Target="https://drive.google.com/open?id=1j9j33TJBSinhe9APIKfSd6WCuxryFlOi" TargetMode="External"/><Relationship Id="rId2856" Type="http://schemas.openxmlformats.org/officeDocument/2006/relationships/hyperlink" Target="https://drive.google.com/open?id=1Zm3eEQcfLhulqzP7YyIIu2mdj-LWjzDT" TargetMode="External"/><Relationship Id="rId1526" Type="http://schemas.openxmlformats.org/officeDocument/2006/relationships/hyperlink" Target="https://drive.google.com/open?id=1AqtGvsAufvGB6bx371C3564g0bkIM29q" TargetMode="External"/><Relationship Id="rId2857" Type="http://schemas.openxmlformats.org/officeDocument/2006/relationships/hyperlink" Target="https://drive.google.com/open?id=1enqdbw9atNBGPh0TGvMYEGy-3E7vgW8d" TargetMode="External"/><Relationship Id="rId1527" Type="http://schemas.openxmlformats.org/officeDocument/2006/relationships/hyperlink" Target="https://www.linkedin.com/in/rushikesh-jadhav-012396184" TargetMode="External"/><Relationship Id="rId2858" Type="http://schemas.openxmlformats.org/officeDocument/2006/relationships/hyperlink" Target="https://drive.google.com/open?id=1Tg7Y3WwVDUrAZNAHyM5KjT4X1Vm7imeg" TargetMode="External"/><Relationship Id="rId1528" Type="http://schemas.openxmlformats.org/officeDocument/2006/relationships/hyperlink" Target="https://preskilet.com/watch?v=62a35a51a6956a00045ffeb9" TargetMode="External"/><Relationship Id="rId2859" Type="http://schemas.openxmlformats.org/officeDocument/2006/relationships/hyperlink" Target="https://drive.google.com/open?id=1Wt19zOQDgOTlaEVxpkYbtgTKxo5OAAUr" TargetMode="External"/><Relationship Id="rId1529" Type="http://schemas.openxmlformats.org/officeDocument/2006/relationships/hyperlink" Target="https://drive.google.com/open?id=1u3XCIruBNFOXgX2pYNxvoG2TEqQOFoPH" TargetMode="External"/><Relationship Id="rId939" Type="http://schemas.openxmlformats.org/officeDocument/2006/relationships/hyperlink" Target="https://drive.google.com/open?id=1Dk1jw13HdiP0bD-qTfpnreEqNmQjQtDT" TargetMode="External"/><Relationship Id="rId938" Type="http://schemas.openxmlformats.org/officeDocument/2006/relationships/hyperlink" Target="https://drive.google.com/open?id=1CtiNzbfp0qZKLrd3j3busDVspN8oukgW" TargetMode="External"/><Relationship Id="rId937" Type="http://schemas.openxmlformats.org/officeDocument/2006/relationships/hyperlink" Target="https://drive.google.com/open?id=1VaM2ollbCFn_o3LcOtEOQGIHYCsj_Quq" TargetMode="External"/><Relationship Id="rId932" Type="http://schemas.openxmlformats.org/officeDocument/2006/relationships/hyperlink" Target="http://linkedin.com/in/rishav-sinha-717a4320a" TargetMode="External"/><Relationship Id="rId931" Type="http://schemas.openxmlformats.org/officeDocument/2006/relationships/hyperlink" Target="https://drive.google.com/open?id=1VD2KCHHn9nXAwQ4pFPDZq_1gaOTMnm1u" TargetMode="External"/><Relationship Id="rId930" Type="http://schemas.openxmlformats.org/officeDocument/2006/relationships/hyperlink" Target="https://drive.google.com/open?id=1uAp1R0kO7Zvl9WxeAgoyyW8yH5_CZgUH" TargetMode="External"/><Relationship Id="rId936" Type="http://schemas.openxmlformats.org/officeDocument/2006/relationships/hyperlink" Target="https://drive.google.com/open?id=1J5Dqe-xglC-JfwqG5m4qhY45MyrdVY2A" TargetMode="External"/><Relationship Id="rId935" Type="http://schemas.openxmlformats.org/officeDocument/2006/relationships/hyperlink" Target="https://drive.google.com/open?id=1TOhpOJx1KCdx0QfQ_TIOQvS-OOympu8H" TargetMode="External"/><Relationship Id="rId934" Type="http://schemas.openxmlformats.org/officeDocument/2006/relationships/hyperlink" Target="https://drive.google.com/open?id=1-tWgLJZ9lTGTSfQYMWSq6voRJORzg2JW" TargetMode="External"/><Relationship Id="rId933" Type="http://schemas.openxmlformats.org/officeDocument/2006/relationships/hyperlink" Target="https://drive.google.com/drive/u/0/folders/1ia6rQm_dsyHY5ujCIO0-PJtNB2J-UzZ9" TargetMode="External"/><Relationship Id="rId2850" Type="http://schemas.openxmlformats.org/officeDocument/2006/relationships/hyperlink" Target="https://drive.google.com/open?id=1p03PDJYpQl8J05HEnIY14GsurlJiXB-J" TargetMode="External"/><Relationship Id="rId1520" Type="http://schemas.openxmlformats.org/officeDocument/2006/relationships/hyperlink" Target="https://preskilet.com/editpret" TargetMode="External"/><Relationship Id="rId2851" Type="http://schemas.openxmlformats.org/officeDocument/2006/relationships/hyperlink" Target="https://drive.google.com/open?id=1HA1RWocsFm38O3LA54AHzZfGrS1q5x3Y" TargetMode="External"/><Relationship Id="rId1554" Type="http://schemas.openxmlformats.org/officeDocument/2006/relationships/hyperlink" Target="https://drive.google.com/open?id=1S_7SBZ01dfO5qNEIrBSESUqRMc34F_6M" TargetMode="External"/><Relationship Id="rId2885" Type="http://schemas.openxmlformats.org/officeDocument/2006/relationships/hyperlink" Target="https://www.linkedin.com/in/mayur-ghodekar/" TargetMode="External"/><Relationship Id="rId1555" Type="http://schemas.openxmlformats.org/officeDocument/2006/relationships/hyperlink" Target="https://drive.google.com/open?id=1WkjfTu6fURPvEMh9F1JNbLcM_ZP2mIDw" TargetMode="External"/><Relationship Id="rId2886" Type="http://schemas.openxmlformats.org/officeDocument/2006/relationships/hyperlink" Target="https://preskilet.com/watch?v=62b4417130b28000045231a1" TargetMode="External"/><Relationship Id="rId1556" Type="http://schemas.openxmlformats.org/officeDocument/2006/relationships/hyperlink" Target="https://drive.google.com/open?id=1vw71_QcPbLwqpvjDditt-eAAYNefMaUx" TargetMode="External"/><Relationship Id="rId2887" Type="http://schemas.openxmlformats.org/officeDocument/2006/relationships/hyperlink" Target="https://drive.google.com/open?id=1aJzG9XJufWBeZbzmdEn2vYtR_ckXGdav" TargetMode="External"/><Relationship Id="rId1557" Type="http://schemas.openxmlformats.org/officeDocument/2006/relationships/hyperlink" Target="https://www.linkedin.com/in/atharv-udawant-72108b231/" TargetMode="External"/><Relationship Id="rId2888" Type="http://schemas.openxmlformats.org/officeDocument/2006/relationships/hyperlink" Target="https://drive.google.com/open?id=1gxTK5v24evnKybw4ianTnowU4hHoqn5S" TargetMode="External"/><Relationship Id="rId1558" Type="http://schemas.openxmlformats.org/officeDocument/2006/relationships/hyperlink" Target="https://preskilet.com/watch?v=62b44bd630b280000452322f" TargetMode="External"/><Relationship Id="rId2889" Type="http://schemas.openxmlformats.org/officeDocument/2006/relationships/hyperlink" Target="https://drive.google.com/open?id=1wuJ3k_TouCV0ZpjNL5gkwuMmrG6L6d2s" TargetMode="External"/><Relationship Id="rId1559" Type="http://schemas.openxmlformats.org/officeDocument/2006/relationships/hyperlink" Target="https://drive.google.com/open?id=1Dvye9VqsRBKAC1Vraz338eVp7kCI3Uao" TargetMode="External"/><Relationship Id="rId965" Type="http://schemas.openxmlformats.org/officeDocument/2006/relationships/hyperlink" Target="https://drive.google.com/open?id=1aM4swfEwwmtVLhEN5eO6NBhcaEQvzJHx" TargetMode="External"/><Relationship Id="rId964" Type="http://schemas.openxmlformats.org/officeDocument/2006/relationships/hyperlink" Target="https://drive.google.com/open?id=1roVBiHS4dkyOl7LjLb5eqEdlL8_2YGQE" TargetMode="External"/><Relationship Id="rId963" Type="http://schemas.openxmlformats.org/officeDocument/2006/relationships/hyperlink" Target="https://preskilet.com/watch?v=62a387e0a6956a0004600654" TargetMode="External"/><Relationship Id="rId962" Type="http://schemas.openxmlformats.org/officeDocument/2006/relationships/hyperlink" Target="https://www.linkedin.com/in/dashmesh-singh-18b447241/" TargetMode="External"/><Relationship Id="rId969" Type="http://schemas.openxmlformats.org/officeDocument/2006/relationships/hyperlink" Target="https://drive.google.com/open?id=136D53ecMj-mT90k5j09KYodmYbyEshdo" TargetMode="External"/><Relationship Id="rId968" Type="http://schemas.openxmlformats.org/officeDocument/2006/relationships/hyperlink" Target="https://drive.google.com/open?id=1o_OsJr824haGx1pLZxejyaHZL5hDhHNe" TargetMode="External"/><Relationship Id="rId967" Type="http://schemas.openxmlformats.org/officeDocument/2006/relationships/hyperlink" Target="https://drive.google.com/open?id=17FEWxg-hVrHsLySKjKO4EVvkiDsJFRrH" TargetMode="External"/><Relationship Id="rId966" Type="http://schemas.openxmlformats.org/officeDocument/2006/relationships/hyperlink" Target="https://drive.google.com/open?id=1wZPKDXT2bAEowcpTjstaLWpa5fPSYVyZ" TargetMode="External"/><Relationship Id="rId2880" Type="http://schemas.openxmlformats.org/officeDocument/2006/relationships/hyperlink" Target="https://preskilet.com/watch?v=62b5576baf4f2700045cdce8" TargetMode="External"/><Relationship Id="rId961" Type="http://schemas.openxmlformats.org/officeDocument/2006/relationships/hyperlink" Target="https://drive.google.com/open?id=1KmyFysWnFGF59xU-YwVioOWg5Pqb6oz0" TargetMode="External"/><Relationship Id="rId1550" Type="http://schemas.openxmlformats.org/officeDocument/2006/relationships/hyperlink" Target="https://www.linkedin.com/in/pranav-salunkhe-60013a23a/" TargetMode="External"/><Relationship Id="rId2881" Type="http://schemas.openxmlformats.org/officeDocument/2006/relationships/hyperlink" Target="https://drive.google.com/open?id=119NN-894Ydjs40apTVLk5KCj9RXe355A" TargetMode="External"/><Relationship Id="rId960" Type="http://schemas.openxmlformats.org/officeDocument/2006/relationships/hyperlink" Target="https://drive.google.com/open?id=1JPdWDCPXmLC8FaHYsPsNbCSrYuu4jNRb" TargetMode="External"/><Relationship Id="rId1551" Type="http://schemas.openxmlformats.org/officeDocument/2006/relationships/hyperlink" Target="https://drive.google.com/drive/folders/1dURd-S7513FbGTPXz8GHsH2SaYCysJxo?usp=sharing" TargetMode="External"/><Relationship Id="rId2882" Type="http://schemas.openxmlformats.org/officeDocument/2006/relationships/hyperlink" Target="https://drive.google.com/open?id=11gLtp5z78BqMyEgsBO9i5UJV6mU2vwRs" TargetMode="External"/><Relationship Id="rId1552" Type="http://schemas.openxmlformats.org/officeDocument/2006/relationships/hyperlink" Target="https://drive.google.com/open?id=1HqdVJUT_CFdRK2RyIN1NeHz9MPQ0FdWq" TargetMode="External"/><Relationship Id="rId2883" Type="http://schemas.openxmlformats.org/officeDocument/2006/relationships/hyperlink" Target="https://drive.google.com/open?id=1DWzKs5oWP2toc81LPgCq25GfXdbLLkl7" TargetMode="External"/><Relationship Id="rId1553" Type="http://schemas.openxmlformats.org/officeDocument/2006/relationships/hyperlink" Target="https://drive.google.com/open?id=1l6DrpjDcvAonCjPE2ZAAUF9FWvAY6O9D" TargetMode="External"/><Relationship Id="rId2884" Type="http://schemas.openxmlformats.org/officeDocument/2006/relationships/hyperlink" Target="https://drive.google.com/open?id=1TJjIKFUe-nkIz3pDhEbacNhdFhArrSI0" TargetMode="External"/><Relationship Id="rId1543" Type="http://schemas.openxmlformats.org/officeDocument/2006/relationships/hyperlink" Target="https://preskilet.com/watch?v=62a3474ba6956a00045ffd89" TargetMode="External"/><Relationship Id="rId2874" Type="http://schemas.openxmlformats.org/officeDocument/2006/relationships/hyperlink" Target="https://drive.google.com/open?id=1DyLHHajgbSsrHtccjK177WkaGBSCQ2k1" TargetMode="External"/><Relationship Id="rId1544" Type="http://schemas.openxmlformats.org/officeDocument/2006/relationships/hyperlink" Target="https://drive.google.com/open?id=1ixOhaHYoGGf6oeAQ1CAmiJfHq48sNRFI" TargetMode="External"/><Relationship Id="rId2875" Type="http://schemas.openxmlformats.org/officeDocument/2006/relationships/hyperlink" Target="https://drive.google.com/open?id=1vvnYsspB9nwdagkebFAj58K5XsTgVv-X" TargetMode="External"/><Relationship Id="rId1545" Type="http://schemas.openxmlformats.org/officeDocument/2006/relationships/hyperlink" Target="https://drive.google.com/open?id=11jiIFiPPu5f565AtZRE8Bmv-lqFOhFz2" TargetMode="External"/><Relationship Id="rId2876" Type="http://schemas.openxmlformats.org/officeDocument/2006/relationships/hyperlink" Target="https://drive.google.com/open?id=1VE9MrnCA_g04na1RmTC0E_lJe2liBWGe" TargetMode="External"/><Relationship Id="rId1546" Type="http://schemas.openxmlformats.org/officeDocument/2006/relationships/hyperlink" Target="https://drive.google.com/open?id=1EZiLaAq8vlcG6xetMsx6yvC3ShmuCWP-" TargetMode="External"/><Relationship Id="rId2877" Type="http://schemas.openxmlformats.org/officeDocument/2006/relationships/hyperlink" Target="https://drive.google.com/open?id=1yCsHiN0M555zUFnRN0CZrUMlaw8Vlvim" TargetMode="External"/><Relationship Id="rId1547" Type="http://schemas.openxmlformats.org/officeDocument/2006/relationships/hyperlink" Target="https://drive.google.com/open?id=189KB5L6Sa1_LbK1DUCj-6xYv0oSDiqNa" TargetMode="External"/><Relationship Id="rId2878" Type="http://schemas.openxmlformats.org/officeDocument/2006/relationships/hyperlink" Target="https://drive.google.com/open?id=1zNbXVmzm0QeigGd5oGgAEGwAQTANFuOt" TargetMode="External"/><Relationship Id="rId1548" Type="http://schemas.openxmlformats.org/officeDocument/2006/relationships/hyperlink" Target="https://drive.google.com/open?id=1v5z3IfQZT57Rv5KyywmWPbVotR2yuIyI" TargetMode="External"/><Relationship Id="rId2879" Type="http://schemas.openxmlformats.org/officeDocument/2006/relationships/hyperlink" Target="http://www.linkedin.com/in/tanmay-ikare" TargetMode="External"/><Relationship Id="rId1549" Type="http://schemas.openxmlformats.org/officeDocument/2006/relationships/hyperlink" Target="https://drive.google.com/open?id=1f7zvAiK_4lXjGtRewwtEKIbQDTlvG3XB" TargetMode="External"/><Relationship Id="rId959" Type="http://schemas.openxmlformats.org/officeDocument/2006/relationships/hyperlink" Target="https://drive.google.com/open?id=1vqC5MVI6-ApPpsonDQempjBC-AZi5HO3" TargetMode="External"/><Relationship Id="rId954" Type="http://schemas.openxmlformats.org/officeDocument/2006/relationships/hyperlink" Target="http://www.linkedin.com/in/anish-bhat-016695212" TargetMode="External"/><Relationship Id="rId953" Type="http://schemas.openxmlformats.org/officeDocument/2006/relationships/hyperlink" Target="https://drive.google.com/open?id=1068etUw32thgrPjPazK9FromzXUj9cke" TargetMode="External"/><Relationship Id="rId952" Type="http://schemas.openxmlformats.org/officeDocument/2006/relationships/hyperlink" Target="https://drive.google.com/open?id=14knGCVge-CV0DyyK2ltTVcCHBaFQki0N" TargetMode="External"/><Relationship Id="rId951" Type="http://schemas.openxmlformats.org/officeDocument/2006/relationships/hyperlink" Target="https://drive.google.com/open?id=15JxwEZ4ZIzDH97TFBWgeNPJOfalJI05a" TargetMode="External"/><Relationship Id="rId958" Type="http://schemas.openxmlformats.org/officeDocument/2006/relationships/hyperlink" Target="https://drive.google.com/open?id=1P2SGE-3POz63MX77ZX05ZcJqPpmPJx2f" TargetMode="External"/><Relationship Id="rId957" Type="http://schemas.openxmlformats.org/officeDocument/2006/relationships/hyperlink" Target="https://drive.google.com/open?id=1EpV5wGRt3W3WavG9h5JS4NcN1Xz1IThk" TargetMode="External"/><Relationship Id="rId956" Type="http://schemas.openxmlformats.org/officeDocument/2006/relationships/hyperlink" Target="https://drive.google.com/open?id=1tsLCNx1BkJbhY2kg6FvK0YjjWtIw_iTJ" TargetMode="External"/><Relationship Id="rId955" Type="http://schemas.openxmlformats.org/officeDocument/2006/relationships/hyperlink" Target="https://preskilet.com/agbhat@mitaoe.ac.in" TargetMode="External"/><Relationship Id="rId950" Type="http://schemas.openxmlformats.org/officeDocument/2006/relationships/hyperlink" Target="https://drive.google.com/open?id=1tvPdvNiXEKJk_SZi4ENCpZsDlJzmxqxt" TargetMode="External"/><Relationship Id="rId2870" Type="http://schemas.openxmlformats.org/officeDocument/2006/relationships/hyperlink" Target="https://www.linkedin.com/mwlite/in/harshal-deshmukh-9973931ab" TargetMode="External"/><Relationship Id="rId1540" Type="http://schemas.openxmlformats.org/officeDocument/2006/relationships/hyperlink" Target="https://www.linkedin.com/in/vyankatesh-wankhade-99491221a" TargetMode="External"/><Relationship Id="rId2871" Type="http://schemas.openxmlformats.org/officeDocument/2006/relationships/hyperlink" Target="https://preskilet.com/watch?v=62b4dbe830b28000045239b4" TargetMode="External"/><Relationship Id="rId1541" Type="http://schemas.openxmlformats.org/officeDocument/2006/relationships/hyperlink" Target="https://drive.google.com/file/d/1wENGLSsrRYOvVduRGyR9fls_TN9ah00F/view?usp=drivesdk" TargetMode="External"/><Relationship Id="rId2872" Type="http://schemas.openxmlformats.org/officeDocument/2006/relationships/hyperlink" Target="https://drive.google.com/open?id=1HqOj4ZIrhLwZ8U4gRPI6fYA8xY_iOnI2" TargetMode="External"/><Relationship Id="rId1542" Type="http://schemas.openxmlformats.org/officeDocument/2006/relationships/hyperlink" Target="http://www.linkedin.com/in/kshitijalade" TargetMode="External"/><Relationship Id="rId2873" Type="http://schemas.openxmlformats.org/officeDocument/2006/relationships/hyperlink" Target="https://drive.google.com/open?id=1GoekArRgiiW8nsN5tgD9jub5uyI8ojAI" TargetMode="External"/><Relationship Id="rId2027" Type="http://schemas.openxmlformats.org/officeDocument/2006/relationships/hyperlink" Target="https://drive.google.com/open?id=1u15Yib0Px_g_OYMh5UFs79CHuJRJ_U1M" TargetMode="External"/><Relationship Id="rId3359" Type="http://schemas.openxmlformats.org/officeDocument/2006/relationships/hyperlink" Target="https://drive.google.com/open?id=1rmekb1OsW1B1vWOMdcEwVXOytJNtiAVj" TargetMode="External"/><Relationship Id="rId2028" Type="http://schemas.openxmlformats.org/officeDocument/2006/relationships/hyperlink" Target="https://drive.google.com/open?id=1z7e15fucf1cBwSysuXwMzlv8i8rZvJkL" TargetMode="External"/><Relationship Id="rId3358" Type="http://schemas.openxmlformats.org/officeDocument/2006/relationships/hyperlink" Target="https://drive.google.com/open?id=1CQ8KX9iT7DwWPcL2njK0BOwqfNGc0JQb" TargetMode="External"/><Relationship Id="rId4689" Type="http://schemas.openxmlformats.org/officeDocument/2006/relationships/hyperlink" Target="https://drive.google.com/open?id=1O-jAGzDHpVm7DQyeNMVPYRanfh06Uihx" TargetMode="External"/><Relationship Id="rId2029" Type="http://schemas.openxmlformats.org/officeDocument/2006/relationships/hyperlink" Target="https://drive.google.com/open?id=13RoS4f2R6UDHvrw_GVvqyC-qNTtmnczS" TargetMode="External"/><Relationship Id="rId107" Type="http://schemas.openxmlformats.org/officeDocument/2006/relationships/hyperlink" Target="https://drive.google.com/open?id=103pgvfoNJs2ZlmaLmyBezcePa-ag6VM-" TargetMode="External"/><Relationship Id="rId106" Type="http://schemas.openxmlformats.org/officeDocument/2006/relationships/hyperlink" Target="https://drive.google.com/open?id=1dkjXD-sVGOKaSSmiwEPhYUx11vKZDmtQ" TargetMode="External"/><Relationship Id="rId105" Type="http://schemas.openxmlformats.org/officeDocument/2006/relationships/hyperlink" Target="https://drive.google.com/open?id=1HAiNqtp0os4f9h0QHb5S0v6AgHCFOyIH" TargetMode="External"/><Relationship Id="rId104" Type="http://schemas.openxmlformats.org/officeDocument/2006/relationships/hyperlink" Target="https://preskilet.com/watch?v=62b32497cd590700045fb628" TargetMode="External"/><Relationship Id="rId109" Type="http://schemas.openxmlformats.org/officeDocument/2006/relationships/hyperlink" Target="https://drive.google.com/open?id=1ELUBE_uZ4B4kZiWDtphAidX7CdVX4mx8" TargetMode="External"/><Relationship Id="rId4680" Type="http://schemas.openxmlformats.org/officeDocument/2006/relationships/hyperlink" Target="https://drive.google.com/open?id=1DuPD1UeZmKWep_2-IfaAubO04jiQTfBM" TargetMode="External"/><Relationship Id="rId108" Type="http://schemas.openxmlformats.org/officeDocument/2006/relationships/hyperlink" Target="https://drive.google.com/open?id=1CefRTQrujuclfnuKS0QP_mSC2SbQmFK4" TargetMode="External"/><Relationship Id="rId3351" Type="http://schemas.openxmlformats.org/officeDocument/2006/relationships/hyperlink" Target="https://drive.google.com/open?id=1KjMyj6Y4sfSJ41mhEjnFLhzsReIYumCy" TargetMode="External"/><Relationship Id="rId4682" Type="http://schemas.openxmlformats.org/officeDocument/2006/relationships/hyperlink" Target="https://drive.google.com/open?id=1PuS5X1ku8x736Em2IsdgGIcVU05EMcGU" TargetMode="External"/><Relationship Id="rId2020" Type="http://schemas.openxmlformats.org/officeDocument/2006/relationships/hyperlink" Target="https://drive.google.com/open?id=1lk8HQmhXGZkrmkG3gqQcOA7vFaIE7n6d" TargetMode="External"/><Relationship Id="rId3350" Type="http://schemas.openxmlformats.org/officeDocument/2006/relationships/hyperlink" Target="https://drive.google.com/open?id=1CQe9VmK9oFJt0WmbUc9unMRnB8YqSc0f" TargetMode="External"/><Relationship Id="rId4681" Type="http://schemas.openxmlformats.org/officeDocument/2006/relationships/hyperlink" Target="https://drive.google.com/open?id=1yAk128E7X6sdABK7ydhzQ6Vglbfo4d6T" TargetMode="External"/><Relationship Id="rId2021" Type="http://schemas.openxmlformats.org/officeDocument/2006/relationships/hyperlink" Target="https://drive.google.com/open?id=1rLWg6vWv7ZDw4PQgMlLfufu0Uw5bwyou" TargetMode="External"/><Relationship Id="rId3353" Type="http://schemas.openxmlformats.org/officeDocument/2006/relationships/hyperlink" Target="https://preskilet.com/watch?v=62b3d89930b2800004522d77" TargetMode="External"/><Relationship Id="rId4684" Type="http://schemas.openxmlformats.org/officeDocument/2006/relationships/hyperlink" Target="https://drive.google.com/open?id=1X1ey7HnMNUo622aS9xYIqKEIfOwZ9MUU" TargetMode="External"/><Relationship Id="rId2022" Type="http://schemas.openxmlformats.org/officeDocument/2006/relationships/hyperlink" Target="https://drive.google.com/open?id=1xTVeV1aWcqs6e_W7QLmpwk4bwrZMf_iZ" TargetMode="External"/><Relationship Id="rId3352" Type="http://schemas.openxmlformats.org/officeDocument/2006/relationships/hyperlink" Target="https://www.linkedin.com/in/mohit-dhande-3b9a45230" TargetMode="External"/><Relationship Id="rId4683" Type="http://schemas.openxmlformats.org/officeDocument/2006/relationships/hyperlink" Target="https://drive.google.com/open?id=10JC7ofhiu6cEed2ncXq-U12_UFt0Hw_D" TargetMode="External"/><Relationship Id="rId103" Type="http://schemas.openxmlformats.org/officeDocument/2006/relationships/hyperlink" Target="https://www.linkedin.com/in/gautam-das-274b1220b" TargetMode="External"/><Relationship Id="rId2023" Type="http://schemas.openxmlformats.org/officeDocument/2006/relationships/hyperlink" Target="https://drive.google.com/open?id=1BuiuK4WsRes6qL1q10xoOh1RASxRyivd" TargetMode="External"/><Relationship Id="rId3355" Type="http://schemas.openxmlformats.org/officeDocument/2006/relationships/hyperlink" Target="https://drive.google.com/open?id=1R0GFE0KoYX2Gm0CemzPlNrbUqr4hQVjk" TargetMode="External"/><Relationship Id="rId4686" Type="http://schemas.openxmlformats.org/officeDocument/2006/relationships/hyperlink" Target="https://www.linkedin.com/in/amol-sonawane-a50760236" TargetMode="External"/><Relationship Id="rId102" Type="http://schemas.openxmlformats.org/officeDocument/2006/relationships/hyperlink" Target="https://drive.google.com/open?id=1MbNuN1N2ZPwCjcXNmgPRrMZLjf4bMbbS" TargetMode="External"/><Relationship Id="rId2024" Type="http://schemas.openxmlformats.org/officeDocument/2006/relationships/hyperlink" Target="https://www.linkedin.com/in/shrutisharma-05/" TargetMode="External"/><Relationship Id="rId3354" Type="http://schemas.openxmlformats.org/officeDocument/2006/relationships/hyperlink" Target="https://drive.google.com/open?id=1jjB6qCIIpGUlBs-AI6DW3PueHht5yhjg" TargetMode="External"/><Relationship Id="rId4685" Type="http://schemas.openxmlformats.org/officeDocument/2006/relationships/hyperlink" Target="https://drive.google.com/open?id=10etb1V61SOYealaqxWf6xMKBwok0gHaP" TargetMode="External"/><Relationship Id="rId101" Type="http://schemas.openxmlformats.org/officeDocument/2006/relationships/hyperlink" Target="https://drive.google.com/open?id=1Mnd1CLht39bf9DpJDCGSP34HQNYKZZ3a" TargetMode="External"/><Relationship Id="rId2025" Type="http://schemas.openxmlformats.org/officeDocument/2006/relationships/hyperlink" Target="https://preskilet.com/watch?v=62c5815eb75c3600049d9dec" TargetMode="External"/><Relationship Id="rId3357" Type="http://schemas.openxmlformats.org/officeDocument/2006/relationships/hyperlink" Target="https://drive.google.com/open?id=1Qdt4TnFW40MojLCqeJh1NqBnWjZ6Pgwx" TargetMode="External"/><Relationship Id="rId4688" Type="http://schemas.openxmlformats.org/officeDocument/2006/relationships/hyperlink" Target="https://drive.google.com/open?id=1azJJ0pJrz0yAAUvlar_hiargPVav-BVX" TargetMode="External"/><Relationship Id="rId100" Type="http://schemas.openxmlformats.org/officeDocument/2006/relationships/hyperlink" Target="https://drive.google.com/open?id=1MtQa_nWUzvgFxHfrrcRg1fYelNycN_6l" TargetMode="External"/><Relationship Id="rId2026" Type="http://schemas.openxmlformats.org/officeDocument/2006/relationships/hyperlink" Target="https://drive.google.com/open?id=1V4G3FlPhfsOMwxjO3_v-AyckBlEG133c" TargetMode="External"/><Relationship Id="rId3356" Type="http://schemas.openxmlformats.org/officeDocument/2006/relationships/hyperlink" Target="https://drive.google.com/open?id=1w8aiBdnOKOgMTsrbWiP70VjyP6d_wXud" TargetMode="External"/><Relationship Id="rId4687" Type="http://schemas.openxmlformats.org/officeDocument/2006/relationships/hyperlink" Target="https://preskilet.com/watch?v=62bd4bc39535010004fd2470" TargetMode="External"/><Relationship Id="rId2016" Type="http://schemas.openxmlformats.org/officeDocument/2006/relationships/hyperlink" Target="https://drive.google.com/open?id=1nu25YOMBGdYKVSTkOib_18S4tETKMiF_" TargetMode="External"/><Relationship Id="rId3348" Type="http://schemas.openxmlformats.org/officeDocument/2006/relationships/hyperlink" Target="https://drive.google.com/open?id=1iMtFzwctG-308jRScrsXlXDwiZElP57i" TargetMode="External"/><Relationship Id="rId4679" Type="http://schemas.openxmlformats.org/officeDocument/2006/relationships/hyperlink" Target="https://drive.google.com/open?id=1Uc9_H_31vUsT-xW7egrP0GECcQisDRz-" TargetMode="External"/><Relationship Id="rId2017" Type="http://schemas.openxmlformats.org/officeDocument/2006/relationships/hyperlink" Target="https://drive.google.com/open?id=1jZjdz3_KFzD6Dvcv0FcUNFknm8tRTGww" TargetMode="External"/><Relationship Id="rId3347" Type="http://schemas.openxmlformats.org/officeDocument/2006/relationships/hyperlink" Target="https://drive.google.com/open?id=12cxcXdbHUySiuotgmpeqUQhI09Rp_XVX" TargetMode="External"/><Relationship Id="rId4678" Type="http://schemas.openxmlformats.org/officeDocument/2006/relationships/hyperlink" Target="https://preskilet.com/watch?v=62bd70849535010004fd2598" TargetMode="External"/><Relationship Id="rId2018" Type="http://schemas.openxmlformats.org/officeDocument/2006/relationships/hyperlink" Target="https://drive.google.com/open?id=1ZylDlAJ22t_N-Tvnv_7iq1ikYgEalgZ6" TargetMode="External"/><Relationship Id="rId2019" Type="http://schemas.openxmlformats.org/officeDocument/2006/relationships/hyperlink" Target="https://drive.google.com/open?id=1VSfZ-DxWHTIyovQRREkGsQxrZg7yLDWe" TargetMode="External"/><Relationship Id="rId3349" Type="http://schemas.openxmlformats.org/officeDocument/2006/relationships/hyperlink" Target="https://drive.google.com/open?id=1RvsWLgBTKHCyNT4zZaRnoJVREdqax0jo" TargetMode="External"/><Relationship Id="rId3340" Type="http://schemas.openxmlformats.org/officeDocument/2006/relationships/hyperlink" Target="https://drive.google.com/open?id=1WVmObtgHRLidx3-C0rHAB4J6gsf_7ZX9" TargetMode="External"/><Relationship Id="rId4671" Type="http://schemas.openxmlformats.org/officeDocument/2006/relationships/hyperlink" Target="http://www.linkedin.com/in/abdulmuizghori" TargetMode="External"/><Relationship Id="rId4670" Type="http://schemas.openxmlformats.org/officeDocument/2006/relationships/hyperlink" Target="https://drive.google.com/open?id=1bzKVrNQNpIqxxqeogAgvcQPBeQHIFfN-" TargetMode="External"/><Relationship Id="rId2010" Type="http://schemas.openxmlformats.org/officeDocument/2006/relationships/hyperlink" Target="https://drive.google.com/open?id=1XUz0M7exnXQUH9QnxKOqbEPEp_ybuRCg" TargetMode="External"/><Relationship Id="rId3342" Type="http://schemas.openxmlformats.org/officeDocument/2006/relationships/hyperlink" Target="https://drive.google.com/open?id=1LYoHSXd6QnjBGjUY9LO0GubJP8eBCfVm" TargetMode="External"/><Relationship Id="rId4673" Type="http://schemas.openxmlformats.org/officeDocument/2006/relationships/hyperlink" Target="https://drive.google.com/open?id=1udbVQvZWnTuKCphcTzlP25_ytU1t1ZvC" TargetMode="External"/><Relationship Id="rId2011" Type="http://schemas.openxmlformats.org/officeDocument/2006/relationships/hyperlink" Target="https://drive.google.com/open?id=1hGYHWmZ9r39y769j5kqMDEBRW-YQCXLD" TargetMode="External"/><Relationship Id="rId3341" Type="http://schemas.openxmlformats.org/officeDocument/2006/relationships/hyperlink" Target="https://drive.google.com/open?id=1QcZVOHSxJPLKJxN7Cw6Kq9RBSGlXDOVy" TargetMode="External"/><Relationship Id="rId4672" Type="http://schemas.openxmlformats.org/officeDocument/2006/relationships/hyperlink" Target="https://preskilet.com/abdulmuiz.ghori@mitaoe.ac.in" TargetMode="External"/><Relationship Id="rId2012" Type="http://schemas.openxmlformats.org/officeDocument/2006/relationships/hyperlink" Target="https://drive.google.com/open?id=1tO0Sbo7O6mqv3-xXdVT_FvYQgl-vqB9_" TargetMode="External"/><Relationship Id="rId3344" Type="http://schemas.openxmlformats.org/officeDocument/2006/relationships/hyperlink" Target="http://www.linkedin.com/in/ranjeet-bhosale-121065212" TargetMode="External"/><Relationship Id="rId4675" Type="http://schemas.openxmlformats.org/officeDocument/2006/relationships/hyperlink" Target="https://drive.google.com/open?id=16S1nKV73HeFGmenBCt_NiLVS-aKdVDuv" TargetMode="External"/><Relationship Id="rId2013" Type="http://schemas.openxmlformats.org/officeDocument/2006/relationships/hyperlink" Target="https://www.linkedin.com/in/aditi271" TargetMode="External"/><Relationship Id="rId3343" Type="http://schemas.openxmlformats.org/officeDocument/2006/relationships/hyperlink" Target="https://drive.google.com/open?id=19f1NAAOZOb3A1dkUITVUv4FjoigV_kTE" TargetMode="External"/><Relationship Id="rId4674" Type="http://schemas.openxmlformats.org/officeDocument/2006/relationships/hyperlink" Target="https://drive.google.com/open?id=1KuJfwPeHL6jwCKHc8F6uIPV_7lYcFPQC" TargetMode="External"/><Relationship Id="rId2014" Type="http://schemas.openxmlformats.org/officeDocument/2006/relationships/hyperlink" Target="https://preskilet.com/watch?v=629f8dd025bee30004dbc88e" TargetMode="External"/><Relationship Id="rId3346" Type="http://schemas.openxmlformats.org/officeDocument/2006/relationships/hyperlink" Target="https://drive.google.com/open?id=13cHNVRWKAbrLNUxDbzE9HDk8fBjGGdcb" TargetMode="External"/><Relationship Id="rId4677" Type="http://schemas.openxmlformats.org/officeDocument/2006/relationships/hyperlink" Target="https://www.linkedin.com/in/machindranath-bothe-3828a5241" TargetMode="External"/><Relationship Id="rId2015" Type="http://schemas.openxmlformats.org/officeDocument/2006/relationships/hyperlink" Target="https://drive.google.com/open?id=1BLz8LW3_nKohfsSD3CcjQwQ3P0ffkBMD" TargetMode="External"/><Relationship Id="rId3345" Type="http://schemas.openxmlformats.org/officeDocument/2006/relationships/hyperlink" Target="https://preskilet.com/watch?v=6295a14f716ac10004981377" TargetMode="External"/><Relationship Id="rId4676" Type="http://schemas.openxmlformats.org/officeDocument/2006/relationships/hyperlink" Target="https://drive.google.com/open?id=1ah4T12kMbs_nPNvInT3h9owYTzzbqcjz" TargetMode="External"/><Relationship Id="rId2049" Type="http://schemas.openxmlformats.org/officeDocument/2006/relationships/hyperlink" Target="https://drive.google.com/open?id=1XiP3LMvg7a9uxXdvS4WS3JvXX1MBqOTR" TargetMode="External"/><Relationship Id="rId129" Type="http://schemas.openxmlformats.org/officeDocument/2006/relationships/hyperlink" Target="https://drive.google.com/open?id=1_zogNoTUGJV428oFUnXxloMsns44HWTm" TargetMode="External"/><Relationship Id="rId128" Type="http://schemas.openxmlformats.org/officeDocument/2006/relationships/hyperlink" Target="https://drive.google.com/open?id=1DplpO8T76Pp_QCMEry_p-T8Fc6wsZ6VB" TargetMode="External"/><Relationship Id="rId127" Type="http://schemas.openxmlformats.org/officeDocument/2006/relationships/hyperlink" Target="https://drive.google.com/open?id=1l-gkR1SDm-NDXsV3pva1EXs7rscC24oT" TargetMode="External"/><Relationship Id="rId126" Type="http://schemas.openxmlformats.org/officeDocument/2006/relationships/hyperlink" Target="https://drive.google.com/open?id=1Q7YQh9qTENjsSmrC39BWV4rhE5IdP5cO" TargetMode="External"/><Relationship Id="rId3371" Type="http://schemas.openxmlformats.org/officeDocument/2006/relationships/hyperlink" Target="https://drive.google.com/open?id=1JlFQ-IMwfATXv6CYoGyKW-FOZV2wQlME" TargetMode="External"/><Relationship Id="rId2040" Type="http://schemas.openxmlformats.org/officeDocument/2006/relationships/hyperlink" Target="https://drive.google.com/open?id=1O1n-0puml6BxsqPLepkmKytUDi1aiuPA" TargetMode="External"/><Relationship Id="rId3370" Type="http://schemas.openxmlformats.org/officeDocument/2006/relationships/hyperlink" Target="https://drive.google.com/open?id=1yZymLb5ZaweOZn-s82qTXfF1JLVbLmB5" TargetMode="External"/><Relationship Id="rId121" Type="http://schemas.openxmlformats.org/officeDocument/2006/relationships/hyperlink" Target="https://drive.google.com/open?id=1lfIHDGjeb4M6_jc6OvsrpBkNTKhzXDKj" TargetMode="External"/><Relationship Id="rId2041" Type="http://schemas.openxmlformats.org/officeDocument/2006/relationships/hyperlink" Target="https://drive.google.com/open?id=1qbX_SEzWKE3K9mlBILcU01WyOU_2HuGW" TargetMode="External"/><Relationship Id="rId3373" Type="http://schemas.openxmlformats.org/officeDocument/2006/relationships/hyperlink" Target="https://drive.google.com/open?id=1UXHpRdNOyqfAWcnBI4qZq_DpsbIYZewr" TargetMode="External"/><Relationship Id="rId120" Type="http://schemas.openxmlformats.org/officeDocument/2006/relationships/hyperlink" Target="https://drive.google.com/open?id=1DAfji6wfDsDhWpM96lw4OpXGsFZ1uPgn" TargetMode="External"/><Relationship Id="rId2042" Type="http://schemas.openxmlformats.org/officeDocument/2006/relationships/hyperlink" Target="https://drive.google.com/open?id=16219pFoQuGjPOPNGJaNEttvwoDxuyUDs" TargetMode="External"/><Relationship Id="rId3372" Type="http://schemas.openxmlformats.org/officeDocument/2006/relationships/hyperlink" Target="https://drive.google.com/open?id=15v1yKu3Lie57q0mrdcSO73iOro0oMi4Z" TargetMode="External"/><Relationship Id="rId2043" Type="http://schemas.openxmlformats.org/officeDocument/2006/relationships/hyperlink" Target="https://drive.google.com/open?id=1QdbKCdsyNE3o4bZc0KiyhofY47U488-w" TargetMode="External"/><Relationship Id="rId3375" Type="http://schemas.openxmlformats.org/officeDocument/2006/relationships/hyperlink" Target="https://drive.google.com/open?id=11NuBEiOPHeB9ZPaxa_p1Df5GzhA2sLaF" TargetMode="External"/><Relationship Id="rId2044" Type="http://schemas.openxmlformats.org/officeDocument/2006/relationships/hyperlink" Target="https://drive.google.com/open?id=1IX3uzjNqUalfm45qngGI09dMwE0w0Ys9" TargetMode="External"/><Relationship Id="rId3374" Type="http://schemas.openxmlformats.org/officeDocument/2006/relationships/hyperlink" Target="https://drive.google.com/open?id=15WQxXzpEnhRDhywmcy4UTEEr2BFYq1z7" TargetMode="External"/><Relationship Id="rId125" Type="http://schemas.openxmlformats.org/officeDocument/2006/relationships/hyperlink" Target="https://preskilet.com/watch?v=62bebbdf2c9a6200041e128c" TargetMode="External"/><Relationship Id="rId2045" Type="http://schemas.openxmlformats.org/officeDocument/2006/relationships/hyperlink" Target="http://www.linkedin.com/in/manorama-mudagal-4b9257230" TargetMode="External"/><Relationship Id="rId3377" Type="http://schemas.openxmlformats.org/officeDocument/2006/relationships/hyperlink" Target="https://drive.google.com/drive/folders/1NFySN4iGMHHlOixHllbfr-1-Y-0ePoCI?usp=sharing" TargetMode="External"/><Relationship Id="rId124" Type="http://schemas.openxmlformats.org/officeDocument/2006/relationships/hyperlink" Target="https://www.linkedin.com/in/sudarshan-kolarkar-5a6793241" TargetMode="External"/><Relationship Id="rId2046" Type="http://schemas.openxmlformats.org/officeDocument/2006/relationships/hyperlink" Target="https://drive.google.com/file/d/1hFyVqV_n9fNDODCvn_WvgTfxO6xhs9EH/view?usp=sharing" TargetMode="External"/><Relationship Id="rId3376" Type="http://schemas.openxmlformats.org/officeDocument/2006/relationships/hyperlink" Target="https://www.linkedin.com/in/mihir-mulay-ba985a192?lipi=urn%3Ali%3Apage%3Ad_flagship3_profile_view_base_contact_details%3Br%2BtZT6KvSPuzXRZPktH9hw%3D%3D" TargetMode="External"/><Relationship Id="rId123" Type="http://schemas.openxmlformats.org/officeDocument/2006/relationships/hyperlink" Target="https://drive.google.com/open?id=1ttjSLJFqNW99IAqRStnsZfOT9Ba6ZBJr" TargetMode="External"/><Relationship Id="rId2047" Type="http://schemas.openxmlformats.org/officeDocument/2006/relationships/hyperlink" Target="https://drive.google.com/open?id=1n2VRxFGozUfJvwdng5xPTasJxt1gEnnf" TargetMode="External"/><Relationship Id="rId3379" Type="http://schemas.openxmlformats.org/officeDocument/2006/relationships/hyperlink" Target="https://drive.google.com/open?id=1sce62y0tUBklnxZY5m1RhtO5OH80oXgo" TargetMode="External"/><Relationship Id="rId122" Type="http://schemas.openxmlformats.org/officeDocument/2006/relationships/hyperlink" Target="https://drive.google.com/open?id=16gFu2ewjX6pnDtWOFWNWJMWxSO2eEF0O" TargetMode="External"/><Relationship Id="rId2048" Type="http://schemas.openxmlformats.org/officeDocument/2006/relationships/hyperlink" Target="https://drive.google.com/open?id=1x5Z6C3LNDIL_NHJ_Ot1q_RafWSqibaNG" TargetMode="External"/><Relationship Id="rId3378" Type="http://schemas.openxmlformats.org/officeDocument/2006/relationships/hyperlink" Target="https://drive.google.com/open?id=1VOHU7uPYkD8XM0ANy4T9gP-Q7eI6AmSi" TargetMode="External"/><Relationship Id="rId2038" Type="http://schemas.openxmlformats.org/officeDocument/2006/relationships/hyperlink" Target="https://preskilet.com/watch?v=62966b1e716ac1000498198e" TargetMode="External"/><Relationship Id="rId2039" Type="http://schemas.openxmlformats.org/officeDocument/2006/relationships/hyperlink" Target="https://drive.google.com/open?id=1utZn4Wz_Q4tml7GwrW152FIL0Csna-Al" TargetMode="External"/><Relationship Id="rId3369" Type="http://schemas.openxmlformats.org/officeDocument/2006/relationships/hyperlink" Target="https://preskilet.com/watch?v=62a389dea6956a00046006ca" TargetMode="External"/><Relationship Id="rId118" Type="http://schemas.openxmlformats.org/officeDocument/2006/relationships/hyperlink" Target="https://www.linkedin.com/in/sanket-kurai-937870235" TargetMode="External"/><Relationship Id="rId117" Type="http://schemas.openxmlformats.org/officeDocument/2006/relationships/hyperlink" Target="https://drive.google.com/open?id=18wMRnzMFHgQ-5huzz3w8s8JLu7rJ3oJ-" TargetMode="External"/><Relationship Id="rId116" Type="http://schemas.openxmlformats.org/officeDocument/2006/relationships/hyperlink" Target="https://drive.google.com/open?id=1gWIsnYK2DQlwaSMUv3YUl6Ez30mf3czu" TargetMode="External"/><Relationship Id="rId115" Type="http://schemas.openxmlformats.org/officeDocument/2006/relationships/hyperlink" Target="https://drive.google.com/open?id=17hQw3vbQyj-v_8b_oHWiDqje_8biRfYr" TargetMode="External"/><Relationship Id="rId3360" Type="http://schemas.openxmlformats.org/officeDocument/2006/relationships/hyperlink" Target="https://www.linkedin.com/in/aditya-pathak-55b722169" TargetMode="External"/><Relationship Id="rId4691" Type="http://schemas.openxmlformats.org/officeDocument/2006/relationships/hyperlink" Target="https://drive.google.com/open?id=1ZL68Div0jtNZeqjlKlIwGCsfP8hI_jQA" TargetMode="External"/><Relationship Id="rId119" Type="http://schemas.openxmlformats.org/officeDocument/2006/relationships/hyperlink" Target="https://preskilet.com/svkurai@mitaoe.ac.in" TargetMode="External"/><Relationship Id="rId4690" Type="http://schemas.openxmlformats.org/officeDocument/2006/relationships/hyperlink" Target="https://drive.google.com/open?id=1M8jsDsvYvjRBfZDCVTy5VjdHAQbUyhgJ" TargetMode="External"/><Relationship Id="rId110" Type="http://schemas.openxmlformats.org/officeDocument/2006/relationships/hyperlink" Target="https://drive.google.com/open?id=1dkJGQ-oQGh9l1l45pZR4Kl5PbZexdKPF" TargetMode="External"/><Relationship Id="rId2030" Type="http://schemas.openxmlformats.org/officeDocument/2006/relationships/hyperlink" Target="https://drive.google.com/open?id=107RAudrFHxYGKI1diSp611iuIYzpUROp" TargetMode="External"/><Relationship Id="rId3362" Type="http://schemas.openxmlformats.org/officeDocument/2006/relationships/hyperlink" Target="https://drive.google.com/open?id=1UFnZTr4k0iXpY5lUlbqkALym-8WQ2j23" TargetMode="External"/><Relationship Id="rId4693" Type="http://schemas.openxmlformats.org/officeDocument/2006/relationships/hyperlink" Target="https://drive.google.com/open?id=11u6mYowVzjRxVbaD3miSfFDCNc1RMiDX" TargetMode="External"/><Relationship Id="rId2031" Type="http://schemas.openxmlformats.org/officeDocument/2006/relationships/hyperlink" Target="https://drive.google.com/open?id=1a1giWPx1BeSQrjA7hN9UYe9E6pbyYQT_" TargetMode="External"/><Relationship Id="rId3361" Type="http://schemas.openxmlformats.org/officeDocument/2006/relationships/hyperlink" Target="https://drive.google.com/file/d/1NkE0zi38Yuibe-H4oPiIKecJpBkxtVGi/view?usp=sharing" TargetMode="External"/><Relationship Id="rId4692" Type="http://schemas.openxmlformats.org/officeDocument/2006/relationships/hyperlink" Target="https://drive.google.com/open?id=1FHN9vS84vqRT3HM1JTiF8y2ojuDZePtt" TargetMode="External"/><Relationship Id="rId2032" Type="http://schemas.openxmlformats.org/officeDocument/2006/relationships/hyperlink" Target="https://drive.google.com/open?id=13RoS4f2R6UDHvrw_GVvqyC-qNTtmnczS" TargetMode="External"/><Relationship Id="rId3364" Type="http://schemas.openxmlformats.org/officeDocument/2006/relationships/hyperlink" Target="https://drive.google.com/open?id=1Lhjknv3FUVGnJorLMmInbZSi8IfY-KGv" TargetMode="External"/><Relationship Id="rId4695" Type="http://schemas.openxmlformats.org/officeDocument/2006/relationships/hyperlink" Target="https://drive.google.com/open?id=1THbK5ofavOdJn63IVUyVjZxaM6KlrTJ-" TargetMode="External"/><Relationship Id="rId2033" Type="http://schemas.openxmlformats.org/officeDocument/2006/relationships/hyperlink" Target="https://drive.google.com/open?id=107RAudrFHxYGKI1diSp611iuIYzpUROp" TargetMode="External"/><Relationship Id="rId3363" Type="http://schemas.openxmlformats.org/officeDocument/2006/relationships/hyperlink" Target="https://drive.google.com/open?id=1AtI4yj2X2MKdEChSjJDGyP0pdCSFyHXp" TargetMode="External"/><Relationship Id="rId4694" Type="http://schemas.openxmlformats.org/officeDocument/2006/relationships/hyperlink" Target="https://drive.google.com/open?id=1hnJDFp5TYhPg8kJxjdDmCgB_zZaj96iS" TargetMode="External"/><Relationship Id="rId114" Type="http://schemas.openxmlformats.org/officeDocument/2006/relationships/hyperlink" Target="https://drive.google.com/open?id=12TbaA5bN97wUAmnRwPy6KTj3sFoxi91Y" TargetMode="External"/><Relationship Id="rId2034" Type="http://schemas.openxmlformats.org/officeDocument/2006/relationships/hyperlink" Target="https://drive.google.com/file/d/1GtuwaCgq1kGvZxJK-0g5ArF91zbF_OmF/view?usp=sharing" TargetMode="External"/><Relationship Id="rId3366" Type="http://schemas.openxmlformats.org/officeDocument/2006/relationships/hyperlink" Target="https://drive.google.com/open?id=1fXvw-tWg4UXF-bRJaMA_TYYz7BPKN2GC" TargetMode="External"/><Relationship Id="rId4697" Type="http://schemas.openxmlformats.org/officeDocument/2006/relationships/hyperlink" Target="https://preskilet.com/watch?v=62a393f1a6956a0004600929" TargetMode="External"/><Relationship Id="rId113" Type="http://schemas.openxmlformats.org/officeDocument/2006/relationships/hyperlink" Target="https://drive.google.com/open?id=1FY5aVAOFHhhaTWfNXzOo74dOJ5R84_zw" TargetMode="External"/><Relationship Id="rId2035" Type="http://schemas.openxmlformats.org/officeDocument/2006/relationships/hyperlink" Target="https://drive.google.com/file/d/1h-2rE8Zuhw0Ym7FOoECvpEOoEaln7-Pk/view?usp=sharing" TargetMode="External"/><Relationship Id="rId3365" Type="http://schemas.openxmlformats.org/officeDocument/2006/relationships/hyperlink" Target="https://drive.google.com/open?id=18uHRTiUptb62DMX_sSFA8wK8rTYmu5Ss" TargetMode="External"/><Relationship Id="rId4696" Type="http://schemas.openxmlformats.org/officeDocument/2006/relationships/hyperlink" Target="https://www.linkedin.com/in/omkar-sonawane-ab9186241" TargetMode="External"/><Relationship Id="rId112" Type="http://schemas.openxmlformats.org/officeDocument/2006/relationships/hyperlink" Target="https://preskilet.com/watch?v=621e291cf7fd760004a9f55e" TargetMode="External"/><Relationship Id="rId2036" Type="http://schemas.openxmlformats.org/officeDocument/2006/relationships/hyperlink" Target="https://drive.google.com/open?id=1z7e15fucf1cBwSysuXwMzlv8i8rZvJkL" TargetMode="External"/><Relationship Id="rId3368" Type="http://schemas.openxmlformats.org/officeDocument/2006/relationships/hyperlink" Target="https://www.linkedin.com/in/om-bharare-4270b4213" TargetMode="External"/><Relationship Id="rId4699" Type="http://schemas.openxmlformats.org/officeDocument/2006/relationships/hyperlink" Target="https://drive.google.com/open?id=1xiE2P2Nefp30B1QxW6OK7PS5K-FWOsyp" TargetMode="External"/><Relationship Id="rId111" Type="http://schemas.openxmlformats.org/officeDocument/2006/relationships/hyperlink" Target="https://www.linkedin.com/in/om-tambe-37b753207" TargetMode="External"/><Relationship Id="rId2037" Type="http://schemas.openxmlformats.org/officeDocument/2006/relationships/hyperlink" Target="https://www.linkedin.com/in/avnish-pathak-07/" TargetMode="External"/><Relationship Id="rId3367" Type="http://schemas.openxmlformats.org/officeDocument/2006/relationships/hyperlink" Target="https://drive.google.com/open?id=1H1Yd12uZtpv8Pn60c4cjTkvJa3-Pz8TY" TargetMode="External"/><Relationship Id="rId4698" Type="http://schemas.openxmlformats.org/officeDocument/2006/relationships/hyperlink" Target="https://drive.google.com/open?id=10INrjD-2iKIPabJfVqj8Gp0523gquYR-" TargetMode="External"/><Relationship Id="rId3315" Type="http://schemas.openxmlformats.org/officeDocument/2006/relationships/hyperlink" Target="https://www.linkedin.com/in/riddhesh-gandre-7425bb1a3" TargetMode="External"/><Relationship Id="rId4646" Type="http://schemas.openxmlformats.org/officeDocument/2006/relationships/hyperlink" Target="https://drive.google.com/open?id=10SwqZ9rHQeuE-cfte8rt20LgMtqKaux9" TargetMode="External"/><Relationship Id="rId3314" Type="http://schemas.openxmlformats.org/officeDocument/2006/relationships/hyperlink" Target="https://drive.google.com/open?id=1UntnOmiAiX-yJiqTdhG_vwzMpvyCpLQg" TargetMode="External"/><Relationship Id="rId4645" Type="http://schemas.openxmlformats.org/officeDocument/2006/relationships/hyperlink" Target="https://drive.google.com/open?id=1e2OYMnSqzuDl0x2dtjMOGZGQCcv-kIHn" TargetMode="External"/><Relationship Id="rId3317" Type="http://schemas.openxmlformats.org/officeDocument/2006/relationships/hyperlink" Target="https://drive.google.com/open?id=16f5tFtNq2uYTMTwX55S_jKGV5gXlsybt" TargetMode="External"/><Relationship Id="rId4648" Type="http://schemas.openxmlformats.org/officeDocument/2006/relationships/hyperlink" Target="https://www.linkedin.com/in/rishabh-raj-45133a213" TargetMode="External"/><Relationship Id="rId3316" Type="http://schemas.openxmlformats.org/officeDocument/2006/relationships/hyperlink" Target="https://preskilet.com/watch?v=62b2fa47cd590700045fb49e" TargetMode="External"/><Relationship Id="rId4647" Type="http://schemas.openxmlformats.org/officeDocument/2006/relationships/hyperlink" Target="https://drive.google.com/open?id=1tK2cTJOQAQKIJF7QkasR1nNXNiiwln3v" TargetMode="External"/><Relationship Id="rId3319" Type="http://schemas.openxmlformats.org/officeDocument/2006/relationships/hyperlink" Target="https://drive.google.com/open?id=1IqQNYoHAhpN5oHzy4pdI8Nlx41OwiCmO" TargetMode="External"/><Relationship Id="rId3318" Type="http://schemas.openxmlformats.org/officeDocument/2006/relationships/hyperlink" Target="https://drive.google.com/open?id=1sv3ngkUi0D_ZGrQ1Yh2wODSRUi5K9it0" TargetMode="External"/><Relationship Id="rId4649" Type="http://schemas.openxmlformats.org/officeDocument/2006/relationships/hyperlink" Target="https://preskilet.com/rishabhraj@mitaoe.ac.in" TargetMode="External"/><Relationship Id="rId4640" Type="http://schemas.openxmlformats.org/officeDocument/2006/relationships/hyperlink" Target="https://drive.google.com/open?id=1e1Cr-g7cEEUiT0asXmAFSV0HGSpNKtXO" TargetMode="External"/><Relationship Id="rId3311" Type="http://schemas.openxmlformats.org/officeDocument/2006/relationships/hyperlink" Target="https://drive.google.com/open?id=1VodI-Bs9izGyTbi_VzmHl7mncnTuCRY9" TargetMode="External"/><Relationship Id="rId4642" Type="http://schemas.openxmlformats.org/officeDocument/2006/relationships/hyperlink" Target="https://preskilet.com/raj.dhole@mitaoe.ac.in" TargetMode="External"/><Relationship Id="rId3310" Type="http://schemas.openxmlformats.org/officeDocument/2006/relationships/hyperlink" Target="https://drive.google.com/open?id=1ue4qo0lpZQlWl_NIrNiOHRV97QeIaD-M" TargetMode="External"/><Relationship Id="rId4641" Type="http://schemas.openxmlformats.org/officeDocument/2006/relationships/hyperlink" Target="https://www.linkedin.com/in/raj-dhole-a0094020a" TargetMode="External"/><Relationship Id="rId3313" Type="http://schemas.openxmlformats.org/officeDocument/2006/relationships/hyperlink" Target="https://drive.google.com/open?id=1AtdLlOUKQhK0CFJPJQnn7WXt759Qsv9F" TargetMode="External"/><Relationship Id="rId4644" Type="http://schemas.openxmlformats.org/officeDocument/2006/relationships/hyperlink" Target="https://drive.google.com/open?id=1na1GBRdalAx5gW-JYnXyt826uX-DZiKN" TargetMode="External"/><Relationship Id="rId3312" Type="http://schemas.openxmlformats.org/officeDocument/2006/relationships/hyperlink" Target="https://drive.google.com/open?id=1cx85Pt-Qs1SQfZbEdOOu5pZxKm7H5-jd" TargetMode="External"/><Relationship Id="rId4643" Type="http://schemas.openxmlformats.org/officeDocument/2006/relationships/hyperlink" Target="https://drive.google.com/open?id=18TUsiLspf6gg7KT5GGwdp2TD53nrTULe" TargetMode="External"/><Relationship Id="rId3304" Type="http://schemas.openxmlformats.org/officeDocument/2006/relationships/hyperlink" Target="https://drive.google.com/open?id=1v_MkaZJDbJ8pgB16LkmgAr-ZHj7dVmEr" TargetMode="External"/><Relationship Id="rId4635" Type="http://schemas.openxmlformats.org/officeDocument/2006/relationships/hyperlink" Target="https://drive.google.com/open?id=1rrZ5lv4a78Vd5FvFF2vR-zAxH-fusNxF" TargetMode="External"/><Relationship Id="rId3303" Type="http://schemas.openxmlformats.org/officeDocument/2006/relationships/hyperlink" Target="https://drive.google.com/open?id=1xFUHioS_SEadHKB14irz92HZVINKq5ge" TargetMode="External"/><Relationship Id="rId4634" Type="http://schemas.openxmlformats.org/officeDocument/2006/relationships/hyperlink" Target="https://drive.google.com/open?id=1mCZt4ZvgBD8BN70YOTACPpGkaWhYC9lV" TargetMode="External"/><Relationship Id="rId3306" Type="http://schemas.openxmlformats.org/officeDocument/2006/relationships/hyperlink" Target="https://drive.google.com/open?id=1eDULvu-UEYRuYZhV4pvHCJMaOrV6XCel" TargetMode="External"/><Relationship Id="rId4637" Type="http://schemas.openxmlformats.org/officeDocument/2006/relationships/hyperlink" Target="https://www.linkedin.com/in/yash-sujgure-21035b1a1" TargetMode="External"/><Relationship Id="rId3305" Type="http://schemas.openxmlformats.org/officeDocument/2006/relationships/hyperlink" Target="https://drive.google.com/open?id=1J3TGwc2eTn-uD2y2f13lwR86s5oP4oUt" TargetMode="External"/><Relationship Id="rId4636" Type="http://schemas.openxmlformats.org/officeDocument/2006/relationships/hyperlink" Target="https://drive.google.com/open?id=1uH-z86kpC3cMlNFyqWlyzBR7zE7IlYCc" TargetMode="External"/><Relationship Id="rId3308" Type="http://schemas.openxmlformats.org/officeDocument/2006/relationships/hyperlink" Target="http://www.linkedin.com/in/yashrane16" TargetMode="External"/><Relationship Id="rId4639" Type="http://schemas.openxmlformats.org/officeDocument/2006/relationships/hyperlink" Target="https://drive.google.com/open?id=1Hnx8MT05GXf2MHPIAsG_QjVHYctCQNX9" TargetMode="External"/><Relationship Id="rId3307" Type="http://schemas.openxmlformats.org/officeDocument/2006/relationships/hyperlink" Target="https://drive.google.com/open?id=1Uq7IPY0UwVyvmBOK_saUsqj9anP2F-ol" TargetMode="External"/><Relationship Id="rId4638" Type="http://schemas.openxmlformats.org/officeDocument/2006/relationships/hyperlink" Target="https://preskilet.com/watch?v=62a3809ea6956a00046004ea" TargetMode="External"/><Relationship Id="rId3309" Type="http://schemas.openxmlformats.org/officeDocument/2006/relationships/hyperlink" Target="https://preskilet.com/watch?v=62bea8e22c9a6200041e123a" TargetMode="External"/><Relationship Id="rId3300" Type="http://schemas.openxmlformats.org/officeDocument/2006/relationships/hyperlink" Target="https://www.linkedin.com/in/abhishek-kumar-168823106" TargetMode="External"/><Relationship Id="rId4631" Type="http://schemas.openxmlformats.org/officeDocument/2006/relationships/hyperlink" Target="https://www.linkedin.com/in/rutuja-tarkase-933163235" TargetMode="External"/><Relationship Id="rId4630" Type="http://schemas.openxmlformats.org/officeDocument/2006/relationships/hyperlink" Target="https://drive.google.com/open?id=1nmlEdF_CofkuiG2sQt86wvz5L0ZRLz7K" TargetMode="External"/><Relationship Id="rId3302" Type="http://schemas.openxmlformats.org/officeDocument/2006/relationships/hyperlink" Target="https://drive.google.com/open?id=1L93X4fJgY6_1Kx6UqukWReY2VKCiRAfO" TargetMode="External"/><Relationship Id="rId4633" Type="http://schemas.openxmlformats.org/officeDocument/2006/relationships/hyperlink" Target="https://drive.google.com/open?id=1H7w9fpcljSPJhgVJjJgLzy2O7bL9ZIWD" TargetMode="External"/><Relationship Id="rId3301" Type="http://schemas.openxmlformats.org/officeDocument/2006/relationships/hyperlink" Target="https://preskilet.com/watch?v=62b9777dbd2b77000426767d" TargetMode="External"/><Relationship Id="rId4632" Type="http://schemas.openxmlformats.org/officeDocument/2006/relationships/hyperlink" Target="https://drive.google.com/drive/folders/178Se87nAzyrImSalxd7PwSY42W0o3rx8?usp=sharing" TargetMode="External"/><Relationship Id="rId2005" Type="http://schemas.openxmlformats.org/officeDocument/2006/relationships/hyperlink" Target="https://drive.google.com/open?id=19HLxW4iKvpReaGQxijqYVxtqRsS6vv8P" TargetMode="External"/><Relationship Id="rId3337" Type="http://schemas.openxmlformats.org/officeDocument/2006/relationships/hyperlink" Target="https://drive.google.com/open?id=1yejR-Aw6gJI7efVaGvI0_0BAaUfHcsrG" TargetMode="External"/><Relationship Id="rId4668" Type="http://schemas.openxmlformats.org/officeDocument/2006/relationships/hyperlink" Target="https://drive.google.com/folderview?id=1HMxWge9obebRn2ExBsKQdpdV0GLEsgmt" TargetMode="External"/><Relationship Id="rId2006" Type="http://schemas.openxmlformats.org/officeDocument/2006/relationships/hyperlink" Target="https://drive.google.com/open?id=1oS-rUpHGCjI39GF2BZI9FaKre6Kp8liu" TargetMode="External"/><Relationship Id="rId3336" Type="http://schemas.openxmlformats.org/officeDocument/2006/relationships/hyperlink" Target="https://drive.google.com/open?id=1p5odqkX3MmsLf-nDtSD5seXvWObtkvv6" TargetMode="External"/><Relationship Id="rId4667" Type="http://schemas.openxmlformats.org/officeDocument/2006/relationships/hyperlink" Target="https://www.linkedin.com/mwlite/in/ashlesha-suwase-085957241" TargetMode="External"/><Relationship Id="rId2007" Type="http://schemas.openxmlformats.org/officeDocument/2006/relationships/hyperlink" Target="https://drive.google.com/open?id=17BzyueHOwILTekgTIoG2fwN_zGJppppc" TargetMode="External"/><Relationship Id="rId3339" Type="http://schemas.openxmlformats.org/officeDocument/2006/relationships/hyperlink" Target="https://drive.google.com/open?id=1G-R6-Dzpi5e3J6gVf7x3Mbw4z3aD1iPK" TargetMode="External"/><Relationship Id="rId2008" Type="http://schemas.openxmlformats.org/officeDocument/2006/relationships/hyperlink" Target="https://www.linkedin.com/in/rachana-wasnik-8aa5a81a7" TargetMode="External"/><Relationship Id="rId3338" Type="http://schemas.openxmlformats.org/officeDocument/2006/relationships/hyperlink" Target="https://drive.google.com/open?id=16FnGh9f-9dtfirOHBCXWJSycLTYvLv3g" TargetMode="External"/><Relationship Id="rId4669" Type="http://schemas.openxmlformats.org/officeDocument/2006/relationships/hyperlink" Target="https://drive.google.com/open?id=15oII7cuvo6xCmf2KMwJigD_iuJcsn59h" TargetMode="External"/><Relationship Id="rId2009" Type="http://schemas.openxmlformats.org/officeDocument/2006/relationships/hyperlink" Target="https://preskilet.com/watch?v=629deef348667000044129b5" TargetMode="External"/><Relationship Id="rId4660" Type="http://schemas.openxmlformats.org/officeDocument/2006/relationships/hyperlink" Target="https://drive.google.com/open?id=1PMUGDjrXLPDp6Weo7m6t1VOn5FPoUQBP" TargetMode="External"/><Relationship Id="rId3331" Type="http://schemas.openxmlformats.org/officeDocument/2006/relationships/hyperlink" Target="https://drive.google.com/open?id=1N43bD-c0QJbCF8ioHyJz2xgP-I0Xdiiw" TargetMode="External"/><Relationship Id="rId4662" Type="http://schemas.openxmlformats.org/officeDocument/2006/relationships/hyperlink" Target="https://drive.google.com/open?id=1xhZhIGC_kKlaiEuWuFF-PhMpjvn73q5D" TargetMode="External"/><Relationship Id="rId2000" Type="http://schemas.openxmlformats.org/officeDocument/2006/relationships/hyperlink" Target="https://preskilet.com/sgmadkar@mitaoe.ac.in" TargetMode="External"/><Relationship Id="rId3330" Type="http://schemas.openxmlformats.org/officeDocument/2006/relationships/hyperlink" Target="https://preskilet.com/hrmachhi@mitaoe.ac.in" TargetMode="External"/><Relationship Id="rId4661" Type="http://schemas.openxmlformats.org/officeDocument/2006/relationships/hyperlink" Target="https://drive.google.com/open?id=1yVaQdcWfabZvjvF5e4VgT96EGfXf2g7J" TargetMode="External"/><Relationship Id="rId2001" Type="http://schemas.openxmlformats.org/officeDocument/2006/relationships/hyperlink" Target="https://drive.google.com/open?id=1UtGO55jkDsOnDFd1i2KJeA1uZPaVE1uw" TargetMode="External"/><Relationship Id="rId3333" Type="http://schemas.openxmlformats.org/officeDocument/2006/relationships/hyperlink" Target="https://drive.google.com/open?id=1j_EaOk_SNwVFjJ2JHBfPhro1ko9bZvFs" TargetMode="External"/><Relationship Id="rId4664" Type="http://schemas.openxmlformats.org/officeDocument/2006/relationships/hyperlink" Target="https://drive.google.com/open?id=1h92kBcZfMzmMUKUGOh5pUIledvzHjwwO" TargetMode="External"/><Relationship Id="rId2002" Type="http://schemas.openxmlformats.org/officeDocument/2006/relationships/hyperlink" Target="https://drive.google.com/open?id=1KMDh-NjN8O6d5TenYO1GUn0Q_Jtuo8Jr" TargetMode="External"/><Relationship Id="rId3332" Type="http://schemas.openxmlformats.org/officeDocument/2006/relationships/hyperlink" Target="https://drive.google.com/open?id=1eC0yXwgGkPn6lloPJaHpeeKZY3qbSRT7" TargetMode="External"/><Relationship Id="rId4663" Type="http://schemas.openxmlformats.org/officeDocument/2006/relationships/hyperlink" Target="https://drive.google.com/open?id=1ujvGIsHDby0oRNMXtyvAeOEmawElmpRI" TargetMode="External"/><Relationship Id="rId2003" Type="http://schemas.openxmlformats.org/officeDocument/2006/relationships/hyperlink" Target="https://drive.google.com/open?id=167YEba1S8cGUBvJKqiKGUnXkiC2GyBVP" TargetMode="External"/><Relationship Id="rId3335" Type="http://schemas.openxmlformats.org/officeDocument/2006/relationships/hyperlink" Target="https://preskilet.com/watch?v=62c40c75d97d820004605e93" TargetMode="External"/><Relationship Id="rId4666" Type="http://schemas.openxmlformats.org/officeDocument/2006/relationships/hyperlink" Target="https://drive.google.com/open?id=1U_kHrBzgUiWPGvnAHa82Tjje9em0fQBc" TargetMode="External"/><Relationship Id="rId2004" Type="http://schemas.openxmlformats.org/officeDocument/2006/relationships/hyperlink" Target="https://drive.google.com/open?id=1JqEEtZIjJlEWGzsRXSX0pcqMy1mrh6k2" TargetMode="External"/><Relationship Id="rId3334" Type="http://schemas.openxmlformats.org/officeDocument/2006/relationships/hyperlink" Target="https://in.linkedin.com/in/onkar-chendage" TargetMode="External"/><Relationship Id="rId4665" Type="http://schemas.openxmlformats.org/officeDocument/2006/relationships/hyperlink" Target="https://drive.google.com/open?id=1rNTFADicsocYbxKp632DQ9g3Fd_a70nv" TargetMode="External"/><Relationship Id="rId3326" Type="http://schemas.openxmlformats.org/officeDocument/2006/relationships/hyperlink" Target="https://drive.google.com/open?id=1EWzucqHv9xMk8-CyEJ_oILxdItMCRGVu" TargetMode="External"/><Relationship Id="rId4657" Type="http://schemas.openxmlformats.org/officeDocument/2006/relationships/hyperlink" Target="https://preskilet.com/watch?v=62a4cf5d589aee0004d98612" TargetMode="External"/><Relationship Id="rId3325" Type="http://schemas.openxmlformats.org/officeDocument/2006/relationships/hyperlink" Target="https://drive.google.com/open?id=1ap6qGrs723vZVbrr1NQ09lbbNqlm8oPF" TargetMode="External"/><Relationship Id="rId4656" Type="http://schemas.openxmlformats.org/officeDocument/2006/relationships/hyperlink" Target="https://www.linkedin.com/home?trk2=ga_campid%3D14650114791_asid%3D127961666580_crid%3D601257986854_kw%3Dlinkedin_d%3Dm_tid%3Dkwd-285981853_n%3Dg_mt%3Dp_geo%3D9299648_slid%3D&amp;mcid=6844056167778418688&amp;gclid=CjwKCAjw14uVBhBEEiwAaufYx5FoSwwnYjylr5PbYTU9Om3tQ0AXCEepN0NQ4W8c3fMgFCaEHjMlhRoCOiEQAvD_BwE&amp;gclsrc=aw%2Eds&amp;trk=IN-SEM_google-adwords_Jordan-brand-sign-up&amp;originalSubdomain=in" TargetMode="External"/><Relationship Id="rId3328" Type="http://schemas.openxmlformats.org/officeDocument/2006/relationships/hyperlink" Target="https://drive.google.com/open?id=1MiJirm9UD1Wwjxkzq6vRFssjDCYDLIcs" TargetMode="External"/><Relationship Id="rId4659" Type="http://schemas.openxmlformats.org/officeDocument/2006/relationships/hyperlink" Target="https://drive.google.com/open?id=1iJk2tXdqtYcs3b8nSc9mYiBRIS6RJ_dA" TargetMode="External"/><Relationship Id="rId3327" Type="http://schemas.openxmlformats.org/officeDocument/2006/relationships/hyperlink" Target="https://drive.google.com/open?id=1ooekSXirTum7wBlKNCrPiUUIFvmhGAFn" TargetMode="External"/><Relationship Id="rId4658" Type="http://schemas.openxmlformats.org/officeDocument/2006/relationships/hyperlink" Target="https://drive.google.com/open?id=1YveDeeKO2bUH6UNdwRRj5xkVaRQdLMxP" TargetMode="External"/><Relationship Id="rId3329" Type="http://schemas.openxmlformats.org/officeDocument/2006/relationships/hyperlink" Target="https://www.linkedin.com/in/hitanshu-machhi-b004b0176/" TargetMode="External"/><Relationship Id="rId3320" Type="http://schemas.openxmlformats.org/officeDocument/2006/relationships/hyperlink" Target="https://drive.google.com/open?id=1pgrfMdoANXwhjbOzG06BJ4TbONfL5xpV" TargetMode="External"/><Relationship Id="rId4651" Type="http://schemas.openxmlformats.org/officeDocument/2006/relationships/hyperlink" Target="https://drive.google.com/open?id=1YhelV-V5rHuMpPeotuEda9OIRyt8WzGf" TargetMode="External"/><Relationship Id="rId4650" Type="http://schemas.openxmlformats.org/officeDocument/2006/relationships/hyperlink" Target="https://drive.google.com/open?id=1Rw12xCByL2pYSeucxligNtKpGn8mxxgA" TargetMode="External"/><Relationship Id="rId3322" Type="http://schemas.openxmlformats.org/officeDocument/2006/relationships/hyperlink" Target="https://drive.google.com/open?id=1iVzx2vcmtvbXvmUq1lZ3icthqCv18nKO" TargetMode="External"/><Relationship Id="rId4653" Type="http://schemas.openxmlformats.org/officeDocument/2006/relationships/hyperlink" Target="https://drive.google.com/open?id=1RTX09oTQ7XMZJ_KvScf82HReMuF_R09k" TargetMode="External"/><Relationship Id="rId3321" Type="http://schemas.openxmlformats.org/officeDocument/2006/relationships/hyperlink" Target="https://drive.google.com/open?id=1RjUxRGMcOn4LueveUtiyFYZCwnSO1mzR" TargetMode="External"/><Relationship Id="rId4652" Type="http://schemas.openxmlformats.org/officeDocument/2006/relationships/hyperlink" Target="https://drive.google.com/open?id=17IFLZlU-eirw2IHFUUwHEMgRrHfVBhr0" TargetMode="External"/><Relationship Id="rId3324" Type="http://schemas.openxmlformats.org/officeDocument/2006/relationships/hyperlink" Target="https://preskilet.com/628c8b74c52b2600046c5397" TargetMode="External"/><Relationship Id="rId4655" Type="http://schemas.openxmlformats.org/officeDocument/2006/relationships/hyperlink" Target="https://drive.google.com/open?id=1SgBHsJ6t9rdIJVjaymw_5KV_5Thg8099" TargetMode="External"/><Relationship Id="rId3323" Type="http://schemas.openxmlformats.org/officeDocument/2006/relationships/hyperlink" Target="https://www.linkedin.com/in/pallavi-gaikwad-6771331b0" TargetMode="External"/><Relationship Id="rId4654" Type="http://schemas.openxmlformats.org/officeDocument/2006/relationships/hyperlink" Target="https://drive.google.com/open?id=1OUoBEa20h7B7MR57aFl3bNTdxT78Z8RW" TargetMode="External"/><Relationship Id="rId5130" Type="http://schemas.openxmlformats.org/officeDocument/2006/relationships/hyperlink" Target="https://drive.google.com/drive/folders/1JgLXnoFJm28JHpNElSDfyXbYi09Ez2Ix?usp=sharing" TargetMode="External"/><Relationship Id="rId5131" Type="http://schemas.openxmlformats.org/officeDocument/2006/relationships/hyperlink" Target="https://drive.google.com/open?id=1nujj3MXTVauzohMVHeO5wgtomS4kbyCe" TargetMode="External"/><Relationship Id="rId5134" Type="http://schemas.openxmlformats.org/officeDocument/2006/relationships/hyperlink" Target="https://drive.google.com/open?id=1qM8juvr8oqjFYk7zvDchOANF6Pz_wbOZ" TargetMode="External"/><Relationship Id="rId5135" Type="http://schemas.openxmlformats.org/officeDocument/2006/relationships/hyperlink" Target="https://drive.google.com/open?id=1vAN1FUT2cJhuxx_2zJJEhz_dIXbGWa--" TargetMode="External"/><Relationship Id="rId5132" Type="http://schemas.openxmlformats.org/officeDocument/2006/relationships/hyperlink" Target="https://drive.google.com/open?id=1M00gTbbjAAaW6lfCK9FAaeKp-hr3L0vX" TargetMode="External"/><Relationship Id="rId5133" Type="http://schemas.openxmlformats.org/officeDocument/2006/relationships/hyperlink" Target="https://drive.google.com/open?id=1gyjTljID_uV8ZqnLhmBCtl08IutZLHK5" TargetMode="External"/><Relationship Id="rId5138" Type="http://schemas.openxmlformats.org/officeDocument/2006/relationships/hyperlink" Target="https://drive.google.com/drive/folders/1bJ1EKAu9O0AA2dNqTLXKDzSrcGJa_qLB?usp=sharing" TargetMode="External"/><Relationship Id="rId5139" Type="http://schemas.openxmlformats.org/officeDocument/2006/relationships/hyperlink" Target="https://drive.google.com/open?id=1pqLl5Jv1WWt0I5Pnj_oeOEjywzKMZPC8" TargetMode="External"/><Relationship Id="rId5136" Type="http://schemas.openxmlformats.org/officeDocument/2006/relationships/hyperlink" Target="https://drive.google.com/open?id=1DvJrne-W10hFNPaC_SEs6gsvi9bt3OGQ" TargetMode="External"/><Relationship Id="rId5137" Type="http://schemas.openxmlformats.org/officeDocument/2006/relationships/hyperlink" Target="http://www.linkedin.com/in/tushar-patil-738307173" TargetMode="External"/><Relationship Id="rId5129" Type="http://schemas.openxmlformats.org/officeDocument/2006/relationships/hyperlink" Target="https://www.linkedin.com/in/sahil-bhutada/" TargetMode="External"/><Relationship Id="rId2090" Type="http://schemas.openxmlformats.org/officeDocument/2006/relationships/hyperlink" Target="https://www.linkedin.com/in/devashish-dani-931572234/" TargetMode="External"/><Relationship Id="rId2091" Type="http://schemas.openxmlformats.org/officeDocument/2006/relationships/hyperlink" Target="https://preskilet.com/watch?v=62b32f73cd590700045fb63e" TargetMode="External"/><Relationship Id="rId2092" Type="http://schemas.openxmlformats.org/officeDocument/2006/relationships/hyperlink" Target="https://drive.google.com/open?id=1BL1RI__FEIBNHgCsVcEhVUb3oBJ9oTuX" TargetMode="External"/><Relationship Id="rId2093" Type="http://schemas.openxmlformats.org/officeDocument/2006/relationships/hyperlink" Target="https://drive.google.com/open?id=1rSWmjYAjVZUHgnJO-Uon-ZAdpxqxkCzT" TargetMode="External"/><Relationship Id="rId5120" Type="http://schemas.openxmlformats.org/officeDocument/2006/relationships/hyperlink" Target="https://drive.google.com/open?id=1x7ir361aBIGjKdPPv1uE3Hk96-fzVUNb" TargetMode="External"/><Relationship Id="rId2094" Type="http://schemas.openxmlformats.org/officeDocument/2006/relationships/hyperlink" Target="https://drive.google.com/open?id=1ub3YMeX4ibXZgM1unqYpqfReOLVC_wl4" TargetMode="External"/><Relationship Id="rId2095" Type="http://schemas.openxmlformats.org/officeDocument/2006/relationships/hyperlink" Target="https://drive.google.com/open?id=109RWcak1LuUi8L1ryyZN4drUTx1WB2l6" TargetMode="External"/><Relationship Id="rId2096" Type="http://schemas.openxmlformats.org/officeDocument/2006/relationships/hyperlink" Target="https://drive.google.com/open?id=18RtLDOp0Eui7TKi_YiA1cYQqNDRzdNsl" TargetMode="External"/><Relationship Id="rId5123" Type="http://schemas.openxmlformats.org/officeDocument/2006/relationships/hyperlink" Target="https://drive.google.com/open?id=1zduUo-sbwBT3pQom9vA6VozY9PdKyYrn" TargetMode="External"/><Relationship Id="rId2097" Type="http://schemas.openxmlformats.org/officeDocument/2006/relationships/hyperlink" Target="https://www.linkedin.com/in/laukik-pawle-1a27181b3" TargetMode="External"/><Relationship Id="rId5124" Type="http://schemas.openxmlformats.org/officeDocument/2006/relationships/hyperlink" Target="https://drive.google.com/open?id=1yHNRqdUxEaebKNUyFZyJ4sqmSGyLQMtA" TargetMode="External"/><Relationship Id="rId2098" Type="http://schemas.openxmlformats.org/officeDocument/2006/relationships/hyperlink" Target="https://drive.google.com/file/d/1MYWFg3Ml4a-3ehMFv8TSvRFxxVx9y7Cf/view?usp=sharing" TargetMode="External"/><Relationship Id="rId5121" Type="http://schemas.openxmlformats.org/officeDocument/2006/relationships/hyperlink" Target="http://www.linkedin.com/in/tejadshar0201" TargetMode="External"/><Relationship Id="rId2099" Type="http://schemas.openxmlformats.org/officeDocument/2006/relationships/hyperlink" Target="https://drive.google.com/open?id=1jok2LIR7KSZznCYY5eHFMrCN6XJ9_9Fw" TargetMode="External"/><Relationship Id="rId5122" Type="http://schemas.openxmlformats.org/officeDocument/2006/relationships/hyperlink" Target="https://drive.google.com/drive/folders/13FuSGt0iJsHJGX9Q-tbxVSU06UegGH8q?usp=sharing" TargetMode="External"/><Relationship Id="rId5127" Type="http://schemas.openxmlformats.org/officeDocument/2006/relationships/hyperlink" Target="https://drive.google.com/open?id=1pMORZtPbGV_ZD7PzmrREGjDuBihew563" TargetMode="External"/><Relationship Id="rId5128" Type="http://schemas.openxmlformats.org/officeDocument/2006/relationships/hyperlink" Target="https://drive.google.com/open?id=18gUCF6ZCYsoKnQ4z5vyYiAsBK6FroCzz" TargetMode="External"/><Relationship Id="rId5125" Type="http://schemas.openxmlformats.org/officeDocument/2006/relationships/hyperlink" Target="https://drive.google.com/open?id=1GmZVdFuJGJH9gejwh1zXKwC9JuhitL9I" TargetMode="External"/><Relationship Id="rId5126" Type="http://schemas.openxmlformats.org/officeDocument/2006/relationships/hyperlink" Target="https://drive.google.com/open?id=1KEkFfLH4mxiTX3out14d-pGYT2BoCb2c" TargetMode="External"/><Relationship Id="rId5152" Type="http://schemas.openxmlformats.org/officeDocument/2006/relationships/hyperlink" Target="https://drive.google.com/open?id=1SGqqc9biqqxEXxDl6rWRrkfBCTO_EnOP" TargetMode="External"/><Relationship Id="rId5153" Type="http://schemas.openxmlformats.org/officeDocument/2006/relationships/hyperlink" Target="https://drive.google.com/open?id=1ZQC3XJ9SsHmFoFDayjWCHTy34P1BJLYT" TargetMode="External"/><Relationship Id="rId5150" Type="http://schemas.openxmlformats.org/officeDocument/2006/relationships/hyperlink" Target="https://preskilet.com/watch?v=62a32b0aa6956a00045ffaa6" TargetMode="External"/><Relationship Id="rId5151" Type="http://schemas.openxmlformats.org/officeDocument/2006/relationships/hyperlink" Target="https://drive.google.com/open?id=1a3PY1qo-zMLypbWb-mrHYNrfOH05N9gp" TargetMode="External"/><Relationship Id="rId5156" Type="http://schemas.openxmlformats.org/officeDocument/2006/relationships/hyperlink" Target="https://www.linkedin.com/in/nilesh-aurade-08b610226" TargetMode="External"/><Relationship Id="rId5157" Type="http://schemas.openxmlformats.org/officeDocument/2006/relationships/hyperlink" Target="https://drive.google.com/drive/folders/1rF847q3R0hxssTx24fbGi1J1OMDDEnbL" TargetMode="External"/><Relationship Id="rId5154" Type="http://schemas.openxmlformats.org/officeDocument/2006/relationships/hyperlink" Target="https://drive.google.com/open?id=1HMowwHz2AFe0YKLj49hpJ6gK8E4vJ8Di" TargetMode="External"/><Relationship Id="rId5155" Type="http://schemas.openxmlformats.org/officeDocument/2006/relationships/hyperlink" Target="https://drive.google.com/open?id=1dN79IYSvCbOUO0FrQa6qrRktvresgxx8" TargetMode="External"/><Relationship Id="rId5158" Type="http://schemas.openxmlformats.org/officeDocument/2006/relationships/hyperlink" Target="https://drive.google.com/open?id=1PAsg5L308KgPgeXFsmA58hhjLYXmV6Ia" TargetMode="External"/><Relationship Id="rId5159" Type="http://schemas.openxmlformats.org/officeDocument/2006/relationships/hyperlink" Target="https://drive.google.com/open?id=1J5-xJEeB-yNj-OUqvlWqZiZe0PK_ikBH" TargetMode="External"/><Relationship Id="rId5141" Type="http://schemas.openxmlformats.org/officeDocument/2006/relationships/hyperlink" Target="https://drive.google.com/open?id=1ravKAZ_OCIjWUH9gqr00F0wozf1C_ueC" TargetMode="External"/><Relationship Id="rId5142" Type="http://schemas.openxmlformats.org/officeDocument/2006/relationships/hyperlink" Target="https://www.linkedin.com/in/kshitij-darwhekar-b15a33191/" TargetMode="External"/><Relationship Id="rId5140" Type="http://schemas.openxmlformats.org/officeDocument/2006/relationships/hyperlink" Target="https://drive.google.com/open?id=1tA-MHT7inXY-h7l_2FxNIYLwzFhrj7UD" TargetMode="External"/><Relationship Id="rId5145" Type="http://schemas.openxmlformats.org/officeDocument/2006/relationships/hyperlink" Target="https://drive.google.com/open?id=1Fbmn7_XwD7Z9KSgWClCIe7IZPeYiKhXD" TargetMode="External"/><Relationship Id="rId5146" Type="http://schemas.openxmlformats.org/officeDocument/2006/relationships/hyperlink" Target="https://drive.google.com/open?id=1zixx1Lx-Lk05-HuFG16PFCETeQzdjxDn" TargetMode="External"/><Relationship Id="rId5143" Type="http://schemas.openxmlformats.org/officeDocument/2006/relationships/hyperlink" Target="https://preskilet.com/watch?v=62a3752ca6956a000460028c" TargetMode="External"/><Relationship Id="rId5144" Type="http://schemas.openxmlformats.org/officeDocument/2006/relationships/hyperlink" Target="https://drive.google.com/open?id=1TCd_cpyJ4VJC0nIR99CSe_C73dfhiFDT" TargetMode="External"/><Relationship Id="rId5149" Type="http://schemas.openxmlformats.org/officeDocument/2006/relationships/hyperlink" Target="https://www.linkedin.com/in/tushar2502/" TargetMode="External"/><Relationship Id="rId5147" Type="http://schemas.openxmlformats.org/officeDocument/2006/relationships/hyperlink" Target="https://drive.google.com/open?id=1Da6Qq2I9HYOTZ_tPV6QEQNsdUBFsmOuO" TargetMode="External"/><Relationship Id="rId5148" Type="http://schemas.openxmlformats.org/officeDocument/2006/relationships/hyperlink" Target="https://drive.google.com/open?id=1R2G6TX8IPALl7ffxXIG40LIhEn8r-bOV" TargetMode="External"/><Relationship Id="rId3391" Type="http://schemas.openxmlformats.org/officeDocument/2006/relationships/hyperlink" Target="https://drive.google.com/open?id=1HxigiWQhXbhEwMCeTj-hLntNf5tV3MFG" TargetMode="External"/><Relationship Id="rId2060" Type="http://schemas.openxmlformats.org/officeDocument/2006/relationships/hyperlink" Target="https://drive.google.com/open?id=11pRk8ubn1su0lHJUccPQhxMkoeZp7cYD" TargetMode="External"/><Relationship Id="rId3390" Type="http://schemas.openxmlformats.org/officeDocument/2006/relationships/hyperlink" Target="https://preskilet.com/watch?v=629bb3a4d784290004e9666f" TargetMode="External"/><Relationship Id="rId2061" Type="http://schemas.openxmlformats.org/officeDocument/2006/relationships/hyperlink" Target="https://drive.google.com/open?id=14fmIuZdUvaerFU32vTJaa2QT51d-EtHX" TargetMode="External"/><Relationship Id="rId3393" Type="http://schemas.openxmlformats.org/officeDocument/2006/relationships/hyperlink" Target="https://drive.google.com/open?id=13QfZunXLaU4i03MQBkcmvKT9AlY2djUt" TargetMode="External"/><Relationship Id="rId2062" Type="http://schemas.openxmlformats.org/officeDocument/2006/relationships/hyperlink" Target="https://drive.google.com/open?id=1nkjFCw94Z_vwiXbggGbAGr5GC6o6EjO6" TargetMode="External"/><Relationship Id="rId3392" Type="http://schemas.openxmlformats.org/officeDocument/2006/relationships/hyperlink" Target="https://drive.google.com/open?id=1gpRsbNOP7PVeQAqRM7hbEkXw6hMn8_EW" TargetMode="External"/><Relationship Id="rId2063" Type="http://schemas.openxmlformats.org/officeDocument/2006/relationships/hyperlink" Target="https://drive.google.com/open?id=1deaX6G5zlGLpCymr6jhlY_1E_8LP709u" TargetMode="External"/><Relationship Id="rId3395" Type="http://schemas.openxmlformats.org/officeDocument/2006/relationships/hyperlink" Target="https://drive.google.com/open?id=1RVzzMLcW5nL0raE0NDgUrXsrCrQ0CQFd" TargetMode="External"/><Relationship Id="rId2064" Type="http://schemas.openxmlformats.org/officeDocument/2006/relationships/hyperlink" Target="https://www.linkedin.com/in/sovik-sharma-305511212/" TargetMode="External"/><Relationship Id="rId3394" Type="http://schemas.openxmlformats.org/officeDocument/2006/relationships/hyperlink" Target="https://drive.google.com/open?id=1h25ATZo_XZBPKsTy-jpNH4eVoS3MZfy4" TargetMode="External"/><Relationship Id="rId2065" Type="http://schemas.openxmlformats.org/officeDocument/2006/relationships/hyperlink" Target="https://preskilet.com/watch?v=62a1e3e1fed70c00042b66c9" TargetMode="External"/><Relationship Id="rId3397" Type="http://schemas.openxmlformats.org/officeDocument/2006/relationships/hyperlink" Target="https://www.linkedin.com/in/shubham-malkunjikar-719962208" TargetMode="External"/><Relationship Id="rId2066" Type="http://schemas.openxmlformats.org/officeDocument/2006/relationships/hyperlink" Target="https://drive.google.com/open?id=19YZJs_50qFxlmnCN4Z8VI60dVZz4vNaj" TargetMode="External"/><Relationship Id="rId3396" Type="http://schemas.openxmlformats.org/officeDocument/2006/relationships/hyperlink" Target="https://drive.google.com/open?id=1Lo5GV3qgSr-u28ilpKWGCTr_QGt_FRNy" TargetMode="External"/><Relationship Id="rId2067" Type="http://schemas.openxmlformats.org/officeDocument/2006/relationships/hyperlink" Target="https://drive.google.com/open?id=1xEAaAm7ZQrl6POIWUhLxO3zH7XCUkxyK" TargetMode="External"/><Relationship Id="rId3399" Type="http://schemas.openxmlformats.org/officeDocument/2006/relationships/hyperlink" Target="https://drive.google.com/open?id=1O93ph6qQMaDHtv-WGx6RpQweJNfsdu_E" TargetMode="External"/><Relationship Id="rId2068" Type="http://schemas.openxmlformats.org/officeDocument/2006/relationships/hyperlink" Target="https://drive.google.com/open?id=1CHtILl2jFOP35jv2uc6tAKyf0rXarWN8" TargetMode="External"/><Relationship Id="rId3398" Type="http://schemas.openxmlformats.org/officeDocument/2006/relationships/hyperlink" Target="https://drive.google.com/open?id=1IgEpn_V91uDJxTp8qGArr_busDWn34vY" TargetMode="External"/><Relationship Id="rId2069" Type="http://schemas.openxmlformats.org/officeDocument/2006/relationships/hyperlink" Target="https://drive.google.com/open?id=1GntCAQWTh2NBxxVWZpCXD933gcOf5NOs" TargetMode="External"/><Relationship Id="rId3380" Type="http://schemas.openxmlformats.org/officeDocument/2006/relationships/hyperlink" Target="https://www.linkedin.com/in/sachin-halikhede-a154a31b3/" TargetMode="External"/><Relationship Id="rId2050" Type="http://schemas.openxmlformats.org/officeDocument/2006/relationships/hyperlink" Target="https://drive.google.com/open?id=1aJKE-lwEhivMKlarpHMbC5IDhsM2h6QH" TargetMode="External"/><Relationship Id="rId3382" Type="http://schemas.openxmlformats.org/officeDocument/2006/relationships/hyperlink" Target="https://drive.google.com/open?id=1Ww6OKUtfmg6qY7gi7-szMkoCHVnKZFpu" TargetMode="External"/><Relationship Id="rId2051" Type="http://schemas.openxmlformats.org/officeDocument/2006/relationships/hyperlink" Target="https://www.linkedin.com/in/rutuja-kokate-69223b1aa" TargetMode="External"/><Relationship Id="rId3381" Type="http://schemas.openxmlformats.org/officeDocument/2006/relationships/hyperlink" Target="https://preskilet.com/watch?v=62b2c05dcd590700045fb2ca" TargetMode="External"/><Relationship Id="rId2052" Type="http://schemas.openxmlformats.org/officeDocument/2006/relationships/hyperlink" Target="https://preskilet.com/watch?v=62a187fafed70c00042b6522" TargetMode="External"/><Relationship Id="rId3384" Type="http://schemas.openxmlformats.org/officeDocument/2006/relationships/hyperlink" Target="https://drive.google.com/open?id=1l19nvVnNDyLwc51RG_pKOkjr80l3aWrj" TargetMode="External"/><Relationship Id="rId2053" Type="http://schemas.openxmlformats.org/officeDocument/2006/relationships/hyperlink" Target="https://drive.google.com/open?id=1iFYa6aTYDMxAtx7hPX907OmAF1J0IfyT" TargetMode="External"/><Relationship Id="rId3383" Type="http://schemas.openxmlformats.org/officeDocument/2006/relationships/hyperlink" Target="https://drive.google.com/open?id=1I48Jjeqx_y5KKAE6TuEcJup8sub_Ymbh" TargetMode="External"/><Relationship Id="rId2054" Type="http://schemas.openxmlformats.org/officeDocument/2006/relationships/hyperlink" Target="https://drive.google.com/open?id=1Rw669YtjWVmdJArzUu-ORvf4D8r4zDrK" TargetMode="External"/><Relationship Id="rId3386" Type="http://schemas.openxmlformats.org/officeDocument/2006/relationships/hyperlink" Target="https://drive.google.com/open?id=1_L2uT20eKtBzMSp_25N2cnibVAev_rDU" TargetMode="External"/><Relationship Id="rId2055" Type="http://schemas.openxmlformats.org/officeDocument/2006/relationships/hyperlink" Target="https://drive.google.com/open?id=1YZ7S9rTZChCtU4rOA677UEd1GLkQ0gxK" TargetMode="External"/><Relationship Id="rId3385" Type="http://schemas.openxmlformats.org/officeDocument/2006/relationships/hyperlink" Target="https://drive.google.com/open?id=17563VHgSpKza-_kTuMQXU7iUzlNj7yjM" TargetMode="External"/><Relationship Id="rId2056" Type="http://schemas.openxmlformats.org/officeDocument/2006/relationships/hyperlink" Target="http://linkedin.com/in/tanishka-nair" TargetMode="External"/><Relationship Id="rId3388" Type="http://schemas.openxmlformats.org/officeDocument/2006/relationships/hyperlink" Target="https://drive.google.com/open?id=1OK53v9VdSReJfpLt6icjbWRjmoxSzGhE" TargetMode="External"/><Relationship Id="rId2057" Type="http://schemas.openxmlformats.org/officeDocument/2006/relationships/hyperlink" Target="https://preskilet.com/watch?v=62a1cfcbfed70c00042b663a" TargetMode="External"/><Relationship Id="rId3387" Type="http://schemas.openxmlformats.org/officeDocument/2006/relationships/hyperlink" Target="https://drive.google.com/open?id=1NGpTR32lDkgTxsD4DZVBnEq0_DW9vF2A" TargetMode="External"/><Relationship Id="rId2058" Type="http://schemas.openxmlformats.org/officeDocument/2006/relationships/hyperlink" Target="https://drive.google.com/open?id=1pKOBgqZCy7tmJlNzmh0zxx8-MhbVIFV8" TargetMode="External"/><Relationship Id="rId2059" Type="http://schemas.openxmlformats.org/officeDocument/2006/relationships/hyperlink" Target="https://drive.google.com/open?id=15q9jWfY-gtl_JA2i1eSnsS50FAnq1PRo" TargetMode="External"/><Relationship Id="rId3389" Type="http://schemas.openxmlformats.org/officeDocument/2006/relationships/hyperlink" Target="https://www.linkedin.com/in/ashish-birajdar-018a70178" TargetMode="External"/><Relationship Id="rId5118" Type="http://schemas.openxmlformats.org/officeDocument/2006/relationships/hyperlink" Target="https://drive.google.com/open?id=1dyfoyiBuVyKxjKVVJWor7V52FJTtMfLl" TargetMode="External"/><Relationship Id="rId5119" Type="http://schemas.openxmlformats.org/officeDocument/2006/relationships/hyperlink" Target="https://drive.google.com/open?id=1cYoyB0-eLxL3owD6J4IJIKzIWQEzKKdV" TargetMode="External"/><Relationship Id="rId2080" Type="http://schemas.openxmlformats.org/officeDocument/2006/relationships/hyperlink" Target="https://drive.google.com/open?id=13Bwt8eRVLeLwKRpZIQpBB-qjMCKmv1WL" TargetMode="External"/><Relationship Id="rId2081" Type="http://schemas.openxmlformats.org/officeDocument/2006/relationships/hyperlink" Target="https://drive.google.com/open?id=10l5-r0TZQ7ZRwziSQbi99dVHioEFc9Jh" TargetMode="External"/><Relationship Id="rId2082" Type="http://schemas.openxmlformats.org/officeDocument/2006/relationships/hyperlink" Target="https://www.linkedin.com/in/amol-gothi-251a28221" TargetMode="External"/><Relationship Id="rId2083" Type="http://schemas.openxmlformats.org/officeDocument/2006/relationships/hyperlink" Target="https://preskilet.com/watch?v=62a1ebc3fed70c00042b6701" TargetMode="External"/><Relationship Id="rId2084" Type="http://schemas.openxmlformats.org/officeDocument/2006/relationships/hyperlink" Target="https://drive.google.com/open?id=1O50Rfc5yi5aCPBjoaREBKTFxGWmQJY10" TargetMode="External"/><Relationship Id="rId2085" Type="http://schemas.openxmlformats.org/officeDocument/2006/relationships/hyperlink" Target="https://drive.google.com/open?id=1CaJe0Muz2Pp7DxYBriYF5RYvdP5rzu3K" TargetMode="External"/><Relationship Id="rId5112" Type="http://schemas.openxmlformats.org/officeDocument/2006/relationships/hyperlink" Target="https://drive.google.com/open?id=1nKNj_0fJf_DAVVi6s-h7MVChO3dI6Khg" TargetMode="External"/><Relationship Id="rId2086" Type="http://schemas.openxmlformats.org/officeDocument/2006/relationships/hyperlink" Target="https://drive.google.com/open?id=1tDZwHivvBu9O0vA1BE2QAKUE_h3cp-Mw" TargetMode="External"/><Relationship Id="rId5113" Type="http://schemas.openxmlformats.org/officeDocument/2006/relationships/hyperlink" Target="https://drive.google.com/open?id=1ayKuk46czLZRnfbq1ko7atnC6TWjT9Ya" TargetMode="External"/><Relationship Id="rId2087" Type="http://schemas.openxmlformats.org/officeDocument/2006/relationships/hyperlink" Target="https://drive.google.com/open?id=1q81QZJoOcaRe9kuZjJcU8mtlzRYMcB07" TargetMode="External"/><Relationship Id="rId5110" Type="http://schemas.openxmlformats.org/officeDocument/2006/relationships/hyperlink" Target="https://www.linkedin.com/in/manasi-mit/" TargetMode="External"/><Relationship Id="rId2088" Type="http://schemas.openxmlformats.org/officeDocument/2006/relationships/hyperlink" Target="https://drive.google.com/open?id=13EQAesSRJXLw_fgzjufSkwtMIp6opAE9" TargetMode="External"/><Relationship Id="rId5111" Type="http://schemas.openxmlformats.org/officeDocument/2006/relationships/hyperlink" Target="https://preskilet.com/watch?v=62a35d09a6956a00045fff05" TargetMode="External"/><Relationship Id="rId2089" Type="http://schemas.openxmlformats.org/officeDocument/2006/relationships/hyperlink" Target="https://drive.google.com/open?id=1TRvcYBX9h892W05pI40GUJY2HQgucUWs" TargetMode="External"/><Relationship Id="rId5116" Type="http://schemas.openxmlformats.org/officeDocument/2006/relationships/hyperlink" Target="https://www.linkedin.com/mwlite/in/abhay-gondane-85079a241" TargetMode="External"/><Relationship Id="rId5117" Type="http://schemas.openxmlformats.org/officeDocument/2006/relationships/hyperlink" Target="https://drive.google.com/file/d/1r0lfMUCpolCE9Z97sdxtKyypdQSL4TFE/view?usp=sharing" TargetMode="External"/><Relationship Id="rId5114" Type="http://schemas.openxmlformats.org/officeDocument/2006/relationships/hyperlink" Target="https://drive.google.com/open?id=173mZ4G9kVt5xDYEU1hRvdFVI3jbQ12Pv" TargetMode="External"/><Relationship Id="rId5115" Type="http://schemas.openxmlformats.org/officeDocument/2006/relationships/hyperlink" Target="https://drive.google.com/open?id=1tvN55SpM9cbFy94O4YsQgWVAuXXqjdyW" TargetMode="External"/><Relationship Id="rId5109" Type="http://schemas.openxmlformats.org/officeDocument/2006/relationships/hyperlink" Target="https://drive.google.com/open?id=1O1xXWhoctnKBrzgj2QUsROJ8WwbolX00" TargetMode="External"/><Relationship Id="rId5107" Type="http://schemas.openxmlformats.org/officeDocument/2006/relationships/hyperlink" Target="https://drive.google.com/open?id=1c_HNPVnXrYzTA02jyqpOskO-8HyRxgV3" TargetMode="External"/><Relationship Id="rId5108" Type="http://schemas.openxmlformats.org/officeDocument/2006/relationships/hyperlink" Target="https://drive.google.com/open?id=1vROqicl9b07GGVkcD3BVqgIwTmaEs50f" TargetMode="External"/><Relationship Id="rId2070" Type="http://schemas.openxmlformats.org/officeDocument/2006/relationships/hyperlink" Target="https://drive.google.com/open?id=1oRKWZMjMcJ7UfP9l9zZ_Aq6kSItYx-Yt" TargetMode="External"/><Relationship Id="rId2071" Type="http://schemas.openxmlformats.org/officeDocument/2006/relationships/hyperlink" Target="https://drive.google.com/open?id=1rPRVCch8eTyTFmHNdccfvHuF_vXvFJt3" TargetMode="External"/><Relationship Id="rId2072" Type="http://schemas.openxmlformats.org/officeDocument/2006/relationships/hyperlink" Target="https://drive.google.com/open?id=1sNZgNGnwOsWaEgcZDb-8dMv1cGlrkM84" TargetMode="External"/><Relationship Id="rId2073" Type="http://schemas.openxmlformats.org/officeDocument/2006/relationships/hyperlink" Target="https://drive.google.com/open?id=1vE7-G70t8Mlj_KuMfvtWU4GKCRqh9k9Q" TargetMode="External"/><Relationship Id="rId2074" Type="http://schemas.openxmlformats.org/officeDocument/2006/relationships/hyperlink" Target="https://drive.google.com/open?id=1QMSQtZYRTry01AEIfX36OnNIV1vO8eEV" TargetMode="External"/><Relationship Id="rId5101" Type="http://schemas.openxmlformats.org/officeDocument/2006/relationships/hyperlink" Target="https://youtu.be/NFsxUWz3O1U" TargetMode="External"/><Relationship Id="rId2075" Type="http://schemas.openxmlformats.org/officeDocument/2006/relationships/hyperlink" Target="https://www.linkedin.com/in/onkar-kulkarni-a956b4194" TargetMode="External"/><Relationship Id="rId5102" Type="http://schemas.openxmlformats.org/officeDocument/2006/relationships/hyperlink" Target="https://drive.google.com/open?id=1I6l3EXiv9ISvN-4BVp23W7frULhmmQuT" TargetMode="External"/><Relationship Id="rId2076" Type="http://schemas.openxmlformats.org/officeDocument/2006/relationships/hyperlink" Target="https://drive.google.com/file/d/1t_IZa2QbkI6pfKpi3UieXFenC9fosrJX/view?usp=sharing" TargetMode="External"/><Relationship Id="rId2077" Type="http://schemas.openxmlformats.org/officeDocument/2006/relationships/hyperlink" Target="https://drive.google.com/open?id=1gLUmMMnmh3TEUOMrxwbGVX_okGwj0A7_" TargetMode="External"/><Relationship Id="rId5100" Type="http://schemas.openxmlformats.org/officeDocument/2006/relationships/hyperlink" Target="https://www.linkedin.com/in/kaustubh-ahirrao-6b9848241" TargetMode="External"/><Relationship Id="rId2078" Type="http://schemas.openxmlformats.org/officeDocument/2006/relationships/hyperlink" Target="https://drive.google.com/open?id=1TLQ3Kgk5wk7XtxCbNUsTyDUUM8pdqSCk" TargetMode="External"/><Relationship Id="rId5105" Type="http://schemas.openxmlformats.org/officeDocument/2006/relationships/hyperlink" Target="https://preskilet.com/watch?v=62a3584ba6956a00045ffe87" TargetMode="External"/><Relationship Id="rId2079" Type="http://schemas.openxmlformats.org/officeDocument/2006/relationships/hyperlink" Target="https://drive.google.com/open?id=11LCgV1E_-o01fmHL36ZWAFe_ah49_Sid" TargetMode="External"/><Relationship Id="rId5106" Type="http://schemas.openxmlformats.org/officeDocument/2006/relationships/hyperlink" Target="https://drive.google.com/open?id=13Qm9ksDUcf2IJPNA45OuoLMIPOh_TJzf" TargetMode="External"/><Relationship Id="rId5103" Type="http://schemas.openxmlformats.org/officeDocument/2006/relationships/hyperlink" Target="https://drive.google.com/open?id=1cmgkQQvNm6ztrjFEsSqTXy8wwXxhrpTv" TargetMode="External"/><Relationship Id="rId5104" Type="http://schemas.openxmlformats.org/officeDocument/2006/relationships/hyperlink" Target="https://www.linkedin.com/in/pallavi-mit/" TargetMode="External"/><Relationship Id="rId2940" Type="http://schemas.openxmlformats.org/officeDocument/2006/relationships/hyperlink" Target="http://www.linkedin.com/in/atharva-batwe" TargetMode="External"/><Relationship Id="rId1610" Type="http://schemas.openxmlformats.org/officeDocument/2006/relationships/hyperlink" Target="https://drive.google.com/open?id=1aat2nUMe3Bbk9Dc0BBxUP23mYTYx-D0k" TargetMode="External"/><Relationship Id="rId2941" Type="http://schemas.openxmlformats.org/officeDocument/2006/relationships/hyperlink" Target="https://preskilet.com/watch?v=62a38658a6956a000460060e" TargetMode="External"/><Relationship Id="rId1611" Type="http://schemas.openxmlformats.org/officeDocument/2006/relationships/hyperlink" Target="https://drive.google.com/open?id=1CT-moDD1so5dMIaKBiLR-3XEuBB9f29a" TargetMode="External"/><Relationship Id="rId2942" Type="http://schemas.openxmlformats.org/officeDocument/2006/relationships/hyperlink" Target="https://drive.google.com/open?id=1UJRfG6IwzNSUyvo_XlkCj5eSP7sxkYIs" TargetMode="External"/><Relationship Id="rId1612" Type="http://schemas.openxmlformats.org/officeDocument/2006/relationships/hyperlink" Target="https://drive.google.com/open?id=1xisdbtmzCp0yzXVCCyOqNyJM_znMnmVS" TargetMode="External"/><Relationship Id="rId2943" Type="http://schemas.openxmlformats.org/officeDocument/2006/relationships/hyperlink" Target="https://drive.google.com/open?id=1qMF6nW3xFi2vncEQoYFIYZ31nVs4W37N" TargetMode="External"/><Relationship Id="rId1613" Type="http://schemas.openxmlformats.org/officeDocument/2006/relationships/hyperlink" Target="https://in.linkedin.com/in/nikhil-kinikar-988830177" TargetMode="External"/><Relationship Id="rId2944" Type="http://schemas.openxmlformats.org/officeDocument/2006/relationships/hyperlink" Target="https://drive.google.com/open?id=1Si3LyuTwLqWXs_kTnUQv3f87K1OSY7n1" TargetMode="External"/><Relationship Id="rId1614" Type="http://schemas.openxmlformats.org/officeDocument/2006/relationships/hyperlink" Target="https://preskilet.com/watch?v=62a376eea6956a00046002d4" TargetMode="External"/><Relationship Id="rId2945" Type="http://schemas.openxmlformats.org/officeDocument/2006/relationships/hyperlink" Target="https://drive.google.com/open?id=1a3-soouVzYnE9bcjVkzd6xJFz1Q8ODmO" TargetMode="External"/><Relationship Id="rId1615" Type="http://schemas.openxmlformats.org/officeDocument/2006/relationships/hyperlink" Target="https://drive.google.com/open?id=18COG8nE_aclp4-HgYFCIUq7QIsX7Ft8X" TargetMode="External"/><Relationship Id="rId2946" Type="http://schemas.openxmlformats.org/officeDocument/2006/relationships/hyperlink" Target="https://drive.google.com/open?id=1Z6yhg19qvodo2FeePO22fPQCJ325xcC1" TargetMode="External"/><Relationship Id="rId1616" Type="http://schemas.openxmlformats.org/officeDocument/2006/relationships/hyperlink" Target="https://drive.google.com/open?id=1oUrOJox8eoXZIaxHbayQZ0S5XdjbIdZk" TargetMode="External"/><Relationship Id="rId2947" Type="http://schemas.openxmlformats.org/officeDocument/2006/relationships/hyperlink" Target="https://www.linkedin.com/in/divya-tadas-0ab110201" TargetMode="External"/><Relationship Id="rId907" Type="http://schemas.openxmlformats.org/officeDocument/2006/relationships/hyperlink" Target="https://drive.google.com/open?id=1f0jkywTHV6HJTCx7GWrtRFRmlR7xzNgv" TargetMode="External"/><Relationship Id="rId1617" Type="http://schemas.openxmlformats.org/officeDocument/2006/relationships/hyperlink" Target="https://drive.google.com/open?id=13HoWzX-sWNzQ0LY8_4EBnxDKpsQ_jydn" TargetMode="External"/><Relationship Id="rId2948" Type="http://schemas.openxmlformats.org/officeDocument/2006/relationships/hyperlink" Target="https://preskilet.com/watch?v=62b41ffb30b2800004523043" TargetMode="External"/><Relationship Id="rId906" Type="http://schemas.openxmlformats.org/officeDocument/2006/relationships/hyperlink" Target="https://drive.google.com/open?id=1jBkXRC0D-UN9qb2Hqv-iZ3EsnTyeynQp" TargetMode="External"/><Relationship Id="rId1618" Type="http://schemas.openxmlformats.org/officeDocument/2006/relationships/hyperlink" Target="https://drive.google.com/open?id=1U-vvZrymlFjjCLmJghbD68knOfl0SU7x" TargetMode="External"/><Relationship Id="rId2949" Type="http://schemas.openxmlformats.org/officeDocument/2006/relationships/hyperlink" Target="https://drive.google.com/open?id=1mzTPhPvEuNoO8dWoeAzDlwF9De6fJbiB" TargetMode="External"/><Relationship Id="rId905" Type="http://schemas.openxmlformats.org/officeDocument/2006/relationships/hyperlink" Target="https://drive.google.com/open?id=1Xih0f8CLhcNDJo0c1Lf3uxUi_0wZ6CWY" TargetMode="External"/><Relationship Id="rId1619" Type="http://schemas.openxmlformats.org/officeDocument/2006/relationships/hyperlink" Target="https://drive.google.com/open?id=1OUUkEm_x-TxDn2_QVwaVoYd3NC1Q-6GO" TargetMode="External"/><Relationship Id="rId904" Type="http://schemas.openxmlformats.org/officeDocument/2006/relationships/hyperlink" Target="https://drive.google.com/open?id=1ML15c5OwS4aYTTRZjKSFx9krlzDYrpYS" TargetMode="External"/><Relationship Id="rId909" Type="http://schemas.openxmlformats.org/officeDocument/2006/relationships/hyperlink" Target="https://preskilet.com/sonaligaikwad@mitaoe.ac.in" TargetMode="External"/><Relationship Id="rId908" Type="http://schemas.openxmlformats.org/officeDocument/2006/relationships/hyperlink" Target="https://www.linkedin.com/in/sonali-gaikwad-52084b241" TargetMode="External"/><Relationship Id="rId903" Type="http://schemas.openxmlformats.org/officeDocument/2006/relationships/hyperlink" Target="https://drive.google.com/open?id=1jTE4loLsOAIiTUl8Mq8NnGcTY6e_AGa8" TargetMode="External"/><Relationship Id="rId902" Type="http://schemas.openxmlformats.org/officeDocument/2006/relationships/hyperlink" Target="https://drive.google.com/open?id=1Qx6glt--u2tK7vU9jOZz2gzsFsS6AT9h" TargetMode="External"/><Relationship Id="rId901" Type="http://schemas.openxmlformats.org/officeDocument/2006/relationships/hyperlink" Target="https://drive.google.com/open?id=14OHL59A4ANtf-Q3RYuHG_IV_72eH3rMw" TargetMode="External"/><Relationship Id="rId900" Type="http://schemas.openxmlformats.org/officeDocument/2006/relationships/hyperlink" Target="https://drive.google.com/open?id=11A9bLLkbR0ql6nWk-3rIQ1KifGo4cWyz" TargetMode="External"/><Relationship Id="rId2930" Type="http://schemas.openxmlformats.org/officeDocument/2006/relationships/hyperlink" Target="https://www.linkedin.com/in/tejas-thawari" TargetMode="External"/><Relationship Id="rId1600" Type="http://schemas.openxmlformats.org/officeDocument/2006/relationships/hyperlink" Target="https://drive.google.com/open?id=1ncCVpvfdNmRab5vuhONx_MYBhXW0cOwx" TargetMode="External"/><Relationship Id="rId2931" Type="http://schemas.openxmlformats.org/officeDocument/2006/relationships/hyperlink" Target="https://preskilet.com/watch?v=62bdcce69535010004fd2a01" TargetMode="External"/><Relationship Id="rId1601" Type="http://schemas.openxmlformats.org/officeDocument/2006/relationships/hyperlink" Target="https://drive.google.com/open?id=1rFVsRqt2UoQelRZc3PzrS21bOQcuwSHt" TargetMode="External"/><Relationship Id="rId2932" Type="http://schemas.openxmlformats.org/officeDocument/2006/relationships/hyperlink" Target="https://drive.google.com/open?id=1BWO5tGYdhnxH33q6Eqgb9U5JGA4TgJMz" TargetMode="External"/><Relationship Id="rId1602" Type="http://schemas.openxmlformats.org/officeDocument/2006/relationships/hyperlink" Target="https://drive.google.com/open?id=15VoLA9cXhCYwLfliDsrZUgpTXYeDRhC9" TargetMode="External"/><Relationship Id="rId2933" Type="http://schemas.openxmlformats.org/officeDocument/2006/relationships/hyperlink" Target="https://drive.google.com/open?id=1AipjSwALJzlDjm_YhJuwLagz0l93daGO" TargetMode="External"/><Relationship Id="rId1603" Type="http://schemas.openxmlformats.org/officeDocument/2006/relationships/hyperlink" Target="https://drive.google.com/open?id=1JgnQIGRnjJSK8EyD1XtQQocuPSqL4M0d" TargetMode="External"/><Relationship Id="rId2934" Type="http://schemas.openxmlformats.org/officeDocument/2006/relationships/hyperlink" Target="https://drive.google.com/open?id=1CXitPwF_dku1jK-_s5ZonWRrY5O5LIyy" TargetMode="External"/><Relationship Id="rId1604" Type="http://schemas.openxmlformats.org/officeDocument/2006/relationships/hyperlink" Target="https://drive.google.com/open?id=1LqtLh1pOx419l1DbX0nsxDe8UHtmfJAE" TargetMode="External"/><Relationship Id="rId2935" Type="http://schemas.openxmlformats.org/officeDocument/2006/relationships/hyperlink" Target="https://drive.google.com/open?id=1cTIGEiocdmSffFQvSADmXXo5lURmpAgT" TargetMode="External"/><Relationship Id="rId1605" Type="http://schemas.openxmlformats.org/officeDocument/2006/relationships/hyperlink" Target="http://www.linkedin.com/in/komal-bonde27" TargetMode="External"/><Relationship Id="rId2936" Type="http://schemas.openxmlformats.org/officeDocument/2006/relationships/hyperlink" Target="https://drive.google.com/open?id=14if-8ox_N-6J_KWubKy4ZL4aCSbXcuR7" TargetMode="External"/><Relationship Id="rId1606" Type="http://schemas.openxmlformats.org/officeDocument/2006/relationships/hyperlink" Target="https://preskilet.com/watch?v=62a2bca7a6956a00045ff1ba" TargetMode="External"/><Relationship Id="rId2937" Type="http://schemas.openxmlformats.org/officeDocument/2006/relationships/hyperlink" Target="https://drive.google.com/open?id=1Iw-8SbvGlfGy0p5PjNmOsXfYQaaRtdY7" TargetMode="External"/><Relationship Id="rId1607" Type="http://schemas.openxmlformats.org/officeDocument/2006/relationships/hyperlink" Target="https://drive.google.com/open?id=1IPvtnUkub81F1WlOdeB_PUby5A7wc4kx" TargetMode="External"/><Relationship Id="rId2938" Type="http://schemas.openxmlformats.org/officeDocument/2006/relationships/hyperlink" Target="https://drive.google.com/open?id=1uyZ60iWxKJA6yHrh_ZkS1Vz9whtSSnaw" TargetMode="External"/><Relationship Id="rId1608" Type="http://schemas.openxmlformats.org/officeDocument/2006/relationships/hyperlink" Target="https://drive.google.com/open?id=1IjdOq2KL-tA4skD9QvmLOFFwReX5Zoax" TargetMode="External"/><Relationship Id="rId2939" Type="http://schemas.openxmlformats.org/officeDocument/2006/relationships/hyperlink" Target="https://drive.google.com/open?id=1ZF8Ra8O892Fdl-4ErBZ_byBdzKbPiama" TargetMode="External"/><Relationship Id="rId1609" Type="http://schemas.openxmlformats.org/officeDocument/2006/relationships/hyperlink" Target="https://drive.google.com/open?id=181STrEVea-5Ktp55ZmAKmwSSIU7uY8mv" TargetMode="External"/><Relationship Id="rId1631" Type="http://schemas.openxmlformats.org/officeDocument/2006/relationships/hyperlink" Target="https://preskilet.com/watch?v=62b72f0bbbd9ee000413b818" TargetMode="External"/><Relationship Id="rId2962" Type="http://schemas.openxmlformats.org/officeDocument/2006/relationships/hyperlink" Target="https://drive.google.com/open?id=1DFr9tFpqjk2Dr5EiXXRY6eLG31xMJWJV" TargetMode="External"/><Relationship Id="rId1632" Type="http://schemas.openxmlformats.org/officeDocument/2006/relationships/hyperlink" Target="https://drive.google.com/open?id=1D5ozHYvqpkPu2aazVjm0bdqs3GRlJ8Nw" TargetMode="External"/><Relationship Id="rId2963" Type="http://schemas.openxmlformats.org/officeDocument/2006/relationships/hyperlink" Target="https://drive.google.com/open?id=1xHbuljmaQA2sBWDML4Yf1mMz4bmHluYf" TargetMode="External"/><Relationship Id="rId1633" Type="http://schemas.openxmlformats.org/officeDocument/2006/relationships/hyperlink" Target="https://drive.google.com/open?id=1AlGUVTol6ENm8GW8eKiZk0HyKkHmCgtX" TargetMode="External"/><Relationship Id="rId2964" Type="http://schemas.openxmlformats.org/officeDocument/2006/relationships/hyperlink" Target="https://drive.google.com/open?id=1PYq4xsF8XOBGAXKwPg6lGixxh6sAsquR" TargetMode="External"/><Relationship Id="rId1634" Type="http://schemas.openxmlformats.org/officeDocument/2006/relationships/hyperlink" Target="https://drive.google.com/open?id=1ywtM0Q4czcqX9Yw7vweIqAnjN8udg179" TargetMode="External"/><Relationship Id="rId2965" Type="http://schemas.openxmlformats.org/officeDocument/2006/relationships/hyperlink" Target="https://drive.google.com/open?id=1EccAo3IKp4kZxo_IOLK9a8nwE6B_-bxj" TargetMode="External"/><Relationship Id="rId1635" Type="http://schemas.openxmlformats.org/officeDocument/2006/relationships/hyperlink" Target="https://www.linkedin.com/in/a-n-150065153" TargetMode="External"/><Relationship Id="rId2966" Type="http://schemas.openxmlformats.org/officeDocument/2006/relationships/hyperlink" Target="https://drive.google.com/open?id=1J8WOSRhy_QDPA-EnGmjBQJ1ruuiLUKjD" TargetMode="External"/><Relationship Id="rId1636" Type="http://schemas.openxmlformats.org/officeDocument/2006/relationships/hyperlink" Target="https://preskilet.com/watch?v=62a31888a6956a00045ff8cf" TargetMode="External"/><Relationship Id="rId2967" Type="http://schemas.openxmlformats.org/officeDocument/2006/relationships/hyperlink" Target="https://drive.google.com/open?id=1kihYQC-De70G4jkM_qePJcPR4uzL04aA" TargetMode="External"/><Relationship Id="rId1637" Type="http://schemas.openxmlformats.org/officeDocument/2006/relationships/hyperlink" Target="https://drive.google.com/open?id=1b8ZjJt3dIOGcxnd3LaMS2_bvJxbaBwiA" TargetMode="External"/><Relationship Id="rId2968" Type="http://schemas.openxmlformats.org/officeDocument/2006/relationships/hyperlink" Target="https://www.linkedin.com/in/sumitmahajan07/" TargetMode="External"/><Relationship Id="rId1638" Type="http://schemas.openxmlformats.org/officeDocument/2006/relationships/hyperlink" Target="https://drive.google.com/open?id=1sUPWkjtKR__PeEkDIfKAiHxH_1TQfRYh" TargetMode="External"/><Relationship Id="rId2969" Type="http://schemas.openxmlformats.org/officeDocument/2006/relationships/hyperlink" Target="https://preskilet.com/watch?v=62a388c6a6956a0004600692" TargetMode="External"/><Relationship Id="rId929" Type="http://schemas.openxmlformats.org/officeDocument/2006/relationships/hyperlink" Target="https://drive.google.com/open?id=1caR1h0oGqlBLiSBZR2tIt0mWf6zNe2Po" TargetMode="External"/><Relationship Id="rId1639" Type="http://schemas.openxmlformats.org/officeDocument/2006/relationships/hyperlink" Target="https://drive.google.com/open?id=1N0SYtglX2ayAFCks5KBzrNwsxaZzfSa4" TargetMode="External"/><Relationship Id="rId928" Type="http://schemas.openxmlformats.org/officeDocument/2006/relationships/hyperlink" Target="https://drive.google.com/open?id=1pNeCXW5TeoMvRCdGEmUTUVH0cL3Y9Na8" TargetMode="External"/><Relationship Id="rId927" Type="http://schemas.openxmlformats.org/officeDocument/2006/relationships/hyperlink" Target="https://drive.google.com/open?id=1yy2v70KXKfT7dtZvWROmbpe-nUhtVupl" TargetMode="External"/><Relationship Id="rId926" Type="http://schemas.openxmlformats.org/officeDocument/2006/relationships/hyperlink" Target="https://drive.google.com/open?id=1qpDr7iwYagBmio30HZXGHya2Gm3f0BQb" TargetMode="External"/><Relationship Id="rId921" Type="http://schemas.openxmlformats.org/officeDocument/2006/relationships/hyperlink" Target="https://drive.google.com/open?id=1i5vaFIzyqwZIi_ncOuQY_G9EyqdOnWWG" TargetMode="External"/><Relationship Id="rId920" Type="http://schemas.openxmlformats.org/officeDocument/2006/relationships/hyperlink" Target="https://drive.google.com/open?id=1qB4UGgjuiqke0Qw1Hk1Xy_gh1UerWopY" TargetMode="External"/><Relationship Id="rId925" Type="http://schemas.openxmlformats.org/officeDocument/2006/relationships/hyperlink" Target="https://preskilet.com/sengarhiman@gmail.com" TargetMode="External"/><Relationship Id="rId924" Type="http://schemas.openxmlformats.org/officeDocument/2006/relationships/hyperlink" Target="https://www.linkedin.com/in/himanshu-sengar-6b78041b7/" TargetMode="External"/><Relationship Id="rId923" Type="http://schemas.openxmlformats.org/officeDocument/2006/relationships/hyperlink" Target="https://drive.google.com/open?id=1ckiwJtuiIwb8-fm8FeVAMQFlBLYsqhvV" TargetMode="External"/><Relationship Id="rId922" Type="http://schemas.openxmlformats.org/officeDocument/2006/relationships/hyperlink" Target="https://drive.google.com/open?id=1m-8MVkKULZukmMJXaev7mKkvbnUrm8Nm" TargetMode="External"/><Relationship Id="rId2960" Type="http://schemas.openxmlformats.org/officeDocument/2006/relationships/hyperlink" Target="https://www.linkedin.com/in/lalit-rajput-9a1a37215/" TargetMode="External"/><Relationship Id="rId1630" Type="http://schemas.openxmlformats.org/officeDocument/2006/relationships/hyperlink" Target="https://www.linkedin.com/in/aditya-karpe-6083761ab" TargetMode="External"/><Relationship Id="rId2961" Type="http://schemas.openxmlformats.org/officeDocument/2006/relationships/hyperlink" Target="https://preskilet.com/watch?v=62b4996330b280000452355c" TargetMode="External"/><Relationship Id="rId1620" Type="http://schemas.openxmlformats.org/officeDocument/2006/relationships/hyperlink" Target="https://www.linkedin.com/in/nandini-ghale-5b950120b" TargetMode="External"/><Relationship Id="rId2951" Type="http://schemas.openxmlformats.org/officeDocument/2006/relationships/hyperlink" Target="https://drive.google.com/open?id=1E9NfoWvzSoFel_htIryXVGGOoz_2kv7K" TargetMode="External"/><Relationship Id="rId1621" Type="http://schemas.openxmlformats.org/officeDocument/2006/relationships/hyperlink" Target="https://preskilet.com/watch?v=62a2ee75a6956a00045ff4ab" TargetMode="External"/><Relationship Id="rId2952" Type="http://schemas.openxmlformats.org/officeDocument/2006/relationships/hyperlink" Target="https://drive.google.com/open?id=1A7aMEuwHetxGV_7tW9_pLpQIlrVtXN2g" TargetMode="External"/><Relationship Id="rId1622" Type="http://schemas.openxmlformats.org/officeDocument/2006/relationships/hyperlink" Target="https://drive.google.com/open?id=1OeoWZ1ZsvyBqydiRZ85jAzhOvQsGQwjC" TargetMode="External"/><Relationship Id="rId2953" Type="http://schemas.openxmlformats.org/officeDocument/2006/relationships/hyperlink" Target="https://drive.google.com/open?id=1RjosGYuK98Dk4GnsdPPXxvApG2QnF_5I" TargetMode="External"/><Relationship Id="rId1623" Type="http://schemas.openxmlformats.org/officeDocument/2006/relationships/hyperlink" Target="https://drive.google.com/open?id=1htpkmVEtIAgWPHBfYuBH-bGdzEDYbQ8C" TargetMode="External"/><Relationship Id="rId2954" Type="http://schemas.openxmlformats.org/officeDocument/2006/relationships/hyperlink" Target="https://drive.google.com/open?id=1D7LJ8PtRgOU7OYwRT9hG61FiNrIx0m9d" TargetMode="External"/><Relationship Id="rId1624" Type="http://schemas.openxmlformats.org/officeDocument/2006/relationships/hyperlink" Target="https://drive.google.com/open?id=1XFkuL9oWOc5Vpj2fIn_9oM0Qtj4xGeVW" TargetMode="External"/><Relationship Id="rId2955" Type="http://schemas.openxmlformats.org/officeDocument/2006/relationships/hyperlink" Target="https://drive.google.com/open?id=1qCuIf7dZDcWofrqV-J3CJnsfiTAo9Qub" TargetMode="External"/><Relationship Id="rId1625" Type="http://schemas.openxmlformats.org/officeDocument/2006/relationships/hyperlink" Target="https://drive.google.com/open?id=1yySsvnGdO1-CIFHzhx-Gz_uDVxK6YqtW" TargetMode="External"/><Relationship Id="rId2956" Type="http://schemas.openxmlformats.org/officeDocument/2006/relationships/hyperlink" Target="https://drive.google.com/open?id=1GIOTMPcuhLoAGGbZJk04BBz0ZbEteiiH" TargetMode="External"/><Relationship Id="rId1626" Type="http://schemas.openxmlformats.org/officeDocument/2006/relationships/hyperlink" Target="https://drive.google.com/open?id=1UE-6N_0oZqQGEAOlsVH0Ctoainvl2_de" TargetMode="External"/><Relationship Id="rId2957" Type="http://schemas.openxmlformats.org/officeDocument/2006/relationships/hyperlink" Target="https://drive.google.com/open?id=1NYW6npOhGXwQDgwtk5VgB5NOJsc4NFRK" TargetMode="External"/><Relationship Id="rId1627" Type="http://schemas.openxmlformats.org/officeDocument/2006/relationships/hyperlink" Target="https://drive.google.com/open?id=1-81OG4iYbsMTHl3oPLn5NmCPmI_owJdC" TargetMode="External"/><Relationship Id="rId2958" Type="http://schemas.openxmlformats.org/officeDocument/2006/relationships/hyperlink" Target="https://drive.google.com/open?id=1X7jhXFjE8eUoV0VQDhSFbQSkd9dpwEes" TargetMode="External"/><Relationship Id="rId918" Type="http://schemas.openxmlformats.org/officeDocument/2006/relationships/hyperlink" Target="https://drive.google.com/open?id=1H3qJEszRhVgbWKvCWBGdwtuV-WNg-SAU" TargetMode="External"/><Relationship Id="rId1628" Type="http://schemas.openxmlformats.org/officeDocument/2006/relationships/hyperlink" Target="https://drive.google.com/open?id=1WYzwkLFqXV1qaREn2cbfX9F6tKsEmnUj" TargetMode="External"/><Relationship Id="rId2959" Type="http://schemas.openxmlformats.org/officeDocument/2006/relationships/hyperlink" Target="https://drive.google.com/open?id=1BKGKF995y2d9UxzY_IFg7TArDEfBWd84" TargetMode="External"/><Relationship Id="rId917" Type="http://schemas.openxmlformats.org/officeDocument/2006/relationships/hyperlink" Target="https://preskilet.com/watch?v=62b413d330b2800004522fc5" TargetMode="External"/><Relationship Id="rId1629" Type="http://schemas.openxmlformats.org/officeDocument/2006/relationships/hyperlink" Target="https://drive.google.com/open?id=1-8OZMjXVCx5xSFl-pD_9NWOWbmWCTBJ5" TargetMode="External"/><Relationship Id="rId916" Type="http://schemas.openxmlformats.org/officeDocument/2006/relationships/hyperlink" Target="https://www.linkedin.com/in/siddharth-kanikdale-35451a1ab/" TargetMode="External"/><Relationship Id="rId915" Type="http://schemas.openxmlformats.org/officeDocument/2006/relationships/hyperlink" Target="https://drive.google.com/open?id=1i-KzmQg1ipuBSGKjezDSO0eVSV4xH65g" TargetMode="External"/><Relationship Id="rId919" Type="http://schemas.openxmlformats.org/officeDocument/2006/relationships/hyperlink" Target="https://drive.google.com/open?id=1thacrqmdrLeApZnMNWVlIzanGoQWQe0S" TargetMode="External"/><Relationship Id="rId910" Type="http://schemas.openxmlformats.org/officeDocument/2006/relationships/hyperlink" Target="https://drive.google.com/open?id=11fD-hinUdI5C0vBGQuPKlUhwUuKhHy3Q" TargetMode="External"/><Relationship Id="rId914" Type="http://schemas.openxmlformats.org/officeDocument/2006/relationships/hyperlink" Target="https://drive.google.com/open?id=13-ljAqCzIFHV_3rERAFasO53scoZR9cX" TargetMode="External"/><Relationship Id="rId913" Type="http://schemas.openxmlformats.org/officeDocument/2006/relationships/hyperlink" Target="https://drive.google.com/open?id=1g0YNN8mgDRX3Unq5UhKTE9qoFsTjoyjQ" TargetMode="External"/><Relationship Id="rId912" Type="http://schemas.openxmlformats.org/officeDocument/2006/relationships/hyperlink" Target="https://drive.google.com/open?id=1JT4o5niawvuVkm3ENnicaikx7pgm3ZPN" TargetMode="External"/><Relationship Id="rId911" Type="http://schemas.openxmlformats.org/officeDocument/2006/relationships/hyperlink" Target="https://drive.google.com/open?id=1qwdYvhbzYTHOuvo4SEavf-_p_Rfm_6qm" TargetMode="External"/><Relationship Id="rId2950" Type="http://schemas.openxmlformats.org/officeDocument/2006/relationships/hyperlink" Target="https://drive.google.com/open?id=1bk5CM-ymGz1HqCpHnYcU2ikIkdRml933" TargetMode="External"/><Relationship Id="rId2900" Type="http://schemas.openxmlformats.org/officeDocument/2006/relationships/hyperlink" Target="http://linkedin.com/in/mrinalkasture" TargetMode="External"/><Relationship Id="rId2901" Type="http://schemas.openxmlformats.org/officeDocument/2006/relationships/hyperlink" Target="https://preskilet.com/makasture@mitaoe.ac.in" TargetMode="External"/><Relationship Id="rId2902" Type="http://schemas.openxmlformats.org/officeDocument/2006/relationships/hyperlink" Target="https://drive.google.com/open?id=1QttboXdKpfI1oGR9k0edn5r216nR2Ko4" TargetMode="External"/><Relationship Id="rId2903" Type="http://schemas.openxmlformats.org/officeDocument/2006/relationships/hyperlink" Target="https://drive.google.com/open?id=16v8G0KLOMMXN7p3zoHAn9H1jrE6Zt60v" TargetMode="External"/><Relationship Id="rId2904" Type="http://schemas.openxmlformats.org/officeDocument/2006/relationships/hyperlink" Target="https://drive.google.com/open?id=1KhPRRy9VZEjj3C4WTHjP9Hj5xdYtDd-h" TargetMode="External"/><Relationship Id="rId2905" Type="http://schemas.openxmlformats.org/officeDocument/2006/relationships/hyperlink" Target="https://drive.google.com/open?id=1DtGK5W1GymVZpR0JA4nspa16nAsacuSf" TargetMode="External"/><Relationship Id="rId2906" Type="http://schemas.openxmlformats.org/officeDocument/2006/relationships/hyperlink" Target="https://drive.google.com/open?id=19TugCckHAzICt9TQ8xA4V6Mdhra2Udzv" TargetMode="External"/><Relationship Id="rId2907" Type="http://schemas.openxmlformats.org/officeDocument/2006/relationships/hyperlink" Target="https://drive.google.com/open?id=1TbJXafP8E-9lxmzsgVYelp3u228hEIjb" TargetMode="External"/><Relationship Id="rId2908" Type="http://schemas.openxmlformats.org/officeDocument/2006/relationships/hyperlink" Target="https://drive.google.com/open?id=1_ZSZeaEuSMzDulSy5Q-7L828uLKodi19" TargetMode="External"/><Relationship Id="rId2909" Type="http://schemas.openxmlformats.org/officeDocument/2006/relationships/hyperlink" Target="https://drive.google.com/open?id=1ZWVFj6Xi3hWIN7CEpgu5PFeWNBOdfcGU" TargetMode="External"/><Relationship Id="rId5170" Type="http://schemas.openxmlformats.org/officeDocument/2006/relationships/hyperlink" Target="https://www.linkedin.com/in/tharunyha-senthilkumar-63047521b" TargetMode="External"/><Relationship Id="rId5171" Type="http://schemas.openxmlformats.org/officeDocument/2006/relationships/hyperlink" Target="https://drive.google.com/file/d/1_qILz7HESW_dkVkdWVspXkEImsj6vXtg/view?usp=drivesdk" TargetMode="External"/><Relationship Id="rId5174" Type="http://schemas.openxmlformats.org/officeDocument/2006/relationships/hyperlink" Target="https://drive.google.com/open?id=18R9hC_hqKKqXy0AHGAdCDzfCoZf_ADDO" TargetMode="External"/><Relationship Id="rId5175" Type="http://schemas.openxmlformats.org/officeDocument/2006/relationships/hyperlink" Target="https://drive.google.com/open?id=1zA3jiKlqTt5r_zZV8ukyK47GxwVrXuxl" TargetMode="External"/><Relationship Id="rId5172" Type="http://schemas.openxmlformats.org/officeDocument/2006/relationships/hyperlink" Target="https://drive.google.com/open?id=1XIuNq-rXYqTKOsiLjPc32ngjUs2DQ-JX" TargetMode="External"/><Relationship Id="rId5173" Type="http://schemas.openxmlformats.org/officeDocument/2006/relationships/hyperlink" Target="https://drive.google.com/open?id=1m7B4RHbYhayqS7eZsQZhSF03Cwqp-vjx" TargetMode="External"/><Relationship Id="rId5178" Type="http://schemas.openxmlformats.org/officeDocument/2006/relationships/hyperlink" Target="https://drive.com" TargetMode="External"/><Relationship Id="rId5179" Type="http://schemas.openxmlformats.org/officeDocument/2006/relationships/hyperlink" Target="https://drive.google.com/open?id=1sYrllkf3J2uH8ovHk_LXJuNQgQle4Es8" TargetMode="External"/><Relationship Id="rId5176" Type="http://schemas.openxmlformats.org/officeDocument/2006/relationships/hyperlink" Target="https://drive.google.com/open?id=1YgpqnTlpnkcs5hsPES2jmT-ipOB6ITuG" TargetMode="External"/><Relationship Id="rId5177" Type="http://schemas.openxmlformats.org/officeDocument/2006/relationships/hyperlink" Target="https://drive.google.com/open?id=18DrFOwm8vtlRPKn5cJBZwiLPeGlq0Ter" TargetMode="External"/><Relationship Id="rId5160" Type="http://schemas.openxmlformats.org/officeDocument/2006/relationships/hyperlink" Target="https://drive.google.com/open?id=1x_335KhsJpzP-dJ2O7QnK4kBMjjWiDuF" TargetMode="External"/><Relationship Id="rId5163" Type="http://schemas.openxmlformats.org/officeDocument/2006/relationships/hyperlink" Target="https://drive.google.com/open?id=1NOcJZlTBRGKI4rYFiXvKPkgIT7vFAGzC" TargetMode="External"/><Relationship Id="rId5164" Type="http://schemas.openxmlformats.org/officeDocument/2006/relationships/hyperlink" Target="https://drive.google.com/open?id=1tRykl4esGfmJwS7ScWpAY6I2WMWldFja" TargetMode="External"/><Relationship Id="rId5161" Type="http://schemas.openxmlformats.org/officeDocument/2006/relationships/hyperlink" Target="https://www.linkedin.com/in/sejal-abrol-787516212" TargetMode="External"/><Relationship Id="rId5162" Type="http://schemas.openxmlformats.org/officeDocument/2006/relationships/hyperlink" Target="https://preskilet.com/watch?v=62a37d72a6956a0004600451" TargetMode="External"/><Relationship Id="rId5167" Type="http://schemas.openxmlformats.org/officeDocument/2006/relationships/hyperlink" Target="https://drive.google.com/file/d/1zMhZkRNBaru06UIK_VSxL3X7SQvRwahf/view?usp=drivesdk" TargetMode="External"/><Relationship Id="rId5168" Type="http://schemas.openxmlformats.org/officeDocument/2006/relationships/hyperlink" Target="https://drive.google.com/open?id=1NoiYjYLmZSLFud1aZ0YQC7RVuGvQ2cpF" TargetMode="External"/><Relationship Id="rId5165" Type="http://schemas.openxmlformats.org/officeDocument/2006/relationships/hyperlink" Target="https://drive.google.com/open?id=1QcLVSuGSVnefIaNGwqv9tSTAorqCNVMp" TargetMode="External"/><Relationship Id="rId5166" Type="http://schemas.openxmlformats.org/officeDocument/2006/relationships/hyperlink" Target="http://www.linkedin.com/in/anushka-pawar-595858241" TargetMode="External"/><Relationship Id="rId5169" Type="http://schemas.openxmlformats.org/officeDocument/2006/relationships/hyperlink" Target="https://drive.google.com/open?id=12cY2Ct6Er_eQ8HfxIL8IvFCrDZDCN0bV" TargetMode="External"/><Relationship Id="rId2920" Type="http://schemas.openxmlformats.org/officeDocument/2006/relationships/hyperlink" Target="http://linkedin.com/in/shubham-kotgire-417b35213" TargetMode="External"/><Relationship Id="rId2921" Type="http://schemas.openxmlformats.org/officeDocument/2006/relationships/hyperlink" Target="https://preskilet.com/watch?v=62a2f967a6956a00045ff58c" TargetMode="External"/><Relationship Id="rId2922" Type="http://schemas.openxmlformats.org/officeDocument/2006/relationships/hyperlink" Target="https://drive.google.com/open?id=1sxkxVaP-V_kX5QULJWa0d6OT0ACbIoZ-" TargetMode="External"/><Relationship Id="rId2923" Type="http://schemas.openxmlformats.org/officeDocument/2006/relationships/hyperlink" Target="https://drive.google.com/open?id=1aF6_F8Q-TBl8h78sTZf3Ur6LzYD6x949" TargetMode="External"/><Relationship Id="rId2924" Type="http://schemas.openxmlformats.org/officeDocument/2006/relationships/hyperlink" Target="https://drive.google.com/open?id=1aACIeyDnEfEcGB7MRrnX0NoA3qq8uSBQ" TargetMode="External"/><Relationship Id="rId2925" Type="http://schemas.openxmlformats.org/officeDocument/2006/relationships/hyperlink" Target="https://drive.google.com/open?id=1hr89BGGvfo3kBGhTn4uBsZx8xNN8Uz28" TargetMode="External"/><Relationship Id="rId2926" Type="http://schemas.openxmlformats.org/officeDocument/2006/relationships/hyperlink" Target="https://drive.google.com/open?id=1JF1848-guawJN019vpT897USrnH__p0g" TargetMode="External"/><Relationship Id="rId2927" Type="http://schemas.openxmlformats.org/officeDocument/2006/relationships/hyperlink" Target="https://drive.google.com/open?id=1Bf8Ow0x54FFw6E5V8Srr7E_wJYXi0RmL" TargetMode="External"/><Relationship Id="rId2928" Type="http://schemas.openxmlformats.org/officeDocument/2006/relationships/hyperlink" Target="https://drive.google.com/open?id=1Eco7VzVVehUdmmJn8KlHss_QttUN4wEa" TargetMode="External"/><Relationship Id="rId2929" Type="http://schemas.openxmlformats.org/officeDocument/2006/relationships/hyperlink" Target="https://drive.google.com/open?id=1-DQrUNRudmSY2cLQ7dkjsXjHQnbXf1rn" TargetMode="External"/><Relationship Id="rId5192" Type="http://schemas.openxmlformats.org/officeDocument/2006/relationships/hyperlink" Target="https://www.linkedin.com/in/chetan-balraje-30a84b241" TargetMode="External"/><Relationship Id="rId5193" Type="http://schemas.openxmlformats.org/officeDocument/2006/relationships/hyperlink" Target="https://drive.google.com/file/d/1vIzKNN5Zu_fn45ddlVwxHEJ_HdBXTaQZ/view?usp=drivesdk" TargetMode="External"/><Relationship Id="rId5190" Type="http://schemas.openxmlformats.org/officeDocument/2006/relationships/hyperlink" Target="https://drive.google.com/open?id=1vcl3KVUn3lJRke0A0W6rgNSjIoQ1EOJG" TargetMode="External"/><Relationship Id="rId5191" Type="http://schemas.openxmlformats.org/officeDocument/2006/relationships/hyperlink" Target="https://drive.google.com/open?id=163tp_24PTryT-nG41hILImh-aocn0Nju" TargetMode="External"/><Relationship Id="rId5196" Type="http://schemas.openxmlformats.org/officeDocument/2006/relationships/hyperlink" Target="https://www.linkedin.com/in/aniket-aradwad-b8b220232" TargetMode="External"/><Relationship Id="rId5197" Type="http://schemas.openxmlformats.org/officeDocument/2006/relationships/hyperlink" Target="https://preskilet.com/watch?v=62a381dfa6956a0004600521" TargetMode="External"/><Relationship Id="rId5194" Type="http://schemas.openxmlformats.org/officeDocument/2006/relationships/hyperlink" Target="https://drive.google.com/open?id=1kYmwhyY7i5BqH18zHFeUAWMn3IimNcFs" TargetMode="External"/><Relationship Id="rId5195" Type="http://schemas.openxmlformats.org/officeDocument/2006/relationships/hyperlink" Target="https://drive.google.com/open?id=1b1XvziSEkj6tP-4FnM67vzwHIv8KV5ur" TargetMode="External"/><Relationship Id="rId5198" Type="http://schemas.openxmlformats.org/officeDocument/2006/relationships/hyperlink" Target="https://drive.google.com/open?id=1wrPx8oZkcH0WJrz2VrffK6Bg6sAQ8Sfw" TargetMode="External"/><Relationship Id="rId5199" Type="http://schemas.openxmlformats.org/officeDocument/2006/relationships/hyperlink" Target="https://drive.google.com/open?id=1wslgzvwp63yuRcEOhW3gtnuoCr2z4Wo9" TargetMode="External"/><Relationship Id="rId2910" Type="http://schemas.openxmlformats.org/officeDocument/2006/relationships/hyperlink" Target="https://drive.google.com/open?id=1Ds7Td4ryk-J0h7Fd8f17voYjnFU54KBx" TargetMode="External"/><Relationship Id="rId2911" Type="http://schemas.openxmlformats.org/officeDocument/2006/relationships/hyperlink" Target="https://drive.google.com/open?id=16GYMe_4S95t2ULTFWTuwGYcL4Eys-Htz" TargetMode="External"/><Relationship Id="rId2912" Type="http://schemas.openxmlformats.org/officeDocument/2006/relationships/hyperlink" Target="https://drive.google.com/open?id=1MTaqj3GjXowLpWA-HyIOJL8Bk0oT_aTm" TargetMode="External"/><Relationship Id="rId2913" Type="http://schemas.openxmlformats.org/officeDocument/2006/relationships/hyperlink" Target="https://www.linkedin.com/in/asmita-pawar/" TargetMode="External"/><Relationship Id="rId2914" Type="http://schemas.openxmlformats.org/officeDocument/2006/relationships/hyperlink" Target="https://preskilet.com/watch?v=62950d1cc30eeb0004ba3f8c" TargetMode="External"/><Relationship Id="rId2915" Type="http://schemas.openxmlformats.org/officeDocument/2006/relationships/hyperlink" Target="https://drive.google.com/open?id=1pThZShdAIcrcZj4mCyJ-dcsI1jqTjkUf" TargetMode="External"/><Relationship Id="rId2916" Type="http://schemas.openxmlformats.org/officeDocument/2006/relationships/hyperlink" Target="https://drive.google.com/open?id=1b3avxbnPNwzoE4ZyxFuBkPaJqek8Rwni" TargetMode="External"/><Relationship Id="rId2917" Type="http://schemas.openxmlformats.org/officeDocument/2006/relationships/hyperlink" Target="https://drive.google.com/open?id=1aUmgXImbLImpHQNJkftKI7YEZiphsbp_" TargetMode="External"/><Relationship Id="rId2918" Type="http://schemas.openxmlformats.org/officeDocument/2006/relationships/hyperlink" Target="https://drive.google.com/open?id=1mGcekqS8nsypD269JdGDjRaj57F6zK0Z" TargetMode="External"/><Relationship Id="rId2919" Type="http://schemas.openxmlformats.org/officeDocument/2006/relationships/hyperlink" Target="https://drive.google.com/open?id=1_UyBVtJtX8urQeCX35QZOsipNsQJNA5D" TargetMode="External"/><Relationship Id="rId5181" Type="http://schemas.openxmlformats.org/officeDocument/2006/relationships/hyperlink" Target="https://www.linkedin.com/in/shraddha-shinde-592794214" TargetMode="External"/><Relationship Id="rId5182" Type="http://schemas.openxmlformats.org/officeDocument/2006/relationships/hyperlink" Target="https://drive.google.com/drive/folders/1isewKcjtKma95brK5MNPQ8VGyHu96gXe?usp=sharing" TargetMode="External"/><Relationship Id="rId5180" Type="http://schemas.openxmlformats.org/officeDocument/2006/relationships/hyperlink" Target="https://drive.google.com/open?id=1LdOHIj3CaeNE8PAiz_GONF8VxeoifaHq" TargetMode="External"/><Relationship Id="rId5185" Type="http://schemas.openxmlformats.org/officeDocument/2006/relationships/hyperlink" Target="https://drive.google.com/open?id=1tUNSY4LttG07G5E87CbiIYKl-KchXDSn" TargetMode="External"/><Relationship Id="rId5186" Type="http://schemas.openxmlformats.org/officeDocument/2006/relationships/hyperlink" Target="https://drive.google.com/open?id=1Md7WhhMsyFiK5lCEE8fDiIELozz0lP0z" TargetMode="External"/><Relationship Id="rId5183" Type="http://schemas.openxmlformats.org/officeDocument/2006/relationships/hyperlink" Target="https://drive.google.com/open?id=1HB_sbIQm6zQaYE69c7EERmAFSZnnyq05" TargetMode="External"/><Relationship Id="rId5184" Type="http://schemas.openxmlformats.org/officeDocument/2006/relationships/hyperlink" Target="https://drive.google.com/open?id=1ktrZjfRzIpQL44E60L0cHVp-LFEs3Rdm" TargetMode="External"/><Relationship Id="rId5189" Type="http://schemas.openxmlformats.org/officeDocument/2006/relationships/hyperlink" Target="https://drive.google.com/file/d/1zBisUNQTTi4ZWuX7NYTwEiLyfjbLFqlZ/view?usp=sharing" TargetMode="External"/><Relationship Id="rId5187" Type="http://schemas.openxmlformats.org/officeDocument/2006/relationships/hyperlink" Target="https://drive.google.com/open?id=1rNrxL2U-z-Fu9V1Eq14C3KSCXidkDGlb" TargetMode="External"/><Relationship Id="rId5188" Type="http://schemas.openxmlformats.org/officeDocument/2006/relationships/hyperlink" Target="https://www.linkedin.com/in/shrikant-deshmukh-4834ba22b" TargetMode="External"/><Relationship Id="rId1697" Type="http://schemas.openxmlformats.org/officeDocument/2006/relationships/hyperlink" Target="https://drive.google.com/open?id=1qr52TGrhWSxyfmSMocYVvoGKoRBiOWGr" TargetMode="External"/><Relationship Id="rId4723" Type="http://schemas.openxmlformats.org/officeDocument/2006/relationships/hyperlink" Target="https://www.linkedin.com/in/haridas-bhidave-298962243" TargetMode="External"/><Relationship Id="rId1698" Type="http://schemas.openxmlformats.org/officeDocument/2006/relationships/hyperlink" Target="https://drive.google.com/open?id=1uZ6ml3PyMY-XsKYQSWocHndh3vKW0YwG" TargetMode="External"/><Relationship Id="rId4722" Type="http://schemas.openxmlformats.org/officeDocument/2006/relationships/hyperlink" Target="https://drive.google.com/open?id=1ucmHTrM5sFsYun8ht9_CEL0xI-qpjvnj" TargetMode="External"/><Relationship Id="rId1699" Type="http://schemas.openxmlformats.org/officeDocument/2006/relationships/hyperlink" Target="https://drive.google.com/open?id=1Bc-PJSy2HhD4Ol0Rl4ObSCbUC0Bjpmi7" TargetMode="External"/><Relationship Id="rId4725" Type="http://schemas.openxmlformats.org/officeDocument/2006/relationships/hyperlink" Target="https://drive.google.com/open?id=1tqyA0TAFbqa8zyrFyv8geMEuqCymWzeN" TargetMode="External"/><Relationship Id="rId4724" Type="http://schemas.openxmlformats.org/officeDocument/2006/relationships/hyperlink" Target="https://preskilet.com/hsbhidave@mitaoe.ac.in" TargetMode="External"/><Relationship Id="rId4727" Type="http://schemas.openxmlformats.org/officeDocument/2006/relationships/hyperlink" Target="https://drive.google.com/open?id=1YdruRPex7mtfc_Yn-ALhQW1ksFlIH99_" TargetMode="External"/><Relationship Id="rId4726" Type="http://schemas.openxmlformats.org/officeDocument/2006/relationships/hyperlink" Target="https://drive.google.com/open?id=1jejWBL83kRFQaWkOD4BgMwlocQBe1JmR" TargetMode="External"/><Relationship Id="rId4729" Type="http://schemas.openxmlformats.org/officeDocument/2006/relationships/hyperlink" Target="http://www.linkedin.com/in/shreyash-sarve-21b88623b" TargetMode="External"/><Relationship Id="rId4728" Type="http://schemas.openxmlformats.org/officeDocument/2006/relationships/hyperlink" Target="https://drive.google.com/open?id=1B1gksW3KzxHEsUOBEnhHpXPQ18lE8hpt" TargetMode="External"/><Relationship Id="rId866" Type="http://schemas.openxmlformats.org/officeDocument/2006/relationships/hyperlink" Target="https://drive.google.com/open?id=1Df3FL0DhWj7HfUoOtTneWd01kBX9cDxc" TargetMode="External"/><Relationship Id="rId865" Type="http://schemas.openxmlformats.org/officeDocument/2006/relationships/hyperlink" Target="https://preskilet.com/watch?v=62beb6e52c9a6200041e125e" TargetMode="External"/><Relationship Id="rId864" Type="http://schemas.openxmlformats.org/officeDocument/2006/relationships/hyperlink" Target="http://linkedin.com/in/siddhi-n-160772212" TargetMode="External"/><Relationship Id="rId863" Type="http://schemas.openxmlformats.org/officeDocument/2006/relationships/hyperlink" Target="https://drive.google.com/open?id=1BS6y5AJ_zQ0LC633t1GdX_aO8XGHDjik" TargetMode="External"/><Relationship Id="rId869" Type="http://schemas.openxmlformats.org/officeDocument/2006/relationships/hyperlink" Target="https://drive.google.com/open?id=1w65UQQUqCQ9WxwHGG8wnILDKLEYu6fpy" TargetMode="External"/><Relationship Id="rId868" Type="http://schemas.openxmlformats.org/officeDocument/2006/relationships/hyperlink" Target="https://drive.google.com/open?id=1VFCiI4C85mdOaMiUYmy2nUt-h9zBzxWD" TargetMode="External"/><Relationship Id="rId867" Type="http://schemas.openxmlformats.org/officeDocument/2006/relationships/hyperlink" Target="https://drive.google.com/open?id=1OxWRJrVK2tSxbU6901QON2rygfZOEkEJ" TargetMode="External"/><Relationship Id="rId1690" Type="http://schemas.openxmlformats.org/officeDocument/2006/relationships/hyperlink" Target="https://drive.google.com/open?id=1JhsGexIdAR-oWWwGgQ2XSZvOM4nZuonB" TargetMode="External"/><Relationship Id="rId1691" Type="http://schemas.openxmlformats.org/officeDocument/2006/relationships/hyperlink" Target="https://drive.google.com/open?id=1uuHaTGq6EcH2G_P9H0wuh0sdIb3DrMkx" TargetMode="External"/><Relationship Id="rId1692" Type="http://schemas.openxmlformats.org/officeDocument/2006/relationships/hyperlink" Target="https://drive.google.com/open?id=1IZD29ARlxY4XJ4NUSam8f75bBV6rXdaS" TargetMode="External"/><Relationship Id="rId862" Type="http://schemas.openxmlformats.org/officeDocument/2006/relationships/hyperlink" Target="https://drive.google.com/open?id=146k29SSjIbG0xsppeHj4S6VHsBIHYT6a" TargetMode="External"/><Relationship Id="rId1693" Type="http://schemas.openxmlformats.org/officeDocument/2006/relationships/hyperlink" Target="https://drive.google.com/open?id=1prA1yGUwH2m8ex2cbLP7p5h4Fv8T-oZQ" TargetMode="External"/><Relationship Id="rId861" Type="http://schemas.openxmlformats.org/officeDocument/2006/relationships/hyperlink" Target="https://drive.google.com/open?id=1w91CMB-ZWB95Lll-BYGYO8NUGa5m6D1q" TargetMode="External"/><Relationship Id="rId1694" Type="http://schemas.openxmlformats.org/officeDocument/2006/relationships/hyperlink" Target="https://www.linkedin.com/in/prajwal-chobitkar/" TargetMode="External"/><Relationship Id="rId860" Type="http://schemas.openxmlformats.org/officeDocument/2006/relationships/hyperlink" Target="https://drive.google.com/open?id=1pyc99yas5rLrR1BhUvTB993lMOY0EIka" TargetMode="External"/><Relationship Id="rId1695" Type="http://schemas.openxmlformats.org/officeDocument/2006/relationships/hyperlink" Target="https://preskilet.com/watch?v=62b34041cd590700045fb65e" TargetMode="External"/><Relationship Id="rId4721" Type="http://schemas.openxmlformats.org/officeDocument/2006/relationships/hyperlink" Target="https://drive.google.com/open?id=1Fk-7K40on7h-wvhtoWbHV1yJP70h5rOn" TargetMode="External"/><Relationship Id="rId1696" Type="http://schemas.openxmlformats.org/officeDocument/2006/relationships/hyperlink" Target="https://drive.google.com/open?id=1jQBtxmJUtNgxSZM1OJE42tGUt3-wiHOF" TargetMode="External"/><Relationship Id="rId4720" Type="http://schemas.openxmlformats.org/officeDocument/2006/relationships/hyperlink" Target="https://drive.google.com/open?id=15IjosFqeUPI7gfhO4KTA7UNjCVbrBP7i" TargetMode="External"/><Relationship Id="rId1686" Type="http://schemas.openxmlformats.org/officeDocument/2006/relationships/hyperlink" Target="https://drive.google.com/open?id=1-Wmt5ktmOqxVXduFEAV7A63irfqJpeZb" TargetMode="External"/><Relationship Id="rId4712" Type="http://schemas.openxmlformats.org/officeDocument/2006/relationships/hyperlink" Target="https://drive.google.com/open?id=1NObcPb3vD6EZMDbnBW3-D1yH_sYi-Mhl" TargetMode="External"/><Relationship Id="rId1687" Type="http://schemas.openxmlformats.org/officeDocument/2006/relationships/hyperlink" Target="https://www.linkedin.com/in/utkarsha-gawade-867653177/" TargetMode="External"/><Relationship Id="rId4711" Type="http://schemas.openxmlformats.org/officeDocument/2006/relationships/hyperlink" Target="https://drive.google.com/open?id=1vyse4FD06sSiN5RPFcd4W42R6haMtMj0" TargetMode="External"/><Relationship Id="rId1688" Type="http://schemas.openxmlformats.org/officeDocument/2006/relationships/hyperlink" Target="https://preskilet.com/utkarsha.gawade@mitaoe.ac.in" TargetMode="External"/><Relationship Id="rId4714" Type="http://schemas.openxmlformats.org/officeDocument/2006/relationships/hyperlink" Target="https://drive.google.com/open?id=12CRN0AKm_XLV-qWcI-646jvVHad1t8u8" TargetMode="External"/><Relationship Id="rId1689" Type="http://schemas.openxmlformats.org/officeDocument/2006/relationships/hyperlink" Target="https://drive.google.com/open?id=1bSsiXTPJrUgBWZBZmnW0NIB2YOKlTZ0W" TargetMode="External"/><Relationship Id="rId4713" Type="http://schemas.openxmlformats.org/officeDocument/2006/relationships/hyperlink" Target="https://drive.google.com/open?id=1C9JE3DB6nU2MIF9BcXJgVxQu7BIL8Szk" TargetMode="External"/><Relationship Id="rId4716" Type="http://schemas.openxmlformats.org/officeDocument/2006/relationships/hyperlink" Target="https://drive.google.com/open?id=11UYjR_3lPg5Hwsc4oYwGJIPnMqjpM8fr" TargetMode="External"/><Relationship Id="rId4715" Type="http://schemas.openxmlformats.org/officeDocument/2006/relationships/hyperlink" Target="https://drive.google.com/open?id=1tUpxGPXQJuhU6xM3FyvzCR56xiGmG9Zx" TargetMode="External"/><Relationship Id="rId4718" Type="http://schemas.openxmlformats.org/officeDocument/2006/relationships/hyperlink" Target="https://preskilet.com/62a0b8d6aa7dd1000485aa39" TargetMode="External"/><Relationship Id="rId4717" Type="http://schemas.openxmlformats.org/officeDocument/2006/relationships/hyperlink" Target="https://www.linkedin.com/in/pranali-bhujbal-053022243" TargetMode="External"/><Relationship Id="rId4719" Type="http://schemas.openxmlformats.org/officeDocument/2006/relationships/hyperlink" Target="https://drive.google.com/open?id=1qYbOD17rKvRrSfXaM_QTDPbpAeKsw6Tp" TargetMode="External"/><Relationship Id="rId855" Type="http://schemas.openxmlformats.org/officeDocument/2006/relationships/hyperlink" Target="https://drive.google.com/open?id=1vOAEb-RPf2x3yZaBnr3mRKpdvARMELO4" TargetMode="External"/><Relationship Id="rId854" Type="http://schemas.openxmlformats.org/officeDocument/2006/relationships/hyperlink" Target="https://drive.google.com/open?id=1hFTysDikwPljBr9_ZVLRKkl4wwrgTKCR" TargetMode="External"/><Relationship Id="rId853" Type="http://schemas.openxmlformats.org/officeDocument/2006/relationships/hyperlink" Target="https://drive.google.com/open?id=1oTWR1JfIMV6E1Fn17zxeBzkNky2VLfXh" TargetMode="External"/><Relationship Id="rId852" Type="http://schemas.openxmlformats.org/officeDocument/2006/relationships/hyperlink" Target="https://drive.google.com/open?id=1NJtS4eebgDcW6ET-qhYM3P9cNcZrFQR_" TargetMode="External"/><Relationship Id="rId859" Type="http://schemas.openxmlformats.org/officeDocument/2006/relationships/hyperlink" Target="https://drive.google.com/open?id=1pU_IXiZ4gxptqaYnBDX2O_hzEusi-YBQ" TargetMode="External"/><Relationship Id="rId858" Type="http://schemas.openxmlformats.org/officeDocument/2006/relationships/hyperlink" Target="https://drive.google.com/open?id=1ZFTpHfghigkYvKz-TtqWvr8R-j6wfJt4" TargetMode="External"/><Relationship Id="rId857" Type="http://schemas.openxmlformats.org/officeDocument/2006/relationships/hyperlink" Target="https://preskilet.com/watch?v=62b2cec0cd590700045fb374" TargetMode="External"/><Relationship Id="rId856" Type="http://schemas.openxmlformats.org/officeDocument/2006/relationships/hyperlink" Target="https://www.linkedin.com/in/tanmay-joshi-4720541ba/" TargetMode="External"/><Relationship Id="rId1680" Type="http://schemas.openxmlformats.org/officeDocument/2006/relationships/hyperlink" Target="https://preskilet.com/watch?v=62bde7ec9535010004fd2c33" TargetMode="External"/><Relationship Id="rId1681" Type="http://schemas.openxmlformats.org/officeDocument/2006/relationships/hyperlink" Target="https://drive.google.com/open?id=1wGUlENBlSeNX8_KIR0MwEJjtdcPjN399" TargetMode="External"/><Relationship Id="rId851" Type="http://schemas.openxmlformats.org/officeDocument/2006/relationships/hyperlink" Target="https://drive.google.com/open?id=1QgESXqggKWeszR1-fJAYrGcbfY0gaJI_" TargetMode="External"/><Relationship Id="rId1682" Type="http://schemas.openxmlformats.org/officeDocument/2006/relationships/hyperlink" Target="https://drive.google.com/open?id=1tfFBCdaTRSTEOs7mJAVso4cXD_yiMdDG" TargetMode="External"/><Relationship Id="rId850" Type="http://schemas.openxmlformats.org/officeDocument/2006/relationships/hyperlink" Target="https://drive.google.com/open?id=14Y_xABcobDT4ElfPTdcF6AxYMw09ETS_" TargetMode="External"/><Relationship Id="rId1683" Type="http://schemas.openxmlformats.org/officeDocument/2006/relationships/hyperlink" Target="https://drive.google.com/open?id=1em2MfdXysztNQR6_LCUbHj1Yq6_s0hTI" TargetMode="External"/><Relationship Id="rId1684" Type="http://schemas.openxmlformats.org/officeDocument/2006/relationships/hyperlink" Target="https://drive.google.com/open?id=1Yi8R-p0BxqEu9T9NwcLeIpBIsy3TkBhR" TargetMode="External"/><Relationship Id="rId4710" Type="http://schemas.openxmlformats.org/officeDocument/2006/relationships/hyperlink" Target="https://preskilet.com/watch?v=62b53c36af4f2700045cd9a1" TargetMode="External"/><Relationship Id="rId1685" Type="http://schemas.openxmlformats.org/officeDocument/2006/relationships/hyperlink" Target="https://drive.google.com/open?id=11KP5VURF1rNqbGr8m1nRtRckonrqL40K" TargetMode="External"/><Relationship Id="rId3414" Type="http://schemas.openxmlformats.org/officeDocument/2006/relationships/hyperlink" Target="https://drive.google.com/open?id=1AQ0Isgqa9lSAkrRTBgua8Xhy91Xn1bk4" TargetMode="External"/><Relationship Id="rId4745" Type="http://schemas.openxmlformats.org/officeDocument/2006/relationships/hyperlink" Target="https://drive.google.com/open?id=1rH1zBdSSTCfAFe47f4INdOMSZyO6cuSk" TargetMode="External"/><Relationship Id="rId3413" Type="http://schemas.openxmlformats.org/officeDocument/2006/relationships/hyperlink" Target="https://drive.google.com/file/d/1E1NuJhXzfqyzjCvBL5AABVTdRqmcfkcA/view?usp=drivesdk" TargetMode="External"/><Relationship Id="rId4744" Type="http://schemas.openxmlformats.org/officeDocument/2006/relationships/hyperlink" Target="https://drive.google.com/open?id=1vKiFHs1VhRSpyA63DwMglKEGAeYoJ7XM" TargetMode="External"/><Relationship Id="rId3416" Type="http://schemas.openxmlformats.org/officeDocument/2006/relationships/hyperlink" Target="https://drive.google.com/open?id=1xEZSp2gaMbz5Ddw8cG7VuFqwoHnUILrF" TargetMode="External"/><Relationship Id="rId4747" Type="http://schemas.openxmlformats.org/officeDocument/2006/relationships/hyperlink" Target="https://drive.google.com/file/d/1C79qz7uPw1sTdZ4DgALCN5cFaxUVobUh/view?usp=drivesdk" TargetMode="External"/><Relationship Id="rId3415" Type="http://schemas.openxmlformats.org/officeDocument/2006/relationships/hyperlink" Target="https://drive.google.com/open?id=1XzjhNIKco0quKmyJHEUlb7Ey1VoWXMce" TargetMode="External"/><Relationship Id="rId4746" Type="http://schemas.openxmlformats.org/officeDocument/2006/relationships/hyperlink" Target="https://www.linkedin.com/in/saakshee-chavan-4ab7a6241" TargetMode="External"/><Relationship Id="rId3418" Type="http://schemas.openxmlformats.org/officeDocument/2006/relationships/hyperlink" Target="https://drive.google.com/open?id=1KhsMjT2m0tw9CSLkgYKdeMquIeUWBB3h" TargetMode="External"/><Relationship Id="rId4749" Type="http://schemas.openxmlformats.org/officeDocument/2006/relationships/hyperlink" Target="https://drive.google.com/open?id=17XAXNGGqqSIfNhAtQ3EF48a-x79D3dZk" TargetMode="External"/><Relationship Id="rId3417" Type="http://schemas.openxmlformats.org/officeDocument/2006/relationships/hyperlink" Target="https://drive.google.com/open?id=1XjO3HyCSYNCPGQq55lLxUV4WiyE_LwJ9" TargetMode="External"/><Relationship Id="rId4748" Type="http://schemas.openxmlformats.org/officeDocument/2006/relationships/hyperlink" Target="https://drive.google.com/open?id=1lZypJHBXby9yS_ff7ivhJVfWdfBe-I6c" TargetMode="External"/><Relationship Id="rId3419" Type="http://schemas.openxmlformats.org/officeDocument/2006/relationships/hyperlink" Target="https://drive.google.com/open?id=1vYx7EvvpX6WHHylrfm9lk07GldwbB2ee" TargetMode="External"/><Relationship Id="rId888" Type="http://schemas.openxmlformats.org/officeDocument/2006/relationships/hyperlink" Target="http://linkedin.com/in/rohit-mundhe-6061ab202" TargetMode="External"/><Relationship Id="rId887" Type="http://schemas.openxmlformats.org/officeDocument/2006/relationships/hyperlink" Target="https://drive.google.com/open?id=1MUIKZkahrIRfIA4eY0xRcVQILHTg7WfX" TargetMode="External"/><Relationship Id="rId886" Type="http://schemas.openxmlformats.org/officeDocument/2006/relationships/hyperlink" Target="https://drive.google.com/open?id=1o0oYcoe1ozJqhRsEYYT5XFkYhLLShGeD" TargetMode="External"/><Relationship Id="rId885" Type="http://schemas.openxmlformats.org/officeDocument/2006/relationships/hyperlink" Target="https://drive.google.com/open?id=1ONaeF3XFTPIb4lyneZWqY-ZNKeTT1-ry" TargetMode="External"/><Relationship Id="rId889" Type="http://schemas.openxmlformats.org/officeDocument/2006/relationships/hyperlink" Target="https://preskilet.com/watch?v=62b34c8ccd590700045fb6aa" TargetMode="External"/><Relationship Id="rId880" Type="http://schemas.openxmlformats.org/officeDocument/2006/relationships/hyperlink" Target="https://www.linkedin.com/in/aishwarya-bhalme-7549a5190" TargetMode="External"/><Relationship Id="rId884" Type="http://schemas.openxmlformats.org/officeDocument/2006/relationships/hyperlink" Target="https://drive.google.com/open?id=1iN4N6HMOU8TcTM1ZZqasIlRVhm8VjIOa" TargetMode="External"/><Relationship Id="rId3410" Type="http://schemas.openxmlformats.org/officeDocument/2006/relationships/hyperlink" Target="https://drive.google.com/open?id=1_niv6z3Kz3TvvydyUgOE9hjAfUD90-Lf" TargetMode="External"/><Relationship Id="rId4741" Type="http://schemas.openxmlformats.org/officeDocument/2006/relationships/hyperlink" Target="https://www.linkedin.com/in/pradeep-kumar-raju-lolabhattu-8375b81a3?lipi=urn%3Ali%3Apage%3Ad_flagship3_profile_view_base_contact_details%3B4RdM4JIZRlGm68m6z5o3Lg%3D%3D" TargetMode="External"/><Relationship Id="rId883" Type="http://schemas.openxmlformats.org/officeDocument/2006/relationships/hyperlink" Target="https://drive.google.com/open?id=1SP4rNKk6R0GVB9dsQE80tLr1cf1vgaLr" TargetMode="External"/><Relationship Id="rId4740" Type="http://schemas.openxmlformats.org/officeDocument/2006/relationships/hyperlink" Target="https://drive.google.com/open?id=1-fYH0MZygjIBu0FNUZWrBiAMc3UWMXcM" TargetMode="External"/><Relationship Id="rId882" Type="http://schemas.openxmlformats.org/officeDocument/2006/relationships/hyperlink" Target="https://drive.google.com/open?id=1BotZEqS-mWUyC01C3TeCKeCVz9F94gju" TargetMode="External"/><Relationship Id="rId3412" Type="http://schemas.openxmlformats.org/officeDocument/2006/relationships/hyperlink" Target="https://www.linkedin.com/in/ashutosh-shinde-87972a1b4" TargetMode="External"/><Relationship Id="rId4743" Type="http://schemas.openxmlformats.org/officeDocument/2006/relationships/hyperlink" Target="https://drive.google.com/open?id=1jT2L7xXHAq4wX0vDAa_Ybi3TL2Y6hunX" TargetMode="External"/><Relationship Id="rId881" Type="http://schemas.openxmlformats.org/officeDocument/2006/relationships/hyperlink" Target="https://preskilet.com/avbhalme@mitaoe.ac.in" TargetMode="External"/><Relationship Id="rId3411" Type="http://schemas.openxmlformats.org/officeDocument/2006/relationships/hyperlink" Target="https://drive.google.com/open?id=1eUc1cNLTe2cyV_U7DRi041pkudQ4IXFf" TargetMode="External"/><Relationship Id="rId4742" Type="http://schemas.openxmlformats.org/officeDocument/2006/relationships/hyperlink" Target="https://drive.google.com/file/d/1NlhrtxopGUTGOoiBWwSou9wbNCwqusth/view?usp=sharing" TargetMode="External"/><Relationship Id="rId3403" Type="http://schemas.openxmlformats.org/officeDocument/2006/relationships/hyperlink" Target="https://drive.google.com/open?id=1uNq7-qMkPN4buDln9lib8d_GRqedsKSb" TargetMode="External"/><Relationship Id="rId4734" Type="http://schemas.openxmlformats.org/officeDocument/2006/relationships/hyperlink" Target="https://drive.google.com/open?id=1TWmQJYWt4P6FoZZj4JZNeTQpFz7QXzIH" TargetMode="External"/><Relationship Id="rId3402" Type="http://schemas.openxmlformats.org/officeDocument/2006/relationships/hyperlink" Target="https://drive.google.com/open?id=1o1cgUhq3eDATPTH7Gd79UbxpjS2YK-c1" TargetMode="External"/><Relationship Id="rId4733" Type="http://schemas.openxmlformats.org/officeDocument/2006/relationships/hyperlink" Target="https://drive.google.com/open?id=1usDXfvUbiUl2v2QExdjjRMJKTcIrTweO" TargetMode="External"/><Relationship Id="rId3405" Type="http://schemas.openxmlformats.org/officeDocument/2006/relationships/hyperlink" Target="https://preskilet.com/watch?v=62b5305aaf4f2700045cd8e9" TargetMode="External"/><Relationship Id="rId4736" Type="http://schemas.openxmlformats.org/officeDocument/2006/relationships/hyperlink" Target="https://drive.google.com/open?id=1d3CEoTLdFgTJcmI_drJnE6ptQznscn4F" TargetMode="External"/><Relationship Id="rId3404" Type="http://schemas.openxmlformats.org/officeDocument/2006/relationships/hyperlink" Target="https://www.linkedin.com/in/rohan-kotkar-4195b8232/" TargetMode="External"/><Relationship Id="rId4735" Type="http://schemas.openxmlformats.org/officeDocument/2006/relationships/hyperlink" Target="https://drive.google.com/open?id=1d-kp3UwT2ikiT23TaywKpKVm-xbY1eiH" TargetMode="External"/><Relationship Id="rId3407" Type="http://schemas.openxmlformats.org/officeDocument/2006/relationships/hyperlink" Target="https://drive.google.com/open?id=15gwYWvLv0NlRv69baP1SGJx1Ff6wiFid" TargetMode="External"/><Relationship Id="rId4738" Type="http://schemas.openxmlformats.org/officeDocument/2006/relationships/hyperlink" Target="https://www.linkedin.com/in/shekhar-tele-b401161a4" TargetMode="External"/><Relationship Id="rId3406" Type="http://schemas.openxmlformats.org/officeDocument/2006/relationships/hyperlink" Target="https://drive.google.com/open?id=1J5HHI0g_ggEu42VO83qNB4jN0bNMLxEq" TargetMode="External"/><Relationship Id="rId4737" Type="http://schemas.openxmlformats.org/officeDocument/2006/relationships/hyperlink" Target="https://www.linkedin.com/in/shekhar-tele-b401161a4" TargetMode="External"/><Relationship Id="rId3409" Type="http://schemas.openxmlformats.org/officeDocument/2006/relationships/hyperlink" Target="https://drive.google.com/open?id=1HXsKtvwldDmQZWKsieTUY_d6uOWTRF_g" TargetMode="External"/><Relationship Id="rId3408" Type="http://schemas.openxmlformats.org/officeDocument/2006/relationships/hyperlink" Target="https://drive.google.com/open?id=17WL6rPBAEXocX8eC-z_n0CtIzNhaEIuQ" TargetMode="External"/><Relationship Id="rId4739" Type="http://schemas.openxmlformats.org/officeDocument/2006/relationships/hyperlink" Target="https://drive.google.com/open?id=1Pz3tikGTozre9gRBwQ_UJw1QJS37c_yo" TargetMode="External"/><Relationship Id="rId877" Type="http://schemas.openxmlformats.org/officeDocument/2006/relationships/hyperlink" Target="https://drive.google.com/open?id=1kqa1v7KgLiuCypfsFLJnqaP7tNJ1W56k" TargetMode="External"/><Relationship Id="rId876" Type="http://schemas.openxmlformats.org/officeDocument/2006/relationships/hyperlink" Target="https://drive.google.com/open?id=1jE1uLJR5amc5oL2iU2cjrPJBGWYfSwpZ" TargetMode="External"/><Relationship Id="rId875" Type="http://schemas.openxmlformats.org/officeDocument/2006/relationships/hyperlink" Target="https://drive.google.com/open?id=1LCm9sK0faZe7q9P8B7tF8IKAIVLaa4aW" TargetMode="External"/><Relationship Id="rId874" Type="http://schemas.openxmlformats.org/officeDocument/2006/relationships/hyperlink" Target="https://drive.google.com/open?id=1zx2yxw2okj8KhODNaY7kI9OIJgvJ3g2z" TargetMode="External"/><Relationship Id="rId879" Type="http://schemas.openxmlformats.org/officeDocument/2006/relationships/hyperlink" Target="https://drive.google.com/open?id=11BhBbaGhQ74PumLkCMLK_q5tyt63-t-Y" TargetMode="External"/><Relationship Id="rId878" Type="http://schemas.openxmlformats.org/officeDocument/2006/relationships/hyperlink" Target="https://drive.google.com/open?id=1f35mhJ-f33-9XNxSUb6_3-ClfKyP4u1Q" TargetMode="External"/><Relationship Id="rId873" Type="http://schemas.openxmlformats.org/officeDocument/2006/relationships/hyperlink" Target="https://preskilet.com/watch?v=62962c24716ac100049816f5" TargetMode="External"/><Relationship Id="rId4730" Type="http://schemas.openxmlformats.org/officeDocument/2006/relationships/hyperlink" Target="https://preskilet.com/watch?v=62bda3819535010004fd2768" TargetMode="External"/><Relationship Id="rId872" Type="http://schemas.openxmlformats.org/officeDocument/2006/relationships/hyperlink" Target="https://www.linkedin.com/in/om-dhamdhere/" TargetMode="External"/><Relationship Id="rId871" Type="http://schemas.openxmlformats.org/officeDocument/2006/relationships/hyperlink" Target="https://drive.google.com/open?id=1utBt0q-_xiB6bWChH4n9o9Ah6OLwDF4w" TargetMode="External"/><Relationship Id="rId3401" Type="http://schemas.openxmlformats.org/officeDocument/2006/relationships/hyperlink" Target="https://drive.google.com/open?id=19dXkk5SL7h1pPT0Qn9knbiig8fy1A3Fz" TargetMode="External"/><Relationship Id="rId4732" Type="http://schemas.openxmlformats.org/officeDocument/2006/relationships/hyperlink" Target="https://drive.google.com/open?id=1S-fAjKG8xCwhEaw6810Y9OxvkwITZy_B" TargetMode="External"/><Relationship Id="rId870" Type="http://schemas.openxmlformats.org/officeDocument/2006/relationships/hyperlink" Target="https://drive.google.com/open?id=107ui2l3j1JYTtrWD_85PHvo89uUFwmw0" TargetMode="External"/><Relationship Id="rId3400" Type="http://schemas.openxmlformats.org/officeDocument/2006/relationships/hyperlink" Target="https://drive.google.com/open?id=1C6PwilNt4cyJAKbatyZjzjZIGnPchux1" TargetMode="External"/><Relationship Id="rId4731" Type="http://schemas.openxmlformats.org/officeDocument/2006/relationships/hyperlink" Target="https://drive.google.com/open?id=17g3beas6SlBRdR0eHyU0S-hIbc8mJ39S" TargetMode="External"/><Relationship Id="rId1653" Type="http://schemas.openxmlformats.org/officeDocument/2006/relationships/hyperlink" Target="https://www.linkedin.com/in/neha-jadhav-a22194216" TargetMode="External"/><Relationship Id="rId2984" Type="http://schemas.openxmlformats.org/officeDocument/2006/relationships/hyperlink" Target="https://drive.google.com/open?id=1zpn7wLB6rjnrs8Z-lI_0IKj14m0MwhBf" TargetMode="External"/><Relationship Id="rId1654" Type="http://schemas.openxmlformats.org/officeDocument/2006/relationships/hyperlink" Target="https://preskilet.com/watch?v=62a36333a6956a00045fffb6" TargetMode="External"/><Relationship Id="rId2985" Type="http://schemas.openxmlformats.org/officeDocument/2006/relationships/hyperlink" Target="https://drive.google.com/open?id=125taH2KRXkYqP3zEGF4tmBvjflOVWe8w" TargetMode="External"/><Relationship Id="rId1655" Type="http://schemas.openxmlformats.org/officeDocument/2006/relationships/hyperlink" Target="https://drive.google.com/open?id=1mIxGbnGcHIXvQ42n3v8ApBfuuwJok2oU" TargetMode="External"/><Relationship Id="rId2986" Type="http://schemas.openxmlformats.org/officeDocument/2006/relationships/hyperlink" Target="https://drive.google.com/open?id=1pSCW3b1Rdm1NuduFjyvonetNlXNhkRkP" TargetMode="External"/><Relationship Id="rId1656" Type="http://schemas.openxmlformats.org/officeDocument/2006/relationships/hyperlink" Target="https://drive.google.com/open?id=1f3Q56tzyix4nVU8dB0xkLm1wL7JskJfO" TargetMode="External"/><Relationship Id="rId2987" Type="http://schemas.openxmlformats.org/officeDocument/2006/relationships/hyperlink" Target="https://www.linkedin.com/in/vivek-endole-3090011b6" TargetMode="External"/><Relationship Id="rId1657" Type="http://schemas.openxmlformats.org/officeDocument/2006/relationships/hyperlink" Target="https://drive.google.com/open?id=1OnTYEYzvzyidoeW3tL8BOzbplQJ_36wl" TargetMode="External"/><Relationship Id="rId2988" Type="http://schemas.openxmlformats.org/officeDocument/2006/relationships/hyperlink" Target="https://preskilet.com/watch?v=62bde5679535010004fd2bc7" TargetMode="External"/><Relationship Id="rId1658" Type="http://schemas.openxmlformats.org/officeDocument/2006/relationships/hyperlink" Target="https://drive.google.com/open?id=1wEb68EB_otoodRrKXuzCAhvdnk8UHDeB" TargetMode="External"/><Relationship Id="rId2989" Type="http://schemas.openxmlformats.org/officeDocument/2006/relationships/hyperlink" Target="https://drive.google.com/open?id=1iAbUjQFONfHSGNYzvgtzQKShq5mh-11j" TargetMode="External"/><Relationship Id="rId1659" Type="http://schemas.openxmlformats.org/officeDocument/2006/relationships/hyperlink" Target="https://www.linkedin.com/in/vaishnavi-patil-aba7b61a4" TargetMode="External"/><Relationship Id="rId829" Type="http://schemas.openxmlformats.org/officeDocument/2006/relationships/hyperlink" Target="https://drive.google.com/open?id=1g-J3TfdnXCLzPh6v6XLYMiU5UFEJUfPs" TargetMode="External"/><Relationship Id="rId828" Type="http://schemas.openxmlformats.org/officeDocument/2006/relationships/hyperlink" Target="https://drive.google.com/open?id=1LG5sosutoh44YI6x5Fm04-GNN9gsAlqi" TargetMode="External"/><Relationship Id="rId827" Type="http://schemas.openxmlformats.org/officeDocument/2006/relationships/hyperlink" Target="https://drive.google.com/open?id=1skutvouBiBwRcxQrlZ3vZqADNJW_ZrUW" TargetMode="External"/><Relationship Id="rId822" Type="http://schemas.openxmlformats.org/officeDocument/2006/relationships/hyperlink" Target="https://www.linkedin.com/in/nayan-nirvikar-9b534819b/" TargetMode="External"/><Relationship Id="rId821" Type="http://schemas.openxmlformats.org/officeDocument/2006/relationships/hyperlink" Target="https://drive.google.com/open?id=1wIucH5MLvxuJEVbz_Dn3VGnet3Jgrdo_" TargetMode="External"/><Relationship Id="rId820" Type="http://schemas.openxmlformats.org/officeDocument/2006/relationships/hyperlink" Target="https://drive.google.com/open?id=1T-AP1m8SDZZYkTBWOIGqCLxrwyE1Sw2q" TargetMode="External"/><Relationship Id="rId826" Type="http://schemas.openxmlformats.org/officeDocument/2006/relationships/hyperlink" Target="https://drive.google.com/open?id=1zMgZTT7hm0YiimdxnNA-M5lXk-egMV7q" TargetMode="External"/><Relationship Id="rId825" Type="http://schemas.openxmlformats.org/officeDocument/2006/relationships/hyperlink" Target="https://drive.google.com/open?id=1sHPqkDzcZ3DalQb4Ij8prbNCoVIQDLrG" TargetMode="External"/><Relationship Id="rId824" Type="http://schemas.openxmlformats.org/officeDocument/2006/relationships/hyperlink" Target="https://drive.google.com/open?id=1ZxM85Le3me_ZxnXj2imUMoB46o87FT4z" TargetMode="External"/><Relationship Id="rId823" Type="http://schemas.openxmlformats.org/officeDocument/2006/relationships/hyperlink" Target="https://drive.google.com/drive/folders/1DQRUWR61Bibl8zG2pGqefTfLC71LipIp?usp=sharing" TargetMode="External"/><Relationship Id="rId2980" Type="http://schemas.openxmlformats.org/officeDocument/2006/relationships/hyperlink" Target="https://preskilet.com/watch?v=62b3d42130b2800004522d6a" TargetMode="External"/><Relationship Id="rId1650" Type="http://schemas.openxmlformats.org/officeDocument/2006/relationships/hyperlink" Target="https://drive.google.com/open?id=1_8xwucD7ABRHmwUoZQLKHXAnFaDQBEih" TargetMode="External"/><Relationship Id="rId2981" Type="http://schemas.openxmlformats.org/officeDocument/2006/relationships/hyperlink" Target="https://drive.google.com/open?id=1qlPB_0fmulHZ3q5CCQOT0-y8LRqVGPip" TargetMode="External"/><Relationship Id="rId1651" Type="http://schemas.openxmlformats.org/officeDocument/2006/relationships/hyperlink" Target="https://drive.google.com/open?id=1R0xdibbpWTk1hhqy5FKVszmxwyvOtxdH" TargetMode="External"/><Relationship Id="rId2982" Type="http://schemas.openxmlformats.org/officeDocument/2006/relationships/hyperlink" Target="https://drive.google.com/open?id=1VDkbqdL0U9u-4SML3S1euf6OqAd5EaTM" TargetMode="External"/><Relationship Id="rId1652" Type="http://schemas.openxmlformats.org/officeDocument/2006/relationships/hyperlink" Target="https://drive.google.com/open?id=1vznIYz71_LDozkEuGd-OjkpYTfplNZq-" TargetMode="External"/><Relationship Id="rId2983" Type="http://schemas.openxmlformats.org/officeDocument/2006/relationships/hyperlink" Target="https://drive.google.com/open?id=15ceRsux_-4ZzX_Mbzn1Y7chgVB4elQuX" TargetMode="External"/><Relationship Id="rId1642" Type="http://schemas.openxmlformats.org/officeDocument/2006/relationships/hyperlink" Target="https://drive.google.com/open?id=1UPrH8_lvPcBYZsItX8kQGnpqqQO9zhz7" TargetMode="External"/><Relationship Id="rId2973" Type="http://schemas.openxmlformats.org/officeDocument/2006/relationships/hyperlink" Target="https://drive.google.com/open?id=1ZutpbjdL_fOFZyXAO7rxgkOxJ-5hLrGS" TargetMode="External"/><Relationship Id="rId1643" Type="http://schemas.openxmlformats.org/officeDocument/2006/relationships/hyperlink" Target="https://drive.google.com/open?id=1OU9Lu39XCRiiSZSw3IzqCLwrBd7ayhca" TargetMode="External"/><Relationship Id="rId2974" Type="http://schemas.openxmlformats.org/officeDocument/2006/relationships/hyperlink" Target="https://drive.google.com/open?id=1ZEJbbrClkVBt5b24YKhozXZOmey9wnoe" TargetMode="External"/><Relationship Id="rId1644" Type="http://schemas.openxmlformats.org/officeDocument/2006/relationships/hyperlink" Target="https://www.linkedin.com/in/vedashri-sonar-a44689209/" TargetMode="External"/><Relationship Id="rId2975" Type="http://schemas.openxmlformats.org/officeDocument/2006/relationships/hyperlink" Target="https://drive.google.com/open?id=1nUJ_uheg0p-ADzdlQtJpN_6ZMhJhi6aN" TargetMode="External"/><Relationship Id="rId1645" Type="http://schemas.openxmlformats.org/officeDocument/2006/relationships/hyperlink" Target="https://preskilet.com/watch?v=62bf3aa56fcd0b00049647cb" TargetMode="External"/><Relationship Id="rId2976" Type="http://schemas.openxmlformats.org/officeDocument/2006/relationships/hyperlink" Target="https://drive.google.com/open?id=1lu7cuo6WaARU0LUCCYqUaCtPfMOvLRVE" TargetMode="External"/><Relationship Id="rId1646" Type="http://schemas.openxmlformats.org/officeDocument/2006/relationships/hyperlink" Target="https://drive.google.com/open?id=1G2z7kie3j-iIzslIHYM1RH4uzwNTF6HI" TargetMode="External"/><Relationship Id="rId2977" Type="http://schemas.openxmlformats.org/officeDocument/2006/relationships/hyperlink" Target="https://drive.google.com/open?id=1G-0WL1Fd_nEglNfKO9lB1rZDgRn58BEz" TargetMode="External"/><Relationship Id="rId1647" Type="http://schemas.openxmlformats.org/officeDocument/2006/relationships/hyperlink" Target="https://drive.google.com/open?id=1zlHIxADauViIdCuuexQ8rpBzKrcDsZ7p" TargetMode="External"/><Relationship Id="rId2978" Type="http://schemas.openxmlformats.org/officeDocument/2006/relationships/hyperlink" Target="https://drive.google.com/open?id=1qz30iD159Shx4G8kpBdJjEogAe9DmgYs" TargetMode="External"/><Relationship Id="rId1648" Type="http://schemas.openxmlformats.org/officeDocument/2006/relationships/hyperlink" Target="https://drive.google.com/open?id=1WdmXFhK9mu4KQfN_EdHqdKoq8foRqlGQ" TargetMode="External"/><Relationship Id="rId2979" Type="http://schemas.openxmlformats.org/officeDocument/2006/relationships/hyperlink" Target="https://www.linkedin.com/in/aston-shaji-7473331a6?lipi=urn%3Ali%3Apage%3Ad_flagship3_profile_view_base_contact_details%3BepoJG13iS3umXEk4VriiIQ%3D%3D" TargetMode="External"/><Relationship Id="rId1649" Type="http://schemas.openxmlformats.org/officeDocument/2006/relationships/hyperlink" Target="https://drive.google.com/open?id=1jcCU4TkXy8UUE6lF8PiYKgCy7ZggsZpc" TargetMode="External"/><Relationship Id="rId819" Type="http://schemas.openxmlformats.org/officeDocument/2006/relationships/hyperlink" Target="https://drive.google.com/open?id=1JtULF8kpn-xqFc1f7LHpQxXzdoGwRyXP" TargetMode="External"/><Relationship Id="rId818" Type="http://schemas.openxmlformats.org/officeDocument/2006/relationships/hyperlink" Target="https://drive.google.com/open?id=1EdRFDI7JuRQkOL1yb_xLsFaqRYMIX-0t" TargetMode="External"/><Relationship Id="rId817" Type="http://schemas.openxmlformats.org/officeDocument/2006/relationships/hyperlink" Target="https://drive.google.com/open?id=1LpTACr6XKLAugBDcI7QZf1qwO1Y9V1VJ" TargetMode="External"/><Relationship Id="rId816" Type="http://schemas.openxmlformats.org/officeDocument/2006/relationships/hyperlink" Target="https://drive.google.com/open?id=12KH7aOxn9EDJ2ZFp5QBM4P5sP9jD7LH7" TargetMode="External"/><Relationship Id="rId811" Type="http://schemas.openxmlformats.org/officeDocument/2006/relationships/hyperlink" Target="https://drive.google.com/open?id=1tBemWO0vwhJgFKPpxflxTSSkG54JFSde" TargetMode="External"/><Relationship Id="rId810" Type="http://schemas.openxmlformats.org/officeDocument/2006/relationships/hyperlink" Target="https://drive.google.com/open?id=1juvZnt6uvxrgfGJYAEEzWSvkaa9jTPl9" TargetMode="External"/><Relationship Id="rId815" Type="http://schemas.openxmlformats.org/officeDocument/2006/relationships/hyperlink" Target="https://preskilet.com/watch?v=6297a7685545ea0004a929f4" TargetMode="External"/><Relationship Id="rId814" Type="http://schemas.openxmlformats.org/officeDocument/2006/relationships/hyperlink" Target="https://www.linkedin.com/in/vitthal-sai-kaul-515118200/" TargetMode="External"/><Relationship Id="rId813" Type="http://schemas.openxmlformats.org/officeDocument/2006/relationships/hyperlink" Target="https://drive.google.com/open?id=1_uQSRwP4mC-qsEsRkfW4JAczU0ZL6tgj" TargetMode="External"/><Relationship Id="rId812" Type="http://schemas.openxmlformats.org/officeDocument/2006/relationships/hyperlink" Target="https://drive.google.com/open?id=1EIloCCPb1_kgY6_CGKX7VQzLipp7ZlQ4" TargetMode="External"/><Relationship Id="rId2970" Type="http://schemas.openxmlformats.org/officeDocument/2006/relationships/hyperlink" Target="https://drive.google.com/open?id=1aAEF-FBTMDw4eCiY0Bx0ZsvG3eE7oO3E" TargetMode="External"/><Relationship Id="rId1640" Type="http://schemas.openxmlformats.org/officeDocument/2006/relationships/hyperlink" Target="https://drive.google.com/open?id=1eynuUzU0iirMRU3oGJWHi05H_BTivnth" TargetMode="External"/><Relationship Id="rId2971" Type="http://schemas.openxmlformats.org/officeDocument/2006/relationships/hyperlink" Target="https://drive.google.com/open?id=1PDuqFr5oCpGH078gDqnxuiuo--dz9c0V" TargetMode="External"/><Relationship Id="rId1641" Type="http://schemas.openxmlformats.org/officeDocument/2006/relationships/hyperlink" Target="https://drive.google.com/open?id=1BeppZP8AdIiKjjZCeQf5EnwjTjeNsjQb" TargetMode="External"/><Relationship Id="rId2972" Type="http://schemas.openxmlformats.org/officeDocument/2006/relationships/hyperlink" Target="https://drive.google.com/open?id=1U8tBAOuXqaPSa2ayO704qwwdqQeb9Gjy" TargetMode="External"/><Relationship Id="rId1675" Type="http://schemas.openxmlformats.org/officeDocument/2006/relationships/hyperlink" Target="https://drive.google.com/file/d/17qEmO5EU_0SntuDdnz80f8YIAyYc_Jee/view?usp=sharing" TargetMode="External"/><Relationship Id="rId4701" Type="http://schemas.openxmlformats.org/officeDocument/2006/relationships/hyperlink" Target="https://drive.google.com/open?id=17S9hPNL7Fe0BcS4-zbACI-tpKUdrU0eA" TargetMode="External"/><Relationship Id="rId1676" Type="http://schemas.openxmlformats.org/officeDocument/2006/relationships/hyperlink" Target="https://drive.google.com/open?id=1jf8UyEWMAG_CALEWlYsAhK1H_tx1Psf5" TargetMode="External"/><Relationship Id="rId4700" Type="http://schemas.openxmlformats.org/officeDocument/2006/relationships/hyperlink" Target="https://drive.google.com/open?id=1rketl38JHx8E0D_DwP-6kDY-QYckMWBE" TargetMode="External"/><Relationship Id="rId1677" Type="http://schemas.openxmlformats.org/officeDocument/2006/relationships/hyperlink" Target="https://drive.google.com/open?id=1UMld0cyRmILg00weJic6vOSqDCfg1E3t" TargetMode="External"/><Relationship Id="rId4703" Type="http://schemas.openxmlformats.org/officeDocument/2006/relationships/hyperlink" Target="https://preskilet.com/ashishgurav@mitaoe.ac.in" TargetMode="External"/><Relationship Id="rId1678" Type="http://schemas.openxmlformats.org/officeDocument/2006/relationships/hyperlink" Target="https://drive.google.com/open?id=1g_J5UtThHxeTGBjyQI0NHNGKEduIOVha" TargetMode="External"/><Relationship Id="rId4702" Type="http://schemas.openxmlformats.org/officeDocument/2006/relationships/hyperlink" Target="https://www.linkedin.com/public-profile/settings" TargetMode="External"/><Relationship Id="rId1679" Type="http://schemas.openxmlformats.org/officeDocument/2006/relationships/hyperlink" Target="http://www.linkedin.com/in/rhushikeshhasabe" TargetMode="External"/><Relationship Id="rId4705" Type="http://schemas.openxmlformats.org/officeDocument/2006/relationships/hyperlink" Target="https://drive.google.com/open?id=1D3fHW0Aj7NWsUuOpLqDseriEav4d5Inb" TargetMode="External"/><Relationship Id="rId4704" Type="http://schemas.openxmlformats.org/officeDocument/2006/relationships/hyperlink" Target="https://drive.google.com/open?id=1_D3Q3qguD-OeqNAJmvOkBb31skpZYLT6" TargetMode="External"/><Relationship Id="rId4707" Type="http://schemas.openxmlformats.org/officeDocument/2006/relationships/hyperlink" Target="https://drive.google.com/open?id=1qsHUeB82FfaNUVgH6mSvqebcOimXTWHp" TargetMode="External"/><Relationship Id="rId4706" Type="http://schemas.openxmlformats.org/officeDocument/2006/relationships/hyperlink" Target="https://drive.google.com/open?id=1SWXJaHndOPnd0WIwdPT102d0uQ1mRo8S" TargetMode="External"/><Relationship Id="rId4709" Type="http://schemas.openxmlformats.org/officeDocument/2006/relationships/hyperlink" Target="https://www.linkedin.com/in/mohit-thakkar-731908241" TargetMode="External"/><Relationship Id="rId4708" Type="http://schemas.openxmlformats.org/officeDocument/2006/relationships/hyperlink" Target="https://drive.google.com/open?id=1SFzVI0U87tJMgPOfTp195Zqqg6ZG9-yr" TargetMode="External"/><Relationship Id="rId849" Type="http://schemas.openxmlformats.org/officeDocument/2006/relationships/hyperlink" Target="https://drive.google.com/open?id=193N6y-BFg0DQMP2LvaQFC8350RMWw1Sb" TargetMode="External"/><Relationship Id="rId844" Type="http://schemas.openxmlformats.org/officeDocument/2006/relationships/hyperlink" Target="https://drive.google.com/open?id=1xN6nQ5NRpYnTcIeHTXimEQQAENYLei70" TargetMode="External"/><Relationship Id="rId843" Type="http://schemas.openxmlformats.org/officeDocument/2006/relationships/hyperlink" Target="https://drive.google.com/open?id=1JGcZzVLL4f0gwm7tsu8sNqF2WzR3fLoO" TargetMode="External"/><Relationship Id="rId842" Type="http://schemas.openxmlformats.org/officeDocument/2006/relationships/hyperlink" Target="https://drive.google.com/open?id=1JkHM2hFrv1nZXxv5iLX03PbmMRqIp1_s" TargetMode="External"/><Relationship Id="rId841" Type="http://schemas.openxmlformats.org/officeDocument/2006/relationships/hyperlink" Target="https://drive.google.com/open?id=1rot0R40OZ3INRFXs_IGgqiXcV9Cb-iCX" TargetMode="External"/><Relationship Id="rId848" Type="http://schemas.openxmlformats.org/officeDocument/2006/relationships/hyperlink" Target="https://preskilet.com/watch?v=62a37bc7a6956a0004600409" TargetMode="External"/><Relationship Id="rId847" Type="http://schemas.openxmlformats.org/officeDocument/2006/relationships/hyperlink" Target="https://www.linkedin.com/in/pratiksha-rale-a53970225/" TargetMode="External"/><Relationship Id="rId846" Type="http://schemas.openxmlformats.org/officeDocument/2006/relationships/hyperlink" Target="https://drive.google.com/open?id=15rTm1l6YIZ2Ee56Y4zDKZaQ4vcErJL6f" TargetMode="External"/><Relationship Id="rId845" Type="http://schemas.openxmlformats.org/officeDocument/2006/relationships/hyperlink" Target="https://drive.google.com/open?id=1KkGY7xNhD7vZOboByNuH9DWr3feRsoCl" TargetMode="External"/><Relationship Id="rId1670" Type="http://schemas.openxmlformats.org/officeDocument/2006/relationships/hyperlink" Target="https://drive.google.com/open?id=1egJzDho78rtgQlTZ6Z9EwWH_BXXWR3XK" TargetMode="External"/><Relationship Id="rId840" Type="http://schemas.openxmlformats.org/officeDocument/2006/relationships/hyperlink" Target="https://drive.google.com/open?id=1CMgL5rNZoMiZ8cJ3iCnRocs4hyVQT1n-" TargetMode="External"/><Relationship Id="rId1671" Type="http://schemas.openxmlformats.org/officeDocument/2006/relationships/hyperlink" Target="https://drive.google.com/open?id=1JtGlfwk_D7VumYgtLb5JBhzIBVEbESaw" TargetMode="External"/><Relationship Id="rId1672" Type="http://schemas.openxmlformats.org/officeDocument/2006/relationships/hyperlink" Target="https://drive.google.com/open?id=1JiosNcYpAHh9Y0LXlwDRAWi09gDhhN9f" TargetMode="External"/><Relationship Id="rId1673" Type="http://schemas.openxmlformats.org/officeDocument/2006/relationships/hyperlink" Target="https://drive.google.com/open?id=1723rln_MXp1l2r1iLN9xYr2nCGFWBE7u" TargetMode="External"/><Relationship Id="rId1674" Type="http://schemas.openxmlformats.org/officeDocument/2006/relationships/hyperlink" Target="https://www.linkedin.com/in/parth-srivastava-5b00801b2/" TargetMode="External"/><Relationship Id="rId1664" Type="http://schemas.openxmlformats.org/officeDocument/2006/relationships/hyperlink" Target="https://drive.google.com/open?id=1wt5mBvogu5fm6M4ZZE3YhKrhYSGJ-IiL" TargetMode="External"/><Relationship Id="rId2995" Type="http://schemas.openxmlformats.org/officeDocument/2006/relationships/hyperlink" Target="https://drive.google.com/open?id=1s5YmqmK6uQ9JLKvh9_kdo1JFKzbCmFKT" TargetMode="External"/><Relationship Id="rId1665" Type="http://schemas.openxmlformats.org/officeDocument/2006/relationships/hyperlink" Target="https://drive.google.com/open?id=1ZD2snNUbjoBNop6dOMiqvXWx_Jj_g_4U" TargetMode="External"/><Relationship Id="rId2996" Type="http://schemas.openxmlformats.org/officeDocument/2006/relationships/hyperlink" Target="https://drive.google.com/open?id=1NEDufNhGgBPLutnpGfaW5eQWuFf_Pi1X" TargetMode="External"/><Relationship Id="rId1666" Type="http://schemas.openxmlformats.org/officeDocument/2006/relationships/hyperlink" Target="https://drive.google.com/open?id=1AjXsObDaivS_YKOVtNBdLSj9QDZnIAMa" TargetMode="External"/><Relationship Id="rId2997" Type="http://schemas.openxmlformats.org/officeDocument/2006/relationships/hyperlink" Target="https://drive.google.com/open?id=16MW7BeKW_yg_5BeILeglLeFLIJXk6EBB" TargetMode="External"/><Relationship Id="rId1667" Type="http://schemas.openxmlformats.org/officeDocument/2006/relationships/hyperlink" Target="https://drive.google.com/open?id=1i8twQ7S91PFvkp5JNSHYA5kimMXLXne1" TargetMode="External"/><Relationship Id="rId2998" Type="http://schemas.openxmlformats.org/officeDocument/2006/relationships/hyperlink" Target="https://drive.google.com/open?id=1-OrRskoanwcMTFn_es8QOtL3sEQKUn37" TargetMode="External"/><Relationship Id="rId1668" Type="http://schemas.openxmlformats.org/officeDocument/2006/relationships/hyperlink" Target="https://www.linkedin.com/in/mayuri-more-9b43821a4" TargetMode="External"/><Relationship Id="rId2999" Type="http://schemas.openxmlformats.org/officeDocument/2006/relationships/hyperlink" Target="https://drive.google.com/open?id=1R4NTimj1cLnzmmMK53UGaPnOjsYjJVTt" TargetMode="External"/><Relationship Id="rId1669" Type="http://schemas.openxmlformats.org/officeDocument/2006/relationships/hyperlink" Target="https://drive.google.com/file/d/1cFp9JnN_esqnYBVRP3hknGoqbcYw8Ksz/view?usp=sharing" TargetMode="External"/><Relationship Id="rId839" Type="http://schemas.openxmlformats.org/officeDocument/2006/relationships/hyperlink" Target="https://preskilet.com/pmchanne@mitaoe.ac.in" TargetMode="External"/><Relationship Id="rId838" Type="http://schemas.openxmlformats.org/officeDocument/2006/relationships/hyperlink" Target="http://www.linkedin.com/in/prachichanne2607" TargetMode="External"/><Relationship Id="rId833" Type="http://schemas.openxmlformats.org/officeDocument/2006/relationships/hyperlink" Target="https://drive.google.com/open?id=1QIQ885o21EaSe4XKDeqVs_2oa0fPGInj" TargetMode="External"/><Relationship Id="rId832" Type="http://schemas.openxmlformats.org/officeDocument/2006/relationships/hyperlink" Target="https://drive.google.com/open?id=1pmvVi-n4Hg5VbJd4UZjtKN9pSrVoVIK6" TargetMode="External"/><Relationship Id="rId831" Type="http://schemas.openxmlformats.org/officeDocument/2006/relationships/hyperlink" Target="https://preskilet.com/watch?v=6294adb16dfec6000459100d" TargetMode="External"/><Relationship Id="rId830" Type="http://schemas.openxmlformats.org/officeDocument/2006/relationships/hyperlink" Target="http://www.linkedin.com/in/manav-bhosale-05617b205" TargetMode="External"/><Relationship Id="rId837" Type="http://schemas.openxmlformats.org/officeDocument/2006/relationships/hyperlink" Target="https://drive.google.com/open?id=1wIxzrjtA1x_C60Q0nhPlxTGRh8Z2MCi-" TargetMode="External"/><Relationship Id="rId836" Type="http://schemas.openxmlformats.org/officeDocument/2006/relationships/hyperlink" Target="https://drive.google.com/open?id=1EfVkRYKm0V9UvQUMvQtM-7SpDJwW9RqE" TargetMode="External"/><Relationship Id="rId835" Type="http://schemas.openxmlformats.org/officeDocument/2006/relationships/hyperlink" Target="https://drive.google.com/open?id=12SM58GQA4RTh0QeGiJnFWWwCI5cOc7rF" TargetMode="External"/><Relationship Id="rId834" Type="http://schemas.openxmlformats.org/officeDocument/2006/relationships/hyperlink" Target="https://drive.google.com/open?id=1mefuVrdHL9CKQCI3HlSQiMhosaVqVSar" TargetMode="External"/><Relationship Id="rId2990" Type="http://schemas.openxmlformats.org/officeDocument/2006/relationships/hyperlink" Target="https://drive.google.com/open?id=1RJl4fIbE3Sm4VPVZWwkmXZLFFygj_iiL" TargetMode="External"/><Relationship Id="rId1660" Type="http://schemas.openxmlformats.org/officeDocument/2006/relationships/hyperlink" Target="https://preskilet.com/watch?v=62bc65455493430004e5efb1" TargetMode="External"/><Relationship Id="rId2991" Type="http://schemas.openxmlformats.org/officeDocument/2006/relationships/hyperlink" Target="https://drive.google.com/open?id=14Vquu08pLHRLkBDFq2m9wxgg2o-IflGI" TargetMode="External"/><Relationship Id="rId1661" Type="http://schemas.openxmlformats.org/officeDocument/2006/relationships/hyperlink" Target="https://drive.google.com/open?id=11nPOIYlLyoHpvUbvkzmKaJE8ffg8PMso" TargetMode="External"/><Relationship Id="rId2992" Type="http://schemas.openxmlformats.org/officeDocument/2006/relationships/hyperlink" Target="https://drive.google.com/open?id=1ZUp0lL8Pyc5Ea5Q4G3asoocZis2YCwkU" TargetMode="External"/><Relationship Id="rId1662" Type="http://schemas.openxmlformats.org/officeDocument/2006/relationships/hyperlink" Target="https://drive.google.com/open?id=1odO5cP78CoMd00uI5KcBnTbvPQoAF-Lg" TargetMode="External"/><Relationship Id="rId2993" Type="http://schemas.openxmlformats.org/officeDocument/2006/relationships/hyperlink" Target="https://www.linkedin.com/in/atharv-yeole" TargetMode="External"/><Relationship Id="rId1663" Type="http://schemas.openxmlformats.org/officeDocument/2006/relationships/hyperlink" Target="https://drive.google.com/open?id=1zzUPKIPmDGWQkItoqHHD38MFtqw8p-x_" TargetMode="External"/><Relationship Id="rId2994" Type="http://schemas.openxmlformats.org/officeDocument/2006/relationships/hyperlink" Target="https://preskilet.com/watch?v=62bbf7f137f0b4000476d007" TargetMode="External"/><Relationship Id="rId2148" Type="http://schemas.openxmlformats.org/officeDocument/2006/relationships/hyperlink" Target="https://drive.google.com/open?id=1J6Hw7o5N1SwN6vGV8vixrPb3Mov4NUKx" TargetMode="External"/><Relationship Id="rId2149" Type="http://schemas.openxmlformats.org/officeDocument/2006/relationships/hyperlink" Target="https://drive.google.com/open?id=1zK-jXTZ7ROokMl4cctuR0QU_P0HYYjWS" TargetMode="External"/><Relationship Id="rId3479" Type="http://schemas.openxmlformats.org/officeDocument/2006/relationships/hyperlink" Target="https://drive.google.com/open?id=16iP7kUjPXoOSe9NVczssQR0xuH3KYU3K" TargetMode="External"/><Relationship Id="rId3470" Type="http://schemas.openxmlformats.org/officeDocument/2006/relationships/hyperlink" Target="https://preskilet.com/watch?v=62a36496a6956a00045fffd9" TargetMode="External"/><Relationship Id="rId2140" Type="http://schemas.openxmlformats.org/officeDocument/2006/relationships/hyperlink" Target="https://drive.google.com/open?id=1jVACfZiftT2qExkwuOYw1HEWq6-0VFnK" TargetMode="External"/><Relationship Id="rId3472" Type="http://schemas.openxmlformats.org/officeDocument/2006/relationships/hyperlink" Target="https://drive.google.com/open?id=1aewVYY09GeeZYdVrwwwuE8wXjNGj_wFK" TargetMode="External"/><Relationship Id="rId2141" Type="http://schemas.openxmlformats.org/officeDocument/2006/relationships/hyperlink" Target="https://drive.google.com/open?id=1nuI164nxMUsrcoENqiLXXEw17JxtwxeD" TargetMode="External"/><Relationship Id="rId3471" Type="http://schemas.openxmlformats.org/officeDocument/2006/relationships/hyperlink" Target="https://drive.google.com/open?id=1eWA_iXYkCXVfJO8STzot0Wbyo4NBsLcq" TargetMode="External"/><Relationship Id="rId2142" Type="http://schemas.openxmlformats.org/officeDocument/2006/relationships/hyperlink" Target="https://drive.google.com/open?id=1rvCJQSZeaF_sh5m4XBcKXDFnldNBm5lz" TargetMode="External"/><Relationship Id="rId3474" Type="http://schemas.openxmlformats.org/officeDocument/2006/relationships/hyperlink" Target="https://drive.google.com/open?id=1a3Ru14IxLFmjv7IK2AmZ8lIXa-jdh1KR" TargetMode="External"/><Relationship Id="rId2143" Type="http://schemas.openxmlformats.org/officeDocument/2006/relationships/hyperlink" Target="https://drive.google.com/open?id=17FXG19RRGu_DGEivCgvuA3NvF5dPklry" TargetMode="External"/><Relationship Id="rId3473" Type="http://schemas.openxmlformats.org/officeDocument/2006/relationships/hyperlink" Target="https://drive.google.com/open?id=1X8M7fk7g25MOTyPksUsEOEPFclTzIlyr" TargetMode="External"/><Relationship Id="rId2144" Type="http://schemas.openxmlformats.org/officeDocument/2006/relationships/hyperlink" Target="https://www.linkedin.com/in/prathamesh-sawant-54b78121b" TargetMode="External"/><Relationship Id="rId3476" Type="http://schemas.openxmlformats.org/officeDocument/2006/relationships/hyperlink" Target="https://drive.google.com/open?id=1s9pFnHrtDthB5VsLiR7hyJD1xbjeUKf0" TargetMode="External"/><Relationship Id="rId2145" Type="http://schemas.openxmlformats.org/officeDocument/2006/relationships/hyperlink" Target="https://preskilet.com/watch?v=62a21a0dfed70c00042b6864" TargetMode="External"/><Relationship Id="rId3475" Type="http://schemas.openxmlformats.org/officeDocument/2006/relationships/hyperlink" Target="https://drive.google.com/open?id=1OUFplbRmPxeCP42Kpaa8uX14vv-e-Fuk" TargetMode="External"/><Relationship Id="rId2146" Type="http://schemas.openxmlformats.org/officeDocument/2006/relationships/hyperlink" Target="https://drive.google.com/open?id=1r0i47222I7ENmN-NFgcALM6ec6LLLSDl" TargetMode="External"/><Relationship Id="rId3478" Type="http://schemas.openxmlformats.org/officeDocument/2006/relationships/hyperlink" Target="https://preskilet.com/watch?v=62b438fd30b280000452316b" TargetMode="External"/><Relationship Id="rId2147" Type="http://schemas.openxmlformats.org/officeDocument/2006/relationships/hyperlink" Target="https://drive.google.com/open?id=1t3IJHFtQnZ8S3qknzjuKmQXbt4_LkvgV" TargetMode="External"/><Relationship Id="rId3477" Type="http://schemas.openxmlformats.org/officeDocument/2006/relationships/hyperlink" Target="http://www.linkedin.com/in/lalit-chacharkar-07a360191" TargetMode="External"/><Relationship Id="rId2137" Type="http://schemas.openxmlformats.org/officeDocument/2006/relationships/hyperlink" Target="https://drive.google.com/open?id=1qrdrP8e40DGL8cOrnWXkKbHVPMveQLwE" TargetMode="External"/><Relationship Id="rId3469" Type="http://schemas.openxmlformats.org/officeDocument/2006/relationships/hyperlink" Target="https://www.linkedin.com/in/amey-ghotankar-93274a234/" TargetMode="External"/><Relationship Id="rId2138" Type="http://schemas.openxmlformats.org/officeDocument/2006/relationships/hyperlink" Target="https://drive.google.com/open?id=1ff_UKHk_ByoI_SlqKlXTSVU4GWdp56Ci" TargetMode="External"/><Relationship Id="rId3468" Type="http://schemas.openxmlformats.org/officeDocument/2006/relationships/hyperlink" Target="https://drive.google.com/open?id=1-6RPnjnd-03DtxOkfnRNJguRzymNClbP" TargetMode="External"/><Relationship Id="rId4799" Type="http://schemas.openxmlformats.org/officeDocument/2006/relationships/hyperlink" Target="https://drive.google.com/drive/folders/1vnY7ghYCicfi3x8C2iVZdoVO5G9JM_C-" TargetMode="External"/><Relationship Id="rId2139" Type="http://schemas.openxmlformats.org/officeDocument/2006/relationships/hyperlink" Target="https://drive.google.com/open?id=1os3pIfA4ewK5pfNsT915aUBBtJvysY6y" TargetMode="External"/><Relationship Id="rId4790" Type="http://schemas.openxmlformats.org/officeDocument/2006/relationships/hyperlink" Target="https://drive.google.com/open?id=1YUWzTjwoBkomioqDXOS5WGaireKsbnnY" TargetMode="External"/><Relationship Id="rId3461" Type="http://schemas.openxmlformats.org/officeDocument/2006/relationships/hyperlink" Target="https://drive.google.com/open?id=1y_rDF6RlXpKXSsFoa0cAx6aznPdxFcLo" TargetMode="External"/><Relationship Id="rId4792" Type="http://schemas.openxmlformats.org/officeDocument/2006/relationships/hyperlink" Target="https://drive.google.com/open?id=1qqVLBS82CYSeLCZAeO-LMPojCEJ5s7kt" TargetMode="External"/><Relationship Id="rId2130" Type="http://schemas.openxmlformats.org/officeDocument/2006/relationships/hyperlink" Target="https://www.linkedin.com/in/krishnakant-kumar-188465208" TargetMode="External"/><Relationship Id="rId3460" Type="http://schemas.openxmlformats.org/officeDocument/2006/relationships/hyperlink" Target="https://drive.google.com/drive/folders/19iLHdQuruJamKEBpYPFcMH5V0CyU8_ME?usp=sharing" TargetMode="External"/><Relationship Id="rId4791" Type="http://schemas.openxmlformats.org/officeDocument/2006/relationships/hyperlink" Target="https://drive.google.com/open?id=1jEs8oM3MqBELQqLuXDY99oeSeoPCoVEb" TargetMode="External"/><Relationship Id="rId2131" Type="http://schemas.openxmlformats.org/officeDocument/2006/relationships/hyperlink" Target="https://preskilet.com/watch?v=62b4d64930b28000045239b0" TargetMode="External"/><Relationship Id="rId3463" Type="http://schemas.openxmlformats.org/officeDocument/2006/relationships/hyperlink" Target="https://drive.google.com/open?id=1wtYXvcCOF6IBPEBi3_g0dpxZBmLOcJTP" TargetMode="External"/><Relationship Id="rId4794" Type="http://schemas.openxmlformats.org/officeDocument/2006/relationships/hyperlink" Target="https://drive.google.com/drive/folders/1O6PdlC2SI0OBUU0SJKJcSpnCLuKruE2O?usp=sharing" TargetMode="External"/><Relationship Id="rId2132" Type="http://schemas.openxmlformats.org/officeDocument/2006/relationships/hyperlink" Target="https://drive.google.com/open?id=1liEpeIkup53gh2mzEKvOM7qtVVqpZfAT" TargetMode="External"/><Relationship Id="rId3462" Type="http://schemas.openxmlformats.org/officeDocument/2006/relationships/hyperlink" Target="https://drive.google.com/open?id=1HUsdP4YcUQownZisDH7D6Gckx6_-kxin" TargetMode="External"/><Relationship Id="rId4793" Type="http://schemas.openxmlformats.org/officeDocument/2006/relationships/hyperlink" Target="https://www.linkedin.com/in/md-azhar-dongre-786md8118" TargetMode="External"/><Relationship Id="rId2133" Type="http://schemas.openxmlformats.org/officeDocument/2006/relationships/hyperlink" Target="https://drive.google.com/open?id=1dp1TQQ6AqF8oD1Iu_-sNUYMzp4XGgKjM" TargetMode="External"/><Relationship Id="rId3465" Type="http://schemas.openxmlformats.org/officeDocument/2006/relationships/hyperlink" Target="https://drive.google.com/open?id=1VHMUFWO8LApMb97i8uWtFZkgrKOMAGPm" TargetMode="External"/><Relationship Id="rId4796" Type="http://schemas.openxmlformats.org/officeDocument/2006/relationships/hyperlink" Target="https://drive.google.com/open?id=1UVUxAxyGJd450yL8RkbhqM2wIfmmUI6S" TargetMode="External"/><Relationship Id="rId2134" Type="http://schemas.openxmlformats.org/officeDocument/2006/relationships/hyperlink" Target="https://drive.google.com/open?id=13oUOHbEbFue1Wofdl7K4qyxL9jECO0Cx" TargetMode="External"/><Relationship Id="rId3464" Type="http://schemas.openxmlformats.org/officeDocument/2006/relationships/hyperlink" Target="https://drive.google.com/open?id=1lr9V82PqZw-FStwMeyKWzdK0v7cAt1mg" TargetMode="External"/><Relationship Id="rId4795" Type="http://schemas.openxmlformats.org/officeDocument/2006/relationships/hyperlink" Target="https://drive.google.com/open?id=1Hlma4dWNzYN0sRb7Ad_IiSsP6go7fkse" TargetMode="External"/><Relationship Id="rId2135" Type="http://schemas.openxmlformats.org/officeDocument/2006/relationships/hyperlink" Target="https://www.linkedin.com/in/surabhi-ghogare-39a491236/" TargetMode="External"/><Relationship Id="rId3467" Type="http://schemas.openxmlformats.org/officeDocument/2006/relationships/hyperlink" Target="https://drive.google.com/open?id=1ZvgfzZokh7jvwBgAaheT3F5HcQnDyqNd" TargetMode="External"/><Relationship Id="rId4798" Type="http://schemas.openxmlformats.org/officeDocument/2006/relationships/hyperlink" Target="https://www.linkedin.com/in/pankaj-yadav-2307b2241" TargetMode="External"/><Relationship Id="rId2136" Type="http://schemas.openxmlformats.org/officeDocument/2006/relationships/hyperlink" Target="https://preskilet.com/watch?v=62a24466fed70c00042b6979" TargetMode="External"/><Relationship Id="rId3466" Type="http://schemas.openxmlformats.org/officeDocument/2006/relationships/hyperlink" Target="https://drive.google.com/open?id=1SSRqkfWjoapqMZ5IEu2TQUjtNzDyIVKy" TargetMode="External"/><Relationship Id="rId4797" Type="http://schemas.openxmlformats.org/officeDocument/2006/relationships/hyperlink" Target="https://drive.google.com/open?id=11heTzzG5kVq1N9ENkBAS4hOZZdQR9aSl" TargetMode="External"/><Relationship Id="rId3490" Type="http://schemas.openxmlformats.org/officeDocument/2006/relationships/hyperlink" Target="https://drive.google.com/open?id=1EOIQhlB2IeUzrvDVjF0ebO7QiZpdiljB" TargetMode="External"/><Relationship Id="rId2160" Type="http://schemas.openxmlformats.org/officeDocument/2006/relationships/hyperlink" Target="https://drive.google.com/open?id=1a0CA2MvJj4P9X9wT9GoYJ70xgP5eL5hB" TargetMode="External"/><Relationship Id="rId3492" Type="http://schemas.openxmlformats.org/officeDocument/2006/relationships/hyperlink" Target="https://drive.google.com/open?id=1uUHItiPWlamF0OewUumjOaHEsDxvljFl" TargetMode="External"/><Relationship Id="rId2161" Type="http://schemas.openxmlformats.org/officeDocument/2006/relationships/hyperlink" Target="https://drive.google.com/open?id=1TQWoXe4Ckb5IRizb8LTEP1tqoEDsh9MI" TargetMode="External"/><Relationship Id="rId3491" Type="http://schemas.openxmlformats.org/officeDocument/2006/relationships/hyperlink" Target="https://drive.google.com/open?id=1YL1-TS8HpJ8C_UJ9UzkfYa3oEIBu0v18" TargetMode="External"/><Relationship Id="rId2162" Type="http://schemas.openxmlformats.org/officeDocument/2006/relationships/hyperlink" Target="https://drive.google.com/open?id=1PJ5NmKfE2nmay7q6-Rf8V_LY3hQcDspj" TargetMode="External"/><Relationship Id="rId3494" Type="http://schemas.openxmlformats.org/officeDocument/2006/relationships/hyperlink" Target="https://www.linkedin.com/in/aarti-tile-796101232" TargetMode="External"/><Relationship Id="rId2163" Type="http://schemas.openxmlformats.org/officeDocument/2006/relationships/hyperlink" Target="https://www.linkedin.com/in/yashraj-kharade/" TargetMode="External"/><Relationship Id="rId3493" Type="http://schemas.openxmlformats.org/officeDocument/2006/relationships/hyperlink" Target="https://drive.google.com/open?id=18BeY8_idMQr3wxJuBjOt8nT3PfQAlcv2" TargetMode="External"/><Relationship Id="rId2164" Type="http://schemas.openxmlformats.org/officeDocument/2006/relationships/hyperlink" Target="https://preskilet.com/watch?v=62b4724e30b2800004523363" TargetMode="External"/><Relationship Id="rId3496" Type="http://schemas.openxmlformats.org/officeDocument/2006/relationships/hyperlink" Target="https://drive.google.com/open?id=1ER2DFNwDSXYYpke_nArxjMzrgMbhyNH6" TargetMode="External"/><Relationship Id="rId2165" Type="http://schemas.openxmlformats.org/officeDocument/2006/relationships/hyperlink" Target="https://drive.google.com/open?id=1GfzG-QgjPbAgs_h6yFVEINN5QqkdrgnV" TargetMode="External"/><Relationship Id="rId3495" Type="http://schemas.openxmlformats.org/officeDocument/2006/relationships/hyperlink" Target="https://preskilet.com/watch?v=62979a9e5545ea0004a928e8" TargetMode="External"/><Relationship Id="rId2166" Type="http://schemas.openxmlformats.org/officeDocument/2006/relationships/hyperlink" Target="https://drive.google.com/open?id=1fdrpA3X9ODwpCfRsiG2BasHp6npxZ-_R" TargetMode="External"/><Relationship Id="rId3498" Type="http://schemas.openxmlformats.org/officeDocument/2006/relationships/hyperlink" Target="https://drive.google.com/open?id=1LcVbtt4HCprMrr-9yqEDJzLfde8MLz5S" TargetMode="External"/><Relationship Id="rId2167" Type="http://schemas.openxmlformats.org/officeDocument/2006/relationships/hyperlink" Target="https://drive.google.com/open?id=107P3sBl5xTYrrp8ZBbnRTpaaXTFEZNDv" TargetMode="External"/><Relationship Id="rId3497" Type="http://schemas.openxmlformats.org/officeDocument/2006/relationships/hyperlink" Target="https://drive.google.com/open?id=15e7AnSIm3RaRKgA9FLaTNzwHCYwf_zU0" TargetMode="External"/><Relationship Id="rId2168" Type="http://schemas.openxmlformats.org/officeDocument/2006/relationships/hyperlink" Target="https://drive.google.com/open?id=1ML1VIfmc4skkE78ANPWdGVE0ljIhXWaB" TargetMode="External"/><Relationship Id="rId2169" Type="http://schemas.openxmlformats.org/officeDocument/2006/relationships/hyperlink" Target="https://drive.google.com/open?id=1LkMcJAD4XRW993_9QVLchJ0KrOTPAEOB" TargetMode="External"/><Relationship Id="rId3499" Type="http://schemas.openxmlformats.org/officeDocument/2006/relationships/hyperlink" Target="https://drive.google.com/open?id=17cFqIAoECKfp6j3wWB9yDjiCJyErtN4m" TargetMode="External"/><Relationship Id="rId2159" Type="http://schemas.openxmlformats.org/officeDocument/2006/relationships/hyperlink" Target="https://drive.google.com/open?id=1fWwTI5sxviIVQGEIiKxDsX0LSJ3oPhK_" TargetMode="External"/><Relationship Id="rId3481" Type="http://schemas.openxmlformats.org/officeDocument/2006/relationships/hyperlink" Target="https://drive.google.com/open?id=16V6DX6JcTF2qZ5o48U7vaDXsO6OUQCbx" TargetMode="External"/><Relationship Id="rId2150" Type="http://schemas.openxmlformats.org/officeDocument/2006/relationships/hyperlink" Target="http://linkedin.com/in/vedantika-wagaj-8379041aa" TargetMode="External"/><Relationship Id="rId3480" Type="http://schemas.openxmlformats.org/officeDocument/2006/relationships/hyperlink" Target="https://drive.google.com/open?id=1Kb_ky0LJ5PPDRAwM-jchEI9LU2DF_-6R" TargetMode="External"/><Relationship Id="rId2151" Type="http://schemas.openxmlformats.org/officeDocument/2006/relationships/hyperlink" Target="https://preskilet.com/watch?v=6298c2e61eda900004ec124a" TargetMode="External"/><Relationship Id="rId3483" Type="http://schemas.openxmlformats.org/officeDocument/2006/relationships/hyperlink" Target="https://drive.google.com/open?id=1leggXk6eWHPEkZtdpgjg99Vrfn7o2RQ8" TargetMode="External"/><Relationship Id="rId2152" Type="http://schemas.openxmlformats.org/officeDocument/2006/relationships/hyperlink" Target="https://drive.google.com/open?id=1F3M6EixwWe22h_Pz2Pe_cAztQRcEq2Kg" TargetMode="External"/><Relationship Id="rId3482" Type="http://schemas.openxmlformats.org/officeDocument/2006/relationships/hyperlink" Target="https://drive.google.com/open?id=18vnHI_890QzzspJiIrK-1bEQE8u4-gb1" TargetMode="External"/><Relationship Id="rId2153" Type="http://schemas.openxmlformats.org/officeDocument/2006/relationships/hyperlink" Target="https://drive.google.com/open?id=1FT2BCa2Bl2iPq0dw81lowAvAcEG0Ethf" TargetMode="External"/><Relationship Id="rId3485" Type="http://schemas.openxmlformats.org/officeDocument/2006/relationships/hyperlink" Target="https://www.linkedin.com/in/sandip-dadas-70590a212" TargetMode="External"/><Relationship Id="rId2154" Type="http://schemas.openxmlformats.org/officeDocument/2006/relationships/hyperlink" Target="https://drive.google.com/open?id=1vYpIL-i2OAcsF6ot26H29IH5fS1wN-c0" TargetMode="External"/><Relationship Id="rId3484" Type="http://schemas.openxmlformats.org/officeDocument/2006/relationships/hyperlink" Target="https://drive.google.com/open?id=10Cc5DEVjL4bntv1ra7lUdl6b7nag05PG" TargetMode="External"/><Relationship Id="rId2155" Type="http://schemas.openxmlformats.org/officeDocument/2006/relationships/hyperlink" Target="https://drive.google.com/open?id=1sIxT-1wwzzF6lZAtrHmxeUqWirv_Eh3d" TargetMode="External"/><Relationship Id="rId3487" Type="http://schemas.openxmlformats.org/officeDocument/2006/relationships/hyperlink" Target="https://drive.google.com/open?id=1caNEXwQoB6nt8L3iZvKG9j4aobVFT_mN" TargetMode="External"/><Relationship Id="rId2156" Type="http://schemas.openxmlformats.org/officeDocument/2006/relationships/hyperlink" Target="https://drive.google.com/open?id=1C9p3qND74qmrO_0joLguAizq7-Mye6h5" TargetMode="External"/><Relationship Id="rId3486" Type="http://schemas.openxmlformats.org/officeDocument/2006/relationships/hyperlink" Target="https://preskilet.com/watch?v=629b775371d9d70004a56e74" TargetMode="External"/><Relationship Id="rId2157" Type="http://schemas.openxmlformats.org/officeDocument/2006/relationships/hyperlink" Target="https://drive.google.com/open?id=1gxXecLl78QIu6yxK97E70tXwzAzf7VMK" TargetMode="External"/><Relationship Id="rId3489" Type="http://schemas.openxmlformats.org/officeDocument/2006/relationships/hyperlink" Target="https://drive.google.com/open?id=142N1OSA4zsKJtWjbOkDXQch5neos4iOp" TargetMode="External"/><Relationship Id="rId2158" Type="http://schemas.openxmlformats.org/officeDocument/2006/relationships/hyperlink" Target="https://drive.google.com/open?id=1OyNqU2CdiebJUs3XRRpjqiYTBpPODImN" TargetMode="External"/><Relationship Id="rId3488" Type="http://schemas.openxmlformats.org/officeDocument/2006/relationships/hyperlink" Target="https://drive.google.com/open?id=1mmntpr9DkJz8Kl2_pq5I-aurATixhTjn" TargetMode="External"/><Relationship Id="rId2104" Type="http://schemas.openxmlformats.org/officeDocument/2006/relationships/hyperlink" Target="https://drive.google.com/open?id=1e_3M2quLW8OG3RWSiCUufeKGjQzXJAeh" TargetMode="External"/><Relationship Id="rId3436" Type="http://schemas.openxmlformats.org/officeDocument/2006/relationships/hyperlink" Target="https://preskilet.com/watch?v=6298c03a1eda900004ec123d" TargetMode="External"/><Relationship Id="rId4767" Type="http://schemas.openxmlformats.org/officeDocument/2006/relationships/hyperlink" Target="https://drive.google.com/open?id=1_lm2YjUfTwZG78IwNiNj9MCbgvefm_zs" TargetMode="External"/><Relationship Id="rId2105" Type="http://schemas.openxmlformats.org/officeDocument/2006/relationships/hyperlink" Target="https://www.linkedin.com/in/ruchi-meshram-08095a210" TargetMode="External"/><Relationship Id="rId3435" Type="http://schemas.openxmlformats.org/officeDocument/2006/relationships/hyperlink" Target="https://drive.google.com/open?id=1uO7iEzmY2MsA9ZvsUPSTS4rKcTrbCQ2R" TargetMode="External"/><Relationship Id="rId4766" Type="http://schemas.openxmlformats.org/officeDocument/2006/relationships/hyperlink" Target="https://drive.google.com/open?id=1n1lDG0OsWA666366jug7f-nVLSRAyP9F" TargetMode="External"/><Relationship Id="rId2106" Type="http://schemas.openxmlformats.org/officeDocument/2006/relationships/hyperlink" Target="https://preskilet.com/watch?v=62a394d2a6956a0004600959" TargetMode="External"/><Relationship Id="rId3438" Type="http://schemas.openxmlformats.org/officeDocument/2006/relationships/hyperlink" Target="https://drive.google.com/open?id=1XixW_Xd-XQD58XPHC2DYLsfO9MvEq9ja" TargetMode="External"/><Relationship Id="rId4769" Type="http://schemas.openxmlformats.org/officeDocument/2006/relationships/hyperlink" Target="https://drive.google.com/drive/folders/1nLMrEhTkVpe5y7Rf3G_hInNXaap5tUTz" TargetMode="External"/><Relationship Id="rId2107" Type="http://schemas.openxmlformats.org/officeDocument/2006/relationships/hyperlink" Target="https://drive.google.com/open?id=12CWmNNL_yPIkjMxwDxWNhhhpxze_6LH8" TargetMode="External"/><Relationship Id="rId3437" Type="http://schemas.openxmlformats.org/officeDocument/2006/relationships/hyperlink" Target="https://drive.google.com/open?id=1BcJUrrvGpsy8JZqGdlZCG517mUO6IaZ-" TargetMode="External"/><Relationship Id="rId4768" Type="http://schemas.openxmlformats.org/officeDocument/2006/relationships/hyperlink" Target="http://www.linkedin.com/in/akshay-chaure-b50809207" TargetMode="External"/><Relationship Id="rId2108" Type="http://schemas.openxmlformats.org/officeDocument/2006/relationships/hyperlink" Target="https://drive.google.com/open?id=1U_coPwjUGrzpasqe8EcmvPlU3dv0Rk6q" TargetMode="External"/><Relationship Id="rId2109" Type="http://schemas.openxmlformats.org/officeDocument/2006/relationships/hyperlink" Target="https://drive.google.com/open?id=1Oqs38vsEbGu5Z5m4UUSKFhRKJvLhT6jB" TargetMode="External"/><Relationship Id="rId3439" Type="http://schemas.openxmlformats.org/officeDocument/2006/relationships/hyperlink" Target="https://drive.google.com/open?id=1FfX53P_nyDKOY84JNzCSHz3uKfxCM-Wq" TargetMode="External"/><Relationship Id="rId3430" Type="http://schemas.openxmlformats.org/officeDocument/2006/relationships/hyperlink" Target="https://drive.google.com/open?id=1t1DHB6mwX8i3MaPy_NAsJUQkY8lYWEJb" TargetMode="External"/><Relationship Id="rId4761" Type="http://schemas.openxmlformats.org/officeDocument/2006/relationships/hyperlink" Target="https://drive.google.com/open?id=1TkM_IJLwGn_r-VvG5eANAXYEO507rpP5" TargetMode="External"/><Relationship Id="rId4760" Type="http://schemas.openxmlformats.org/officeDocument/2006/relationships/hyperlink" Target="https://drive.google.com/open?id=18niFup5Oj00tFKAUxLV7jR_YAd5xxORo" TargetMode="External"/><Relationship Id="rId2100" Type="http://schemas.openxmlformats.org/officeDocument/2006/relationships/hyperlink" Target="https://drive.google.com/open?id=15ZU-W9UakXm_SlDHlJfYlEj4z_s3iF92" TargetMode="External"/><Relationship Id="rId3432" Type="http://schemas.openxmlformats.org/officeDocument/2006/relationships/hyperlink" Target="https://drive.google.com/open?id=1APKhVS4G6ilyxkS3-vtcLzIZOgO2Wfub" TargetMode="External"/><Relationship Id="rId4763" Type="http://schemas.openxmlformats.org/officeDocument/2006/relationships/hyperlink" Target="https://drive.google.com/drive/folders/1ovyKstr4LwuhTx6G3Oos7ckQ6V8nc5iT" TargetMode="External"/><Relationship Id="rId2101" Type="http://schemas.openxmlformats.org/officeDocument/2006/relationships/hyperlink" Target="https://drive.google.com/open?id=1JNsYVXgNvuyiSiexPB1bO-HEmPU_dHf_" TargetMode="External"/><Relationship Id="rId3431" Type="http://schemas.openxmlformats.org/officeDocument/2006/relationships/hyperlink" Target="https://drive.google.com/open?id=1Z6T2Blc9BNVW5vN38dXuwPL6exYMrk8s" TargetMode="External"/><Relationship Id="rId4762" Type="http://schemas.openxmlformats.org/officeDocument/2006/relationships/hyperlink" Target="https://www.linkedin.com/public-profile/settings" TargetMode="External"/><Relationship Id="rId2102" Type="http://schemas.openxmlformats.org/officeDocument/2006/relationships/hyperlink" Target="https://drive.google.com/open?id=1cLqgOD7mmi2nFXSPd8BK8nevcOuYoFGu" TargetMode="External"/><Relationship Id="rId3434" Type="http://schemas.openxmlformats.org/officeDocument/2006/relationships/hyperlink" Target="https://drive.google.com/open?id=1SiosQ9EHY-szgcc4nGMi88L4VBRv5CJa" TargetMode="External"/><Relationship Id="rId4765" Type="http://schemas.openxmlformats.org/officeDocument/2006/relationships/hyperlink" Target="https://drive.google.com/open?id=1fM_HqC3fKft7sx-m6RY7LxgjMM2uEjeZ" TargetMode="External"/><Relationship Id="rId2103" Type="http://schemas.openxmlformats.org/officeDocument/2006/relationships/hyperlink" Target="https://drive.google.com/open?id=1Gefjgg5z2l3Mv1KfP5iDPsQoi1CmidrT" TargetMode="External"/><Relationship Id="rId3433" Type="http://schemas.openxmlformats.org/officeDocument/2006/relationships/hyperlink" Target="https://drive.google.com/open?id=1j1Pwm5R5MaUCMGJGRf5A-wjlP_oNvq0J" TargetMode="External"/><Relationship Id="rId4764" Type="http://schemas.openxmlformats.org/officeDocument/2006/relationships/hyperlink" Target="https://drive.google.com/open?id=1sCsJao3YbdVRZTJ3BuoqnbcvQByRiPlO" TargetMode="External"/><Relationship Id="rId3425" Type="http://schemas.openxmlformats.org/officeDocument/2006/relationships/hyperlink" Target="https://drive.google.com/open?id=16X8JMmGdqPEnIV30_Qp_4eUuijouMms1" TargetMode="External"/><Relationship Id="rId4756" Type="http://schemas.openxmlformats.org/officeDocument/2006/relationships/hyperlink" Target="https://drive.google.com/open?id=1shu3Yh4A2xvBPc-9UmywtpwHfVggFmGK" TargetMode="External"/><Relationship Id="rId3424" Type="http://schemas.openxmlformats.org/officeDocument/2006/relationships/hyperlink" Target="https://drive.google.com/open?id=1viFOUiOvcPq6xPcoPFSWgflftyalGk77" TargetMode="External"/><Relationship Id="rId4755" Type="http://schemas.openxmlformats.org/officeDocument/2006/relationships/hyperlink" Target="https://drive.google.com/open?id=1Qv9CTOyTudMeTgpgpdh7UpX9W5ct1mp5" TargetMode="External"/><Relationship Id="rId3427" Type="http://schemas.openxmlformats.org/officeDocument/2006/relationships/hyperlink" Target="https://drive.google.com/open?id=1xj5LT2MJKrYmVyOdCG_brpuJAeN_uuz-" TargetMode="External"/><Relationship Id="rId4758" Type="http://schemas.openxmlformats.org/officeDocument/2006/relationships/hyperlink" Target="https://www.linkedin.com/in/nikhil-shinde-b50680241" TargetMode="External"/><Relationship Id="rId3426" Type="http://schemas.openxmlformats.org/officeDocument/2006/relationships/hyperlink" Target="https://drive.google.com/open?id=1DbhARxWnjqjaMYR58IMDpR68hZ2RBpCt" TargetMode="External"/><Relationship Id="rId4757" Type="http://schemas.openxmlformats.org/officeDocument/2006/relationships/hyperlink" Target="https://drive.google.com/open?id=1FMIZMebh-VmDmBpDeJt5jDx1oeLiH_JS" TargetMode="External"/><Relationship Id="rId3429" Type="http://schemas.openxmlformats.org/officeDocument/2006/relationships/hyperlink" Target="https://drive.google.com/drive/folders/1Afj3QlBKNzrmgDaxYYnGLScKomMel8Fl" TargetMode="External"/><Relationship Id="rId3428" Type="http://schemas.openxmlformats.org/officeDocument/2006/relationships/hyperlink" Target="https://www.linkedin.com/in/suchand-dongare-901230241/" TargetMode="External"/><Relationship Id="rId4759" Type="http://schemas.openxmlformats.org/officeDocument/2006/relationships/hyperlink" Target="https://drive.google.com/file/d/1rwhpbbnDCNw9v4hKlCb1KE0X59C0MtDl/view?usp=drivesdk" TargetMode="External"/><Relationship Id="rId899" Type="http://schemas.openxmlformats.org/officeDocument/2006/relationships/hyperlink" Target="https://drive.google.com/open?id=1IH2VScje2jHcxBve558v5ZcbpFu-zwtp" TargetMode="External"/><Relationship Id="rId898" Type="http://schemas.openxmlformats.org/officeDocument/2006/relationships/hyperlink" Target="https://drive.google.com/open?id=1_jYz3Wa_ldav1yukEqfyGof_Y_k4RGO7" TargetMode="External"/><Relationship Id="rId897" Type="http://schemas.openxmlformats.org/officeDocument/2006/relationships/hyperlink" Target="https://drive.google.com/open?id=1riIK3qNoLmvKoX6U2324I1sSAtWF0hzS" TargetMode="External"/><Relationship Id="rId896" Type="http://schemas.openxmlformats.org/officeDocument/2006/relationships/hyperlink" Target="https://preskilet.com/watch?v=62a24090fed70c00042b6962" TargetMode="External"/><Relationship Id="rId891" Type="http://schemas.openxmlformats.org/officeDocument/2006/relationships/hyperlink" Target="https://drive.google.com/open?id=1SDnWXOg0tdIs1-_EKWgBX8qb-a7VB7_E" TargetMode="External"/><Relationship Id="rId890" Type="http://schemas.openxmlformats.org/officeDocument/2006/relationships/hyperlink" Target="https://drive.google.com/open?id=1aSCI_38gHLAUn5be81WRHSIJHYmJi_JE" TargetMode="External"/><Relationship Id="rId4750" Type="http://schemas.openxmlformats.org/officeDocument/2006/relationships/hyperlink" Target="http://www.linkedin.com/in/mayank-raj-saha-3856b2208" TargetMode="External"/><Relationship Id="rId895" Type="http://schemas.openxmlformats.org/officeDocument/2006/relationships/hyperlink" Target="https://www.linkedin.com/in/divyachaudhari105/" TargetMode="External"/><Relationship Id="rId3421" Type="http://schemas.openxmlformats.org/officeDocument/2006/relationships/hyperlink" Target="https://preskilet.com/6295e3e8716ac1000498147c" TargetMode="External"/><Relationship Id="rId4752" Type="http://schemas.openxmlformats.org/officeDocument/2006/relationships/hyperlink" Target="https://drive.google.com/open?id=1mkN_eV2sw_H-Nu65CJDU3A_Xe0ZNQkWP" TargetMode="External"/><Relationship Id="rId894" Type="http://schemas.openxmlformats.org/officeDocument/2006/relationships/hyperlink" Target="https://drive.google.com/open?id=168sYOZR8wk27dYO8wrp-jBE96rSp_na2" TargetMode="External"/><Relationship Id="rId3420" Type="http://schemas.openxmlformats.org/officeDocument/2006/relationships/hyperlink" Target="https://www.linkedin.com/in/samyak-dethe-152115241" TargetMode="External"/><Relationship Id="rId4751" Type="http://schemas.openxmlformats.org/officeDocument/2006/relationships/hyperlink" Target="https://preskilet.com/watch?v=62a351c6a6956a00045ffdee" TargetMode="External"/><Relationship Id="rId893" Type="http://schemas.openxmlformats.org/officeDocument/2006/relationships/hyperlink" Target="https://drive.google.com/open?id=1AxBmvCKF3tNe5yeSjO2L405EpquwXpyP" TargetMode="External"/><Relationship Id="rId3423" Type="http://schemas.openxmlformats.org/officeDocument/2006/relationships/hyperlink" Target="https://drive.google.com/open?id=1MUSyXrXlvxEiRiqi4G_KajBQTgGja-7A" TargetMode="External"/><Relationship Id="rId4754" Type="http://schemas.openxmlformats.org/officeDocument/2006/relationships/hyperlink" Target="https://drive.google.com/open?id=1qgNG0xsO4L8M15q0BJsyUxetnL45BJmy" TargetMode="External"/><Relationship Id="rId892" Type="http://schemas.openxmlformats.org/officeDocument/2006/relationships/hyperlink" Target="https://drive.google.com/open?id=1CsRh7qni_C50jBvvUB7grigZKrDKTx4U" TargetMode="External"/><Relationship Id="rId3422" Type="http://schemas.openxmlformats.org/officeDocument/2006/relationships/hyperlink" Target="https://drive.google.com/open?id=19xlZUE9yyY0npjJdRHd2UHB5t88hS9wZ" TargetMode="External"/><Relationship Id="rId4753" Type="http://schemas.openxmlformats.org/officeDocument/2006/relationships/hyperlink" Target="https://drive.google.com/open?id=1G93aGhdUIyccVI72_4k4nfkIDNLxVMQJ" TargetMode="External"/><Relationship Id="rId2126" Type="http://schemas.openxmlformats.org/officeDocument/2006/relationships/hyperlink" Target="https://drive.google.com/open?id=1fDbAA8VA4BF5_Jbn3idvfJeJTHfjPGyj" TargetMode="External"/><Relationship Id="rId3458" Type="http://schemas.openxmlformats.org/officeDocument/2006/relationships/hyperlink" Target="https://drive.google.com/open?id=18lgMM2XTKVgHPfFeKHIUT--yrtylAVeX" TargetMode="External"/><Relationship Id="rId4789" Type="http://schemas.openxmlformats.org/officeDocument/2006/relationships/hyperlink" Target="https://drive.google.com/drive/folders/1vLt1NM1f_c-_PgFuFTENQ8qIwCpEHSBw?usp=sharing" TargetMode="External"/><Relationship Id="rId2127" Type="http://schemas.openxmlformats.org/officeDocument/2006/relationships/hyperlink" Target="https://drive.google.com/open?id=1N03VOGOgCLyac8tDIrmW36JEhm9c99tm" TargetMode="External"/><Relationship Id="rId3457" Type="http://schemas.openxmlformats.org/officeDocument/2006/relationships/hyperlink" Target="https://drive.google.com/open?id=1kbQ4p_a2V5B2JBQkVqCjt6UZYhXsA1IM" TargetMode="External"/><Relationship Id="rId4788" Type="http://schemas.openxmlformats.org/officeDocument/2006/relationships/hyperlink" Target="http://www.linkedin.com/in/shambhuraj-patil-5b2948241" TargetMode="External"/><Relationship Id="rId2128" Type="http://schemas.openxmlformats.org/officeDocument/2006/relationships/hyperlink" Target="https://drive.google.com/open?id=1iVv4JfQzz-UUZjgo8nqa8a7PtF8Ibrro" TargetMode="External"/><Relationship Id="rId2129" Type="http://schemas.openxmlformats.org/officeDocument/2006/relationships/hyperlink" Target="https://drive.google.com/open?id=1wSQ62mTwy27lkWRnPNdtmnH4Gium_o6Y" TargetMode="External"/><Relationship Id="rId3459" Type="http://schemas.openxmlformats.org/officeDocument/2006/relationships/hyperlink" Target="https://www.linkedin.com/in/pratik-gaikwad-a12258196/" TargetMode="External"/><Relationship Id="rId3450" Type="http://schemas.openxmlformats.org/officeDocument/2006/relationships/hyperlink" Target="https://drive.google.com/open?id=1fvwunk8IFwi8t5E-fFlaDlCjdJLx9Ye9" TargetMode="External"/><Relationship Id="rId4781" Type="http://schemas.openxmlformats.org/officeDocument/2006/relationships/hyperlink" Target="https://drive.google.com/open?id=1-ak525gRxq8nyfL8Le0VePagQ1BqYbQN" TargetMode="External"/><Relationship Id="rId4780" Type="http://schemas.openxmlformats.org/officeDocument/2006/relationships/hyperlink" Target="https://drive.google.com/open?id=1YnmIVP_2oynJmekGOi0TrI7b9Y8nItOL" TargetMode="External"/><Relationship Id="rId2120" Type="http://schemas.openxmlformats.org/officeDocument/2006/relationships/hyperlink" Target="https://drive.google.com/open?id=12ZHGWgMhTldiOUW354va_dlTjbZvO-T5" TargetMode="External"/><Relationship Id="rId3452" Type="http://schemas.openxmlformats.org/officeDocument/2006/relationships/hyperlink" Target="https://www.linkedin.com/in/ankita-khose-a85496226" TargetMode="External"/><Relationship Id="rId4783" Type="http://schemas.openxmlformats.org/officeDocument/2006/relationships/hyperlink" Target="http://www.linkedin.com/in/omkar-dumne-13385a241" TargetMode="External"/><Relationship Id="rId2121" Type="http://schemas.openxmlformats.org/officeDocument/2006/relationships/hyperlink" Target="https://drive.google.com/open?id=1jAfC-WDZZEEujnZevENe2tkJlym8AGNC" TargetMode="External"/><Relationship Id="rId3451" Type="http://schemas.openxmlformats.org/officeDocument/2006/relationships/hyperlink" Target="https://drive.google.com/open?id=1gna159mnBrPgJuOcWFkEy-QAiswhwPfp" TargetMode="External"/><Relationship Id="rId4782" Type="http://schemas.openxmlformats.org/officeDocument/2006/relationships/hyperlink" Target="https://drive.google.com/open?id=19cP3NhP6Egy5yijyNtiMW_LprqWINn6r" TargetMode="External"/><Relationship Id="rId2122" Type="http://schemas.openxmlformats.org/officeDocument/2006/relationships/hyperlink" Target="https://drive.google.com/open?id=1-4YhGsuNMdaBrBZilU20EUIreZQaS4h4" TargetMode="External"/><Relationship Id="rId3454" Type="http://schemas.openxmlformats.org/officeDocument/2006/relationships/hyperlink" Target="https://drive.google.com/open?id=1TzWmq8sJlQeDfiGzvabsO84_RShqf7Ij" TargetMode="External"/><Relationship Id="rId4785" Type="http://schemas.openxmlformats.org/officeDocument/2006/relationships/hyperlink" Target="https://drive.google.com/open?id=1J6lIMiIIneDpOpgOsBB9v-v6V1M-YaHA" TargetMode="External"/><Relationship Id="rId2123" Type="http://schemas.openxmlformats.org/officeDocument/2006/relationships/hyperlink" Target="https://www.linkedin.com/in/aniket-singh-842509214/" TargetMode="External"/><Relationship Id="rId3453" Type="http://schemas.openxmlformats.org/officeDocument/2006/relationships/hyperlink" Target="https://preskilet.com/watch?v=62b4a41230b28000045236e7" TargetMode="External"/><Relationship Id="rId4784" Type="http://schemas.openxmlformats.org/officeDocument/2006/relationships/hyperlink" Target="http://www.com" TargetMode="External"/><Relationship Id="rId2124" Type="http://schemas.openxmlformats.org/officeDocument/2006/relationships/hyperlink" Target="https://drive.google.com/file/d/1NKkfGqCjEwViA7r5p6a5mtSCktDjECnb/view?usp=sharing" TargetMode="External"/><Relationship Id="rId3456" Type="http://schemas.openxmlformats.org/officeDocument/2006/relationships/hyperlink" Target="https://drive.google.com/open?id=1XCIAc3EjkSovHyMXhLMaHd8LNtgfwTvy" TargetMode="External"/><Relationship Id="rId4787" Type="http://schemas.openxmlformats.org/officeDocument/2006/relationships/hyperlink" Target="https://drive.google.com/open?id=1LRWY_WN0tQwjRqCfpyWVP7r_A9E8-k0v" TargetMode="External"/><Relationship Id="rId2125" Type="http://schemas.openxmlformats.org/officeDocument/2006/relationships/hyperlink" Target="https://drive.google.com/open?id=1xv1sHHFW3sMoOrxj3K9LYsuhAnvEvYCO" TargetMode="External"/><Relationship Id="rId3455" Type="http://schemas.openxmlformats.org/officeDocument/2006/relationships/hyperlink" Target="https://drive.google.com/open?id=1dt9mPFcido2Jb6Eibo1ZPfn7GWLwh9ih" TargetMode="External"/><Relationship Id="rId4786" Type="http://schemas.openxmlformats.org/officeDocument/2006/relationships/hyperlink" Target="https://drive.google.com/open?id=1tzNDefyEfTfGb8A8VUXkH7TAdbGQBGuk" TargetMode="External"/><Relationship Id="rId2115" Type="http://schemas.openxmlformats.org/officeDocument/2006/relationships/hyperlink" Target="https://drive.google.com/open?id=1zevn3AlmvVMnquGpone36FLrS9qxqt0H" TargetMode="External"/><Relationship Id="rId3447" Type="http://schemas.openxmlformats.org/officeDocument/2006/relationships/hyperlink" Target="https://preskilet.com/fjcharde@mitaoe.ac.in" TargetMode="External"/><Relationship Id="rId4778" Type="http://schemas.openxmlformats.org/officeDocument/2006/relationships/hyperlink" Target="https://www.linkedin.com/in/samiksha-gade-56b748202" TargetMode="External"/><Relationship Id="rId2116" Type="http://schemas.openxmlformats.org/officeDocument/2006/relationships/hyperlink" Target="https://drive.google.com/open?id=1cdLj11PoHfX_4M-spSEiqHYl7I-KkT23" TargetMode="External"/><Relationship Id="rId3446" Type="http://schemas.openxmlformats.org/officeDocument/2006/relationships/hyperlink" Target="https://www.linkedin.com/in/falguni-charde-2749511b0/" TargetMode="External"/><Relationship Id="rId4777" Type="http://schemas.openxmlformats.org/officeDocument/2006/relationships/hyperlink" Target="https://drive.google.com/open?id=1uAl4I2cqmhUj7U2FY4QkgbF_OqU-QRNp" TargetMode="External"/><Relationship Id="rId2117" Type="http://schemas.openxmlformats.org/officeDocument/2006/relationships/hyperlink" Target="https://www.linkedin.com/in/akarsh-sharat-0883111b7/" TargetMode="External"/><Relationship Id="rId3449" Type="http://schemas.openxmlformats.org/officeDocument/2006/relationships/hyperlink" Target="https://drive.google.com/open?id=1qFCbqqDJSwpji6Bq-7KCpIvRpdrvebY-" TargetMode="External"/><Relationship Id="rId2118" Type="http://schemas.openxmlformats.org/officeDocument/2006/relationships/hyperlink" Target="https://preskilet.com/asharat@mitaoe.ac.in" TargetMode="External"/><Relationship Id="rId3448" Type="http://schemas.openxmlformats.org/officeDocument/2006/relationships/hyperlink" Target="https://drive.google.com/open?id=1h89qKGJ3l6Vwu3REx1opGLZzASMkZa79" TargetMode="External"/><Relationship Id="rId4779" Type="http://schemas.openxmlformats.org/officeDocument/2006/relationships/hyperlink" Target="https://drive.google.com/drive/folders/1SMkZNnv6kpxHVY4wy3Ri1_XKdrgzVWbk" TargetMode="External"/><Relationship Id="rId2119" Type="http://schemas.openxmlformats.org/officeDocument/2006/relationships/hyperlink" Target="https://drive.google.com/open?id=1UU7Q9_hhs7Jphm77OqVMf-AsIWzChQ76" TargetMode="External"/><Relationship Id="rId4770" Type="http://schemas.openxmlformats.org/officeDocument/2006/relationships/hyperlink" Target="https://drive.google.com/open?id=1mez-bvFlSc4qSp0EA9gIo9FUY8FrruuM" TargetMode="External"/><Relationship Id="rId3441" Type="http://schemas.openxmlformats.org/officeDocument/2006/relationships/hyperlink" Target="https://drive.google.com/open?id=1qPFu_EWylNvfN_u44joK2WPD3HbfmMEh" TargetMode="External"/><Relationship Id="rId4772" Type="http://schemas.openxmlformats.org/officeDocument/2006/relationships/hyperlink" Target="http://www.linkedin.com/in/varun-manaji-675859241" TargetMode="External"/><Relationship Id="rId2110" Type="http://schemas.openxmlformats.org/officeDocument/2006/relationships/hyperlink" Target="https://drive.google.com/open?id=17efCWNmBGoBg9InNlUwo3CwKMgfn1wtk" TargetMode="External"/><Relationship Id="rId3440" Type="http://schemas.openxmlformats.org/officeDocument/2006/relationships/hyperlink" Target="https://drive.google.com/open?id=1IzSzmineMJ2guuemznBb6AbvkxY2JcVq" TargetMode="External"/><Relationship Id="rId4771" Type="http://schemas.openxmlformats.org/officeDocument/2006/relationships/hyperlink" Target="https://drive.google.com/open?id=1VxLbeYq2ZWGf0xXfbjmrqWSsDFUy-rmu" TargetMode="External"/><Relationship Id="rId2111" Type="http://schemas.openxmlformats.org/officeDocument/2006/relationships/hyperlink" Target="https://drive.google.com/open?id=1PViamT8eaLPdvWiznEvq8ag29M94IZwV" TargetMode="External"/><Relationship Id="rId3443" Type="http://schemas.openxmlformats.org/officeDocument/2006/relationships/hyperlink" Target="https://drive.google.com/open?id=1yW3iXf5hgCChIshZXdFVtsDOqlOF-wu3" TargetMode="External"/><Relationship Id="rId4774" Type="http://schemas.openxmlformats.org/officeDocument/2006/relationships/hyperlink" Target="https://drive.google.com/open?id=16nziKmNLMXC0oOR98JE44q5hGv3z09P_" TargetMode="External"/><Relationship Id="rId2112" Type="http://schemas.openxmlformats.org/officeDocument/2006/relationships/hyperlink" Target="https://drive.google.com/open?id=1HNI6x1k8tF42N82PaoIu4GX5Fn7b6nip" TargetMode="External"/><Relationship Id="rId3442" Type="http://schemas.openxmlformats.org/officeDocument/2006/relationships/hyperlink" Target="https://drive.google.com/open?id=1H6ayuDaUe9B6OZwsWDCuJWmPktWB9XI-" TargetMode="External"/><Relationship Id="rId4773" Type="http://schemas.openxmlformats.org/officeDocument/2006/relationships/hyperlink" Target="https://drive.google.com/drive/folders/1r1WX53umW8Q4wIQBtyrZXrmiqcQlMOI3?usp=sharing" TargetMode="External"/><Relationship Id="rId2113" Type="http://schemas.openxmlformats.org/officeDocument/2006/relationships/hyperlink" Target="https://drive.google.com/open?id=1H7cujRxoRtGIt0hwvK3zAONErmtGg2j3" TargetMode="External"/><Relationship Id="rId3445" Type="http://schemas.openxmlformats.org/officeDocument/2006/relationships/hyperlink" Target="https://drive.google.com/open?id=1IvsevRIoMR9PfZnSNxEhIHkmXYgSYvng" TargetMode="External"/><Relationship Id="rId4776" Type="http://schemas.openxmlformats.org/officeDocument/2006/relationships/hyperlink" Target="https://drive.google.com/open?id=1koxGbBGelZoUjGG_MDZoZNYs37JrcMLf" TargetMode="External"/><Relationship Id="rId2114" Type="http://schemas.openxmlformats.org/officeDocument/2006/relationships/hyperlink" Target="https://drive.google.com/open?id=1yQACqQMNBw7_Tw2C4s9JcVCiY3AAnQGk" TargetMode="External"/><Relationship Id="rId3444" Type="http://schemas.openxmlformats.org/officeDocument/2006/relationships/hyperlink" Target="https://drive.google.com/open?id=15YRkH3LTYqopKx38vRhbhGlNtbVN1lhT" TargetMode="External"/><Relationship Id="rId4775" Type="http://schemas.openxmlformats.org/officeDocument/2006/relationships/hyperlink" Target="https://drive.google.com/open?id=1usuXPoiXIEiMJWJj4zGEgqtA-6VqPb3H"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drive.google.com/open?id=17FXG19RRGu_DGEivCgvuA3NvF5dPklry" TargetMode="External"/><Relationship Id="rId391" Type="http://schemas.openxmlformats.org/officeDocument/2006/relationships/hyperlink" Target="https://drive.google.com/open?id=1rvCJQSZeaF_sh5m4XBcKXDFnldNBm5lz" TargetMode="External"/><Relationship Id="rId390" Type="http://schemas.openxmlformats.org/officeDocument/2006/relationships/hyperlink" Target="https://drive.google.com/open?id=1dp1TQQ6AqF8oD1Iu_-sNUYMzp4XGgKjM" TargetMode="External"/><Relationship Id="rId385" Type="http://schemas.openxmlformats.org/officeDocument/2006/relationships/hyperlink" Target="https://drive.google.com/open?id=1JNsYVXgNvuyiSiexPB1bO-HEmPU_dHf_" TargetMode="External"/><Relationship Id="rId384" Type="http://schemas.openxmlformats.org/officeDocument/2006/relationships/hyperlink" Target="https://drive.google.com/open?id=15ZU-W9UakXm_SlDHlJfYlEj4z_s3iF92" TargetMode="External"/><Relationship Id="rId383" Type="http://schemas.openxmlformats.org/officeDocument/2006/relationships/hyperlink" Target="https://drive.google.com/open?id=1ub3YMeX4ibXZgM1unqYpqfReOLVC_wl4" TargetMode="External"/><Relationship Id="rId382" Type="http://schemas.openxmlformats.org/officeDocument/2006/relationships/hyperlink" Target="https://drive.google.com/open?id=1rSWmjYAjVZUHgnJO-Uon-ZAdpxqxkCzT" TargetMode="External"/><Relationship Id="rId389" Type="http://schemas.openxmlformats.org/officeDocument/2006/relationships/hyperlink" Target="https://drive.google.com/open?id=1wSQ62mTwy27lkWRnPNdtmnH4Gium_o6Y" TargetMode="External"/><Relationship Id="rId388" Type="http://schemas.openxmlformats.org/officeDocument/2006/relationships/hyperlink" Target="https://drive.google.com/open?id=1iVv4JfQzz-UUZjgo8nqa8a7PtF8Ibrro" TargetMode="External"/><Relationship Id="rId387" Type="http://schemas.openxmlformats.org/officeDocument/2006/relationships/hyperlink" Target="https://drive.google.com/open?id=1cdLj11PoHfX_4M-spSEiqHYl7I-KkT23" TargetMode="External"/><Relationship Id="rId386" Type="http://schemas.openxmlformats.org/officeDocument/2006/relationships/hyperlink" Target="https://drive.google.com/open?id=1zevn3AlmvVMnquGpone36FLrS9qxqt0H" TargetMode="External"/><Relationship Id="rId381" Type="http://schemas.openxmlformats.org/officeDocument/2006/relationships/hyperlink" Target="https://drive.google.com/open?id=1tDZwHivvBu9O0vA1BE2QAKUE_h3cp-Mw" TargetMode="External"/><Relationship Id="rId380" Type="http://schemas.openxmlformats.org/officeDocument/2006/relationships/hyperlink" Target="https://drive.google.com/open?id=1CaJe0Muz2Pp7DxYBriYF5RYvdP5rzu3K" TargetMode="External"/><Relationship Id="rId379" Type="http://schemas.openxmlformats.org/officeDocument/2006/relationships/hyperlink" Target="https://drive.google.com/open?id=1QMSQtZYRTry01AEIfX36OnNIV1vO8eEV" TargetMode="External"/><Relationship Id="rId374" Type="http://schemas.openxmlformats.org/officeDocument/2006/relationships/hyperlink" Target="https://drive.google.com/open?id=1O1n-0puml6BxsqPLepkmKytUDi1aiuPA" TargetMode="External"/><Relationship Id="rId373" Type="http://schemas.openxmlformats.org/officeDocument/2006/relationships/hyperlink" Target="https://drive.google.com/open?id=1z7e15fucf1cBwSysuXwMzlv8i8rZvJkL" TargetMode="External"/><Relationship Id="rId372" Type="http://schemas.openxmlformats.org/officeDocument/2006/relationships/hyperlink" Target="https://drive.google.com/file/d/1h-2rE8Zuhw0Ym7FOoECvpEOoEaln7-Pk/view?usp=sharing" TargetMode="External"/><Relationship Id="rId371" Type="http://schemas.openxmlformats.org/officeDocument/2006/relationships/hyperlink" Target="https://drive.google.com/open?id=1BuiuK4WsRes6qL1q10xoOh1RASxRyivd" TargetMode="External"/><Relationship Id="rId378" Type="http://schemas.openxmlformats.org/officeDocument/2006/relationships/hyperlink" Target="https://drive.google.com/open?id=1vE7-G70t8Mlj_KuMfvtWU4GKCRqh9k9Q" TargetMode="External"/><Relationship Id="rId377" Type="http://schemas.openxmlformats.org/officeDocument/2006/relationships/hyperlink" Target="https://drive.google.com/open?id=1deaX6G5zlGLpCymr6jhlY_1E_8LP709u" TargetMode="External"/><Relationship Id="rId376" Type="http://schemas.openxmlformats.org/officeDocument/2006/relationships/hyperlink" Target="https://drive.google.com/open?id=1nkjFCw94Z_vwiXbggGbAGr5GC6o6EjO6" TargetMode="External"/><Relationship Id="rId375" Type="http://schemas.openxmlformats.org/officeDocument/2006/relationships/hyperlink" Target="https://drive.google.com/open?id=1qbX_SEzWKE3K9mlBILcU01WyOU_2HuGW" TargetMode="External"/><Relationship Id="rId396" Type="http://schemas.openxmlformats.org/officeDocument/2006/relationships/hyperlink" Target="https://drive.google.com/open?id=107P3sBl5xTYrrp8ZBbnRTpaaXTFEZNDv" TargetMode="External"/><Relationship Id="rId395" Type="http://schemas.openxmlformats.org/officeDocument/2006/relationships/hyperlink" Target="https://drive.google.com/open?id=1fdrpA3X9ODwpCfRsiG2BasHp6npxZ-_R" TargetMode="External"/><Relationship Id="rId394" Type="http://schemas.openxmlformats.org/officeDocument/2006/relationships/hyperlink" Target="https://drive.google.com/open?id=1PJ5NmKfE2nmay7q6-Rf8V_LY3hQcDspj" TargetMode="External"/><Relationship Id="rId393" Type="http://schemas.openxmlformats.org/officeDocument/2006/relationships/hyperlink" Target="https://drive.google.com/open?id=1TQWoXe4Ckb5IRizb8LTEP1tqoEDsh9MI" TargetMode="External"/><Relationship Id="rId399" Type="http://schemas.openxmlformats.org/officeDocument/2006/relationships/hyperlink" Target="https://drive.google.com/open?id=1G0S64yRwx26r-UopZrbH8nr41XGk06aP" TargetMode="External"/><Relationship Id="rId398" Type="http://schemas.openxmlformats.org/officeDocument/2006/relationships/hyperlink" Target="https://drive.google.com/open?id=1J0dPUnxSuxcIfQoQE2pgwQBc2-amkXSe" TargetMode="External"/><Relationship Id="rId397" Type="http://schemas.openxmlformats.org/officeDocument/2006/relationships/hyperlink" Target="https://drive.google.com/open?id=1InOJ2oKwuW7i-A2KeS6KziDPpCm2BI29" TargetMode="External"/><Relationship Id="rId40" Type="http://schemas.openxmlformats.org/officeDocument/2006/relationships/hyperlink" Target="https://drive.google.com/open?id=19fEJ5Qjn3a1z0D-_a47XSct2pgL63DiN" TargetMode="External"/><Relationship Id="rId42" Type="http://schemas.openxmlformats.org/officeDocument/2006/relationships/hyperlink" Target="https://drive.google.com/open?id=1Q3cVBfGHdQVKClP9-yIrd9fYucWQgrTE" TargetMode="External"/><Relationship Id="rId41" Type="http://schemas.openxmlformats.org/officeDocument/2006/relationships/hyperlink" Target="https://drive.google.com/open?id=1vRCR6HGRX9j2zpyVhRT7M6hRv5W_ua0s" TargetMode="External"/><Relationship Id="rId44" Type="http://schemas.openxmlformats.org/officeDocument/2006/relationships/hyperlink" Target="https://drive.google.com/open?id=10Q6dv4FRnYDG6eBWztRYM964J5hJClGj" TargetMode="External"/><Relationship Id="rId43" Type="http://schemas.openxmlformats.org/officeDocument/2006/relationships/hyperlink" Target="https://drive.google.com/open?id=1aLgxcsIKya47mQY3uaHMJVNCRvLA7vzu" TargetMode="External"/><Relationship Id="rId46" Type="http://schemas.openxmlformats.org/officeDocument/2006/relationships/hyperlink" Target="https://drive.google.com/open?id=1tTF8S1XX3zrq3ws_O-4fstQO9VWC4wBG" TargetMode="External"/><Relationship Id="rId45" Type="http://schemas.openxmlformats.org/officeDocument/2006/relationships/hyperlink" Target="https://drive.google.com/open?id=1GeiNFiNXEEuYTh7h4Xqt9jd1Hhm6ztzM" TargetMode="External"/><Relationship Id="rId48" Type="http://schemas.openxmlformats.org/officeDocument/2006/relationships/hyperlink" Target="https://drive.google.com/open?id=1TbhUDdowE7dsGYSQSfYKsiQzfScUDjiU" TargetMode="External"/><Relationship Id="rId47" Type="http://schemas.openxmlformats.org/officeDocument/2006/relationships/hyperlink" Target="https://drive.google.com/open?id=1VszIljcAZZQX5C3XdCVv-Ywk6oyZwxjz" TargetMode="External"/><Relationship Id="rId49" Type="http://schemas.openxmlformats.org/officeDocument/2006/relationships/hyperlink" Target="https://drive.google.com/open?id=1oL-5g06g78vZiQnH4ZDC3-A5oJBGblr-" TargetMode="External"/><Relationship Id="rId31" Type="http://schemas.openxmlformats.org/officeDocument/2006/relationships/hyperlink" Target="https://drive.google.com/open?id=1zgf7m8lIhme9L5aAndWuUCcpJILvVVw3" TargetMode="External"/><Relationship Id="rId30" Type="http://schemas.openxmlformats.org/officeDocument/2006/relationships/hyperlink" Target="https://drive.google.com/open?id=1TMytd4Fz3CWyTn_lcBLM0MFopZbRwWGw" TargetMode="External"/><Relationship Id="rId33" Type="http://schemas.openxmlformats.org/officeDocument/2006/relationships/hyperlink" Target="https://drive.google.com/open?id=184qPuMDaH-0jHLtqZOtk7eDkzoat-IZU" TargetMode="External"/><Relationship Id="rId32" Type="http://schemas.openxmlformats.org/officeDocument/2006/relationships/hyperlink" Target="https://drive.google.com/open?id=1owPTUNZGwJh4uyyJQc9BpXi6givWw2cC" TargetMode="External"/><Relationship Id="rId35" Type="http://schemas.openxmlformats.org/officeDocument/2006/relationships/hyperlink" Target="https://drive.google.com/open?id=1DCJ-JcXvaz6pqmKfBKXOGFGTgsNj5CCg" TargetMode="External"/><Relationship Id="rId34" Type="http://schemas.openxmlformats.org/officeDocument/2006/relationships/hyperlink" Target="https://drive.google.com/open?id=1fADerOnXlHgmEqlZuHTDhOKbmrSdUasE" TargetMode="External"/><Relationship Id="rId37" Type="http://schemas.openxmlformats.org/officeDocument/2006/relationships/hyperlink" Target="https://drive.google.com/open?id=1Oixbv-2MskggiY9auU-I9Punxuv4iKK0" TargetMode="External"/><Relationship Id="rId36" Type="http://schemas.openxmlformats.org/officeDocument/2006/relationships/hyperlink" Target="https://drive.google.com/open?id=1dsqOlwE1VKwNkKGhha14nxysjjWIdEYL" TargetMode="External"/><Relationship Id="rId39" Type="http://schemas.openxmlformats.org/officeDocument/2006/relationships/hyperlink" Target="https://drive.google.com/open?id=1zO6cvezL7S99QxyQMtTqONMlKYfkeiK7" TargetMode="External"/><Relationship Id="rId38" Type="http://schemas.openxmlformats.org/officeDocument/2006/relationships/hyperlink" Target="https://drive.google.com/open?id=1pDxDPXzfbTU5MGK1l3E2-FsoqGjyy3p1" TargetMode="External"/><Relationship Id="rId20" Type="http://schemas.openxmlformats.org/officeDocument/2006/relationships/hyperlink" Target="https://drive.google.com/open?id=1lfIHDGjeb4M6_jc6OvsrpBkNTKhzXDKj" TargetMode="External"/><Relationship Id="rId22" Type="http://schemas.openxmlformats.org/officeDocument/2006/relationships/hyperlink" Target="https://drive.google.com/open?id=1QYyO-mrt7jA_YMPiWXLjmeGwY9veMT2o" TargetMode="External"/><Relationship Id="rId21" Type="http://schemas.openxmlformats.org/officeDocument/2006/relationships/hyperlink" Target="https://drive.google.com/open?id=1GghKr_fCQNo6ehevfucExehBBgXeiHNj" TargetMode="External"/><Relationship Id="rId24" Type="http://schemas.openxmlformats.org/officeDocument/2006/relationships/hyperlink" Target="https://drive.google.com/open?id=1ggj80GUjr6boO1RLgvpGigSsCUYqB-D1" TargetMode="External"/><Relationship Id="rId23" Type="http://schemas.openxmlformats.org/officeDocument/2006/relationships/hyperlink" Target="https://drive.google.com/open?id=1CHEG0iN2hPcek_8b5J44llfDQmj5UZFE" TargetMode="External"/><Relationship Id="rId26" Type="http://schemas.openxmlformats.org/officeDocument/2006/relationships/hyperlink" Target="https://drive.google.com/open?id=1Wu5T8jRB53w_Ap66NrQh-0fRh9LrXsYz" TargetMode="External"/><Relationship Id="rId25" Type="http://schemas.openxmlformats.org/officeDocument/2006/relationships/hyperlink" Target="https://drive.google.com/open?id=1gRs4EydM8SsMCjhDtn07IhZVbVK8K5fP" TargetMode="External"/><Relationship Id="rId28" Type="http://schemas.openxmlformats.org/officeDocument/2006/relationships/hyperlink" Target="https://drive.google.com/open?id=1bBSXmvUAxE3YB8ZGI0c65AWHo2ghIyDY" TargetMode="External"/><Relationship Id="rId27" Type="http://schemas.openxmlformats.org/officeDocument/2006/relationships/hyperlink" Target="https://drive.google.com/open?id=1kXLZ4UI-_G-9GvQQRpqZMI7A9or_fqpb" TargetMode="External"/><Relationship Id="rId29" Type="http://schemas.openxmlformats.org/officeDocument/2006/relationships/hyperlink" Target="https://drive.google.com/open?id=1L_9j2rDLF5IVjBOuK25Zq7RdEci50Qpi" TargetMode="External"/><Relationship Id="rId11" Type="http://schemas.openxmlformats.org/officeDocument/2006/relationships/hyperlink" Target="https://drive.google.com/open?id=1vz9yWXEUDRS3xAqZlWvXV4bGmIvqhoNw" TargetMode="External"/><Relationship Id="rId10" Type="http://schemas.openxmlformats.org/officeDocument/2006/relationships/hyperlink" Target="https://drive.google.com/open?id=15Ig3Y9hHmqNB8pKxQgSJ6iye1QESUeTI" TargetMode="External"/><Relationship Id="rId13" Type="http://schemas.openxmlformats.org/officeDocument/2006/relationships/hyperlink" Target="https://drive.google.com/open?id=1Fc7ScvjNcn1wLhOSmslzhmMK13TnvjRp" TargetMode="External"/><Relationship Id="rId12" Type="http://schemas.openxmlformats.org/officeDocument/2006/relationships/hyperlink" Target="https://drive.google.com/open?id=1T6t5rYg3vbxwMBMM_l-qeiLWQ89cD7E1" TargetMode="External"/><Relationship Id="rId15" Type="http://schemas.openxmlformats.org/officeDocument/2006/relationships/hyperlink" Target="https://drive.google.com/open?id=1Mnd1CLht39bf9DpJDCGSP34HQNYKZZ3a" TargetMode="External"/><Relationship Id="rId14" Type="http://schemas.openxmlformats.org/officeDocument/2006/relationships/hyperlink" Target="https://drive.google.com/open?id=1P7XyhErceNpdKpfFsoIr1LKevkCY40Hu" TargetMode="External"/><Relationship Id="rId17" Type="http://schemas.openxmlformats.org/officeDocument/2006/relationships/hyperlink" Target="https://drive.google.com/open?id=1dkjXD-sVGOKaSSmiwEPhYUx11vKZDmtQ" TargetMode="External"/><Relationship Id="rId16" Type="http://schemas.openxmlformats.org/officeDocument/2006/relationships/hyperlink" Target="https://drive.google.com/open?id=1MbNuN1N2ZPwCjcXNmgPRrMZLjf4bMbbS" TargetMode="External"/><Relationship Id="rId19" Type="http://schemas.openxmlformats.org/officeDocument/2006/relationships/hyperlink" Target="https://drive.google.com/open?id=12TbaA5bN97wUAmnRwPy6KTj3sFoxi91Y" TargetMode="External"/><Relationship Id="rId18" Type="http://schemas.openxmlformats.org/officeDocument/2006/relationships/hyperlink" Target="https://drive.google.com/open?id=103pgvfoNJs2ZlmaLmyBezcePa-ag6VM-" TargetMode="External"/><Relationship Id="rId84" Type="http://schemas.openxmlformats.org/officeDocument/2006/relationships/hyperlink" Target="https://drive.google.com/open?id=1DZYA-vWarvjrsq5ubVWQ02EEsyp4uPUk" TargetMode="External"/><Relationship Id="rId83" Type="http://schemas.openxmlformats.org/officeDocument/2006/relationships/hyperlink" Target="https://drive.google.com/open?id=13BL7rMV-GJPlaRN6PBf2UrwcVO8FSBa6" TargetMode="External"/><Relationship Id="rId86" Type="http://schemas.openxmlformats.org/officeDocument/2006/relationships/hyperlink" Target="https://drive.google.com/open?id=13fRV0IUE1au2v6RJ5FxrtNO1a7PeJtt6" TargetMode="External"/><Relationship Id="rId85" Type="http://schemas.openxmlformats.org/officeDocument/2006/relationships/hyperlink" Target="https://drive.google.com/open?id=1bdU5XyGJsUR_VbVysgXue6I4bkd7xjEK" TargetMode="External"/><Relationship Id="rId88" Type="http://schemas.openxmlformats.org/officeDocument/2006/relationships/hyperlink" Target="https://drive.google.com/open?id=1GQbd7w35xfYDZtIt_NXPaXsZF9GZftR9" TargetMode="External"/><Relationship Id="rId87" Type="http://schemas.openxmlformats.org/officeDocument/2006/relationships/hyperlink" Target="https://drive.google.com/open?id=1lc4rj5JrZPyUskl-a7k94N9NBqosP-Zc" TargetMode="External"/><Relationship Id="rId89" Type="http://schemas.openxmlformats.org/officeDocument/2006/relationships/hyperlink" Target="https://drive.google.com/open?id=1MmaoRtSP_OlOpQYS9z0t04N0FRxM-5w4" TargetMode="External"/><Relationship Id="rId80" Type="http://schemas.openxmlformats.org/officeDocument/2006/relationships/hyperlink" Target="https://drive.google.com/open?id=1rrLzV-rrIzFllOSAsxQweyiEwwMKiDdx" TargetMode="External"/><Relationship Id="rId82" Type="http://schemas.openxmlformats.org/officeDocument/2006/relationships/hyperlink" Target="https://drive.google.com/open?id=17XOfSOinXUUJp2DKCD5t-XE-vaWF-RNf" TargetMode="External"/><Relationship Id="rId81" Type="http://schemas.openxmlformats.org/officeDocument/2006/relationships/hyperlink" Target="https://drive.google.com/open?id=1j5tZeqAjRg3B0NRgfOhC3WtaWvxB8-nU" TargetMode="External"/><Relationship Id="rId73" Type="http://schemas.openxmlformats.org/officeDocument/2006/relationships/hyperlink" Target="https://drive.google.com/open?id=1aZ15cH_3RefuJk3wjcTUwhUjDo3XcKLv" TargetMode="External"/><Relationship Id="rId72" Type="http://schemas.openxmlformats.org/officeDocument/2006/relationships/hyperlink" Target="https://drive.google.com/open?id=1SB5cowl9JJm59XhjrXvC6xbKN6VIoO5D" TargetMode="External"/><Relationship Id="rId75" Type="http://schemas.openxmlformats.org/officeDocument/2006/relationships/hyperlink" Target="https://drive.google.com/open?id=1USQTT99eRhYCIrLpzz5qD-qxkyDhmBv0" TargetMode="External"/><Relationship Id="rId74" Type="http://schemas.openxmlformats.org/officeDocument/2006/relationships/hyperlink" Target="https://drive.google.com/open?id=1RDRjlUg78CjkTMqYKPFlYkIwulFB7y5Z" TargetMode="External"/><Relationship Id="rId77" Type="http://schemas.openxmlformats.org/officeDocument/2006/relationships/hyperlink" Target="https://drive.google.com/open?id=1XySCkZrCdXwZd7x5HgMWhKgPuYqH5vFI" TargetMode="External"/><Relationship Id="rId76" Type="http://schemas.openxmlformats.org/officeDocument/2006/relationships/hyperlink" Target="https://drive.google.com/open?id=1PvIdBfFykibVxIOJzK0-gwPylnBTyoSE" TargetMode="External"/><Relationship Id="rId79" Type="http://schemas.openxmlformats.org/officeDocument/2006/relationships/hyperlink" Target="https://drive.google.com/open?id=1gdgXvckDpi3tFS2ujdKLJzw3lGwje3-7" TargetMode="External"/><Relationship Id="rId78" Type="http://schemas.openxmlformats.org/officeDocument/2006/relationships/hyperlink" Target="https://drive.google.com/open?id=1oqiauIsRWgMLv-F6DZyxrnai2siQw17S" TargetMode="External"/><Relationship Id="rId71" Type="http://schemas.openxmlformats.org/officeDocument/2006/relationships/hyperlink" Target="https://drive.google.com/open?id=1vKGXx7ogn71b8C02PiyoniCQE60k60zi" TargetMode="External"/><Relationship Id="rId70" Type="http://schemas.openxmlformats.org/officeDocument/2006/relationships/hyperlink" Target="https://drive.google.com/open?id=19vMIPZZ_RSyTGFS5aDZKawdDrKmAfoDf" TargetMode="External"/><Relationship Id="rId62" Type="http://schemas.openxmlformats.org/officeDocument/2006/relationships/hyperlink" Target="https://drive.google.com/open?id=1CJzDE8hCsn8de-qwf9X3mgaIAwNr4PR1" TargetMode="External"/><Relationship Id="rId61" Type="http://schemas.openxmlformats.org/officeDocument/2006/relationships/hyperlink" Target="https://drive.google.com/open?id=1Ef5I96eQ1wZhNFP-TNSznq-wDlR5fe_Y" TargetMode="External"/><Relationship Id="rId64" Type="http://schemas.openxmlformats.org/officeDocument/2006/relationships/hyperlink" Target="https://drive.google.com/open?id=1WaVqkQpki_wjAZflOLMpZ9fUY2olqYri" TargetMode="External"/><Relationship Id="rId63" Type="http://schemas.openxmlformats.org/officeDocument/2006/relationships/hyperlink" Target="https://drive.google.com/open?id=19H5yE9lYgj26CNIWFgCU1Omc9Yi8sjSM" TargetMode="External"/><Relationship Id="rId66" Type="http://schemas.openxmlformats.org/officeDocument/2006/relationships/hyperlink" Target="https://drive.google.com/open?id=18RGAk-VN_x8L5Tkixh4LdJac6JuqsaxQ" TargetMode="External"/><Relationship Id="rId65" Type="http://schemas.openxmlformats.org/officeDocument/2006/relationships/hyperlink" Target="https://drive.google.com/open?id=1MyPNBd-_4d95QZ7rCBiCPG8T7XAy5SQV" TargetMode="External"/><Relationship Id="rId68" Type="http://schemas.openxmlformats.org/officeDocument/2006/relationships/hyperlink" Target="https://drive.google.com/open?id=1Yheoy-7OSpIqfH6ew2hqb_Q7y5Skn9-G" TargetMode="External"/><Relationship Id="rId67" Type="http://schemas.openxmlformats.org/officeDocument/2006/relationships/hyperlink" Target="https://drive.google.com/open?id=1qcFPgTazC_9OpRcEWDCJEAP30feaj-UB" TargetMode="External"/><Relationship Id="rId60" Type="http://schemas.openxmlformats.org/officeDocument/2006/relationships/hyperlink" Target="https://drive.google.com/open?id=1zhm6OWKg2JZC2cFKcL6UpEbqpTdcUkMd" TargetMode="External"/><Relationship Id="rId69" Type="http://schemas.openxmlformats.org/officeDocument/2006/relationships/hyperlink" Target="https://drive.google.com/open?id=1PNl2VMFHw0tefBZwU39wza4beXG8K9Pt" TargetMode="External"/><Relationship Id="rId51" Type="http://schemas.openxmlformats.org/officeDocument/2006/relationships/hyperlink" Target="https://drive.google.com/open?id=1f-f7U541vbYJy5pIlPTbGCyf77tziADq" TargetMode="External"/><Relationship Id="rId50" Type="http://schemas.openxmlformats.org/officeDocument/2006/relationships/hyperlink" Target="https://drive.google.com/open?id=1FJpAUz-Bfd0HGCQ9w_SDJ5E3WwdEAGAd" TargetMode="External"/><Relationship Id="rId53" Type="http://schemas.openxmlformats.org/officeDocument/2006/relationships/hyperlink" Target="https://drive.google.com/open?id=1Wjkh6JuEWxNw4BpI16O90GB9H2wlskv7" TargetMode="External"/><Relationship Id="rId52" Type="http://schemas.openxmlformats.org/officeDocument/2006/relationships/hyperlink" Target="https://drive.google.com/open?id=1P82rGiW0qnpiYC-xZYGIQbjMb2BY3qDK" TargetMode="External"/><Relationship Id="rId55" Type="http://schemas.openxmlformats.org/officeDocument/2006/relationships/hyperlink" Target="https://drive.google.com/open?id=1crxyVcYayQ9NIVRq9Pufn20_ak3gX1Md" TargetMode="External"/><Relationship Id="rId54" Type="http://schemas.openxmlformats.org/officeDocument/2006/relationships/hyperlink" Target="https://drive.google.com/open?id=1jGuvfOv_H5sQaFF4QTHXEEKxfWtiNE-U" TargetMode="External"/><Relationship Id="rId57" Type="http://schemas.openxmlformats.org/officeDocument/2006/relationships/hyperlink" Target="https://drive.google.com/open?id=1vZMWoPVhd3i5ah1kSDH3rrVV_Hmuv4EP" TargetMode="External"/><Relationship Id="rId56" Type="http://schemas.openxmlformats.org/officeDocument/2006/relationships/hyperlink" Target="https://drive.google.com/open?id=1a1kraQ66uDHxGOEwbPeHZgebVXJXw5KV" TargetMode="External"/><Relationship Id="rId59" Type="http://schemas.openxmlformats.org/officeDocument/2006/relationships/hyperlink" Target="https://drive.google.com/open?id=177VAik1HHj4CQ-zjYFWVqO17ZSNAIYD3" TargetMode="External"/><Relationship Id="rId58" Type="http://schemas.openxmlformats.org/officeDocument/2006/relationships/hyperlink" Target="https://drive.google.com/open?id=1ko1ejfu0d4e2L1eFVmh5pi5MODGCBm4s" TargetMode="External"/><Relationship Id="rId349" Type="http://schemas.openxmlformats.org/officeDocument/2006/relationships/hyperlink" Target="https://drive.google.com/open?id=1BIn8TeO-9-ThZUcPdzTOqgNJITfi0X1I" TargetMode="External"/><Relationship Id="rId348" Type="http://schemas.openxmlformats.org/officeDocument/2006/relationships/hyperlink" Target="https://drive.google.com/open?id=1yGxmi9aUX0TouCCOkh1tvrqMZjoUxvMz" TargetMode="External"/><Relationship Id="rId347" Type="http://schemas.openxmlformats.org/officeDocument/2006/relationships/hyperlink" Target="https://drive.google.com/open?id=1jzL_He5vxng2XvukxV5Ac_c7yLrn53Ln" TargetMode="External"/><Relationship Id="rId346" Type="http://schemas.openxmlformats.org/officeDocument/2006/relationships/hyperlink" Target="https://drive.google.com/open?id=1TJtFXLcePxXdRrmSnCSzxjKKdoyF1fVX" TargetMode="External"/><Relationship Id="rId341" Type="http://schemas.openxmlformats.org/officeDocument/2006/relationships/hyperlink" Target="https://drive.google.com/open?id=1jZ8uw_o3VakHp6GFQKdVD4tWNKBxSC-v" TargetMode="External"/><Relationship Id="rId340" Type="http://schemas.openxmlformats.org/officeDocument/2006/relationships/hyperlink" Target="https://drive.google.com/open?id=1L0A5VcLSHPhhWzJ77-fhIWAzhVLNkDS8" TargetMode="External"/><Relationship Id="rId345" Type="http://schemas.openxmlformats.org/officeDocument/2006/relationships/hyperlink" Target="https://drive.google.com/open?id=1znfvSsThOJ2WxTBnQybBOGoTqkMyH4-3" TargetMode="External"/><Relationship Id="rId344" Type="http://schemas.openxmlformats.org/officeDocument/2006/relationships/hyperlink" Target="https://drive.google.com/open?id=1PadVKFmMI2sVo6OUAzoLZZ9FLZNoiazl" TargetMode="External"/><Relationship Id="rId343" Type="http://schemas.openxmlformats.org/officeDocument/2006/relationships/hyperlink" Target="https://drive.google.com/open?id=1sgXl71WGOvAlLiwhpo5RZ45fgolR7zh7" TargetMode="External"/><Relationship Id="rId342" Type="http://schemas.openxmlformats.org/officeDocument/2006/relationships/hyperlink" Target="https://drive.google.com/open?id=1o4etIlm6a_PnfJ7E0Ix42zXf_zXMml30" TargetMode="External"/><Relationship Id="rId338" Type="http://schemas.openxmlformats.org/officeDocument/2006/relationships/hyperlink" Target="https://drive.google.com/open?id=1_7_B5b_OOZ-OJPKTSl-A8YQLjjgE7W_V" TargetMode="External"/><Relationship Id="rId337" Type="http://schemas.openxmlformats.org/officeDocument/2006/relationships/hyperlink" Target="https://drive.google.com/open?id=1AkE4JUIMMJRFIltvTgB_XQR1OuXUzVKV" TargetMode="External"/><Relationship Id="rId336" Type="http://schemas.openxmlformats.org/officeDocument/2006/relationships/hyperlink" Target="https://drive.google.com/open?id=17J_IYgttXj6P5SLTTCfL2EnJb78BBNFU" TargetMode="External"/><Relationship Id="rId335" Type="http://schemas.openxmlformats.org/officeDocument/2006/relationships/hyperlink" Target="https://drive.google.com/open?id=1WAZK8DVJIF9EESjrnNBlscRn8T3O8zGk" TargetMode="External"/><Relationship Id="rId339" Type="http://schemas.openxmlformats.org/officeDocument/2006/relationships/hyperlink" Target="https://drive.google.com/open?id=18Ma25dlgd2zTdB5AVxjRVh7D-VgL8C9Y" TargetMode="External"/><Relationship Id="rId330" Type="http://schemas.openxmlformats.org/officeDocument/2006/relationships/hyperlink" Target="https://drive.google.com/open?id=1ZMRd9zVvmFnQgKK0hkq7-ljsM_FXkpRi" TargetMode="External"/><Relationship Id="rId334" Type="http://schemas.openxmlformats.org/officeDocument/2006/relationships/hyperlink" Target="https://drive.google.com/open?id=1U04tokLrdtP4sC80pn8qd41RGmD9f-ZY" TargetMode="External"/><Relationship Id="rId333" Type="http://schemas.openxmlformats.org/officeDocument/2006/relationships/hyperlink" Target="https://drive.google.com/open?id=1vllIUva6NzdlEkTWoUQsgk5qhJOXoVxI" TargetMode="External"/><Relationship Id="rId332" Type="http://schemas.openxmlformats.org/officeDocument/2006/relationships/hyperlink" Target="https://drive.google.com/open?id=1oGzTN9XP4M1AeyvENQOjgqSz42kFVy-h" TargetMode="External"/><Relationship Id="rId331" Type="http://schemas.openxmlformats.org/officeDocument/2006/relationships/hyperlink" Target="https://drive.google.com/open?id=1e2G5su6_MZpRWRy98LBs4jGGuVcxD8gU" TargetMode="External"/><Relationship Id="rId370" Type="http://schemas.openxmlformats.org/officeDocument/2006/relationships/hyperlink" Target="https://drive.google.com/open?id=1xTVeV1aWcqs6e_W7QLmpwk4bwrZMf_iZ" TargetMode="External"/><Relationship Id="rId369" Type="http://schemas.openxmlformats.org/officeDocument/2006/relationships/hyperlink" Target="https://drive.google.com/open?id=17BzyueHOwILTekgTIoG2fwN_zGJppppc" TargetMode="External"/><Relationship Id="rId368" Type="http://schemas.openxmlformats.org/officeDocument/2006/relationships/hyperlink" Target="https://drive.google.com/open?id=1ZFaYDU9Czyyp07or6DXihMw8LPmmLGhZ" TargetMode="External"/><Relationship Id="rId363" Type="http://schemas.openxmlformats.org/officeDocument/2006/relationships/hyperlink" Target="https://drive.google.com/open?id=1wDLxRDN4OlVwHyfPuSwUbTt5zvkyOkby" TargetMode="External"/><Relationship Id="rId362" Type="http://schemas.openxmlformats.org/officeDocument/2006/relationships/hyperlink" Target="https://drive.google.com/open?id=1pUbGbAyYFyvBk8gst0zxEHydhhohXrdw" TargetMode="External"/><Relationship Id="rId361" Type="http://schemas.openxmlformats.org/officeDocument/2006/relationships/hyperlink" Target="https://drive.google.com/open?id=16kHvbtrR6ddUxLcNvBpiIPvtAi8W4k1E" TargetMode="External"/><Relationship Id="rId360" Type="http://schemas.openxmlformats.org/officeDocument/2006/relationships/hyperlink" Target="https://drive.google.com/open?id=1rcqYFwDDd_3TQci7wAbIxQ9NxbkLPnbj" TargetMode="External"/><Relationship Id="rId367" Type="http://schemas.openxmlformats.org/officeDocument/2006/relationships/hyperlink" Target="https://drive.google.com/open?id=15ivt1rIsQFtnF0aLYP46hlZ1C9z__QCt" TargetMode="External"/><Relationship Id="rId366" Type="http://schemas.openxmlformats.org/officeDocument/2006/relationships/hyperlink" Target="https://drive.google.com/open?id=12PBadRhz6BUuHAgyESapREWAZwEtBGbd" TargetMode="External"/><Relationship Id="rId365" Type="http://schemas.openxmlformats.org/officeDocument/2006/relationships/hyperlink" Target="https://drive.google.com/open?id=1f3THgGDY9vj36EIpQBLYBaZ6gJ_hQbWy" TargetMode="External"/><Relationship Id="rId364" Type="http://schemas.openxmlformats.org/officeDocument/2006/relationships/hyperlink" Target="https://drive.google.com/open?id=1seQCFtQmXuVZ9X5Xlwc9RZnKWVRpTQ1O" TargetMode="External"/><Relationship Id="rId95" Type="http://schemas.openxmlformats.org/officeDocument/2006/relationships/hyperlink" Target="https://drive.google.com/open?id=1ehOcmwQG0u9XSANpQFRKHj6qFmlf8Eug" TargetMode="External"/><Relationship Id="rId94" Type="http://schemas.openxmlformats.org/officeDocument/2006/relationships/hyperlink" Target="https://drive.google.com/open?id=1o4Zu9lirZtQoBxnh99Xk1b2A3LYaWle5" TargetMode="External"/><Relationship Id="rId97" Type="http://schemas.openxmlformats.org/officeDocument/2006/relationships/hyperlink" Target="https://drive.google.com/open?id=11iFcd4ULmjj0IVBBcMPQzY_WGYS0ZRUU" TargetMode="External"/><Relationship Id="rId96" Type="http://schemas.openxmlformats.org/officeDocument/2006/relationships/hyperlink" Target="https://drive.google.com/open?id=17U1SbiZXYA9i9kQavg4_rMuuZ-TUy0WW" TargetMode="External"/><Relationship Id="rId99" Type="http://schemas.openxmlformats.org/officeDocument/2006/relationships/hyperlink" Target="https://drive.google.com/open?id=1fenwo-8nM_IPAEJo5Fk-UJA0zX5EH4VM" TargetMode="External"/><Relationship Id="rId98" Type="http://schemas.openxmlformats.org/officeDocument/2006/relationships/hyperlink" Target="https://drive.google.com/open?id=1lYJuM49PgOWoVgEdSgH7M3HyqURVpmKa" TargetMode="External"/><Relationship Id="rId91" Type="http://schemas.openxmlformats.org/officeDocument/2006/relationships/hyperlink" Target="https://drive.google.com/open?id=1EiOI6qeYt9ljQL0AbvV5a-BCJb3w-YQK" TargetMode="External"/><Relationship Id="rId90" Type="http://schemas.openxmlformats.org/officeDocument/2006/relationships/hyperlink" Target="https://drive.google.com/open?id=1-V0QqRuaYao2dt5wdDuawoRUAFQV3-oa" TargetMode="External"/><Relationship Id="rId93" Type="http://schemas.openxmlformats.org/officeDocument/2006/relationships/hyperlink" Target="https://drive.google.com/open?id=1tL7pU8JH8twAr3OaFfaLCs7YahQbMuPh" TargetMode="External"/><Relationship Id="rId92" Type="http://schemas.openxmlformats.org/officeDocument/2006/relationships/hyperlink" Target="https://drive.google.com/open?id=1KhYO1Nshg_YqEYMT0g0V83GCqB5dN6-M" TargetMode="External"/><Relationship Id="rId359" Type="http://schemas.openxmlformats.org/officeDocument/2006/relationships/hyperlink" Target="https://drive.google.com/open?id=1_DIRWIvm6h75lFxz5xA7_EGY_WNk-_ot" TargetMode="External"/><Relationship Id="rId358" Type="http://schemas.openxmlformats.org/officeDocument/2006/relationships/hyperlink" Target="https://drive.google.com/open?id=121rSq88M70kLXf1v_FaznSyuuGMTsYC6" TargetMode="External"/><Relationship Id="rId357" Type="http://schemas.openxmlformats.org/officeDocument/2006/relationships/hyperlink" Target="https://drive.google.com/open?id=1aG3Z32lBfQY7SZuTQZOInNzz7--wa9Fe" TargetMode="External"/><Relationship Id="rId352" Type="http://schemas.openxmlformats.org/officeDocument/2006/relationships/hyperlink" Target="https://drive.google.com/open?id=1PC9wnEvwf3xO625k-eMEbd2U7fgHR1HT" TargetMode="External"/><Relationship Id="rId351" Type="http://schemas.openxmlformats.org/officeDocument/2006/relationships/hyperlink" Target="https://drive.google.com/open?id=14_awr6TmnpqDis1o4Shk4qEDzzz1CCdO" TargetMode="External"/><Relationship Id="rId350" Type="http://schemas.openxmlformats.org/officeDocument/2006/relationships/hyperlink" Target="https://drive.google.com/open?id=1aTc78zp-tvPu0HnI48O46BRGIj7XaCfp" TargetMode="External"/><Relationship Id="rId356" Type="http://schemas.openxmlformats.org/officeDocument/2006/relationships/hyperlink" Target="https://drive.google.com/open?id=1NcRqeufrJtvaR0Mh_EGArwndcnanLa7V" TargetMode="External"/><Relationship Id="rId355" Type="http://schemas.openxmlformats.org/officeDocument/2006/relationships/hyperlink" Target="https://drive.google.com/open?id=1n9WtyJiRtJBFxykiww_hj78_PdX6jbtD" TargetMode="External"/><Relationship Id="rId354" Type="http://schemas.openxmlformats.org/officeDocument/2006/relationships/hyperlink" Target="https://drive.google.com/open?id=12ubOmldHue3YKOtOjI4bBf7Wa1Md5HHA" TargetMode="External"/><Relationship Id="rId353" Type="http://schemas.openxmlformats.org/officeDocument/2006/relationships/hyperlink" Target="https://drive.google.com/open?id=1SALW-3vH5YukCoBWAJ3dxifRQJkKghZI" TargetMode="External"/><Relationship Id="rId305" Type="http://schemas.openxmlformats.org/officeDocument/2006/relationships/hyperlink" Target="https://drive.google.com/open?id=1uuHaTGq6EcH2G_P9H0wuh0sdIb3DrMkx" TargetMode="External"/><Relationship Id="rId304" Type="http://schemas.openxmlformats.org/officeDocument/2006/relationships/hyperlink" Target="https://drive.google.com/open?id=1JhsGexIdAR-oWWwGgQ2XSZvOM4nZuonB" TargetMode="External"/><Relationship Id="rId303" Type="http://schemas.openxmlformats.org/officeDocument/2006/relationships/hyperlink" Target="https://drive.google.com/open?id=1em2MfdXysztNQR6_LCUbHj1Yq6_s0hTI" TargetMode="External"/><Relationship Id="rId302" Type="http://schemas.openxmlformats.org/officeDocument/2006/relationships/hyperlink" Target="https://drive.google.com/open?id=1tfFBCdaTRSTEOs7mJAVso4cXD_yiMdDG" TargetMode="External"/><Relationship Id="rId309" Type="http://schemas.openxmlformats.org/officeDocument/2006/relationships/hyperlink" Target="https://drive.google.com/open?id=1HS1TTnojEE72jr2cwNFOY46wIroU3Gmk" TargetMode="External"/><Relationship Id="rId308" Type="http://schemas.openxmlformats.org/officeDocument/2006/relationships/hyperlink" Target="https://drive.google.com/open?id=1BSepHKJRmxYKYNHeTtWgmKxNRnjaIpTv" TargetMode="External"/><Relationship Id="rId307" Type="http://schemas.openxmlformats.org/officeDocument/2006/relationships/hyperlink" Target="https://drive.google.com/open?id=1uZ6ml3PyMY-XsKYQSWocHndh3vKW0YwG" TargetMode="External"/><Relationship Id="rId306" Type="http://schemas.openxmlformats.org/officeDocument/2006/relationships/hyperlink" Target="https://drive.google.com/open?id=1qr52TGrhWSxyfmSMocYVvoGKoRBiOWGr" TargetMode="External"/><Relationship Id="rId301" Type="http://schemas.openxmlformats.org/officeDocument/2006/relationships/hyperlink" Target="https://drive.google.com/open?id=1JtGlfwk_D7VumYgtLb5JBhzIBVEbESaw" TargetMode="External"/><Relationship Id="rId300" Type="http://schemas.openxmlformats.org/officeDocument/2006/relationships/hyperlink" Target="https://drive.google.com/open?id=1i8twQ7S91PFvkp5JNSHYA5kimMXLXne1" TargetMode="External"/><Relationship Id="rId327" Type="http://schemas.openxmlformats.org/officeDocument/2006/relationships/hyperlink" Target="https://drive.google.com/open?id=1NVo1eJOn05Pf8_5ez5k5smoVR7N_2COA" TargetMode="External"/><Relationship Id="rId326" Type="http://schemas.openxmlformats.org/officeDocument/2006/relationships/hyperlink" Target="https://drive.google.com/open?id=1CLqk3eDgg1-M-UIZ8Zw2LLMjddaXVB8p" TargetMode="External"/><Relationship Id="rId325" Type="http://schemas.openxmlformats.org/officeDocument/2006/relationships/hyperlink" Target="https://drive.google.com/open?id=1WRT059_H1SUzm9-KYFznN2tt6n7_vFWf" TargetMode="External"/><Relationship Id="rId324" Type="http://schemas.openxmlformats.org/officeDocument/2006/relationships/hyperlink" Target="https://drive.google.com/open?id=1LJZzN42oksDqxh7x5zEcuh_ECdNlpgDw" TargetMode="External"/><Relationship Id="rId329" Type="http://schemas.openxmlformats.org/officeDocument/2006/relationships/hyperlink" Target="https://drive.google.com/open?id=13jTFatMyij2hzyyEvn0vOnrjAsBRQQvd" TargetMode="External"/><Relationship Id="rId328" Type="http://schemas.openxmlformats.org/officeDocument/2006/relationships/hyperlink" Target="https://drive.google.com/open?id=1Bd43thpVDmRo1S5gOATngo-tRtwsLp39" TargetMode="External"/><Relationship Id="rId323" Type="http://schemas.openxmlformats.org/officeDocument/2006/relationships/hyperlink" Target="https://drive.google.com/open?id=1bRlzRch8Wtxybw4DqIwrm_Y_NG5mQtJU" TargetMode="External"/><Relationship Id="rId322" Type="http://schemas.openxmlformats.org/officeDocument/2006/relationships/hyperlink" Target="https://drive.google.com/open?id=1brsHwvktSUn2DeJecJadtpmbA__7THVc" TargetMode="External"/><Relationship Id="rId321" Type="http://schemas.openxmlformats.org/officeDocument/2006/relationships/hyperlink" Target="https://drive.google.com/open?id=1Ez3yJo0-cMLrDqLM-2j6AbW9pYJpfKWW" TargetMode="External"/><Relationship Id="rId320" Type="http://schemas.openxmlformats.org/officeDocument/2006/relationships/hyperlink" Target="https://drive.google.com/open?id=1371r0Z9zF4GJX2-WWLXJ6z3VJaaxj45A" TargetMode="External"/><Relationship Id="rId316" Type="http://schemas.openxmlformats.org/officeDocument/2006/relationships/hyperlink" Target="https://drive.google.com/open?id=1XD1yv4naNxkmFPQJy8oTVISL0hVcYSnr" TargetMode="External"/><Relationship Id="rId315" Type="http://schemas.openxmlformats.org/officeDocument/2006/relationships/hyperlink" Target="https://drive.google.com/open?id=1SmJv8_JkE9ijk6sOvnyPOc8SCY6llEJC" TargetMode="External"/><Relationship Id="rId314" Type="http://schemas.openxmlformats.org/officeDocument/2006/relationships/hyperlink" Target="https://drive.google.com/open?id=1_4puNbqi2oFVNoxXg94OkDlE-dZhGjH0" TargetMode="External"/><Relationship Id="rId313" Type="http://schemas.openxmlformats.org/officeDocument/2006/relationships/hyperlink" Target="https://drive.google.com/open?id=1dH6Gat6Kk-mrYoeAhgIyNp_P2-iYiO1W" TargetMode="External"/><Relationship Id="rId319" Type="http://schemas.openxmlformats.org/officeDocument/2006/relationships/hyperlink" Target="https://drive.google.com/open?id=1RDgfiGbvHANIzAuKtKftX2XHiRZ6D6aJ" TargetMode="External"/><Relationship Id="rId318" Type="http://schemas.openxmlformats.org/officeDocument/2006/relationships/hyperlink" Target="https://drive.google.com/open?id=1CLpUZaUbQF4_AG-a9kba1uLWBVniE0JJ" TargetMode="External"/><Relationship Id="rId317" Type="http://schemas.openxmlformats.org/officeDocument/2006/relationships/hyperlink" Target="https://drive.google.com/open?id=1KZ0Vm9W_Vn7RHFYt4Afb2aWqRn82PfJM" TargetMode="External"/><Relationship Id="rId312" Type="http://schemas.openxmlformats.org/officeDocument/2006/relationships/hyperlink" Target="https://drive.google.com/open?id=19lPk_C7RILuhEcTbCQtaSRJz6h8pwt6g" TargetMode="External"/><Relationship Id="rId311" Type="http://schemas.openxmlformats.org/officeDocument/2006/relationships/hyperlink" Target="https://drive.google.com/open?id=1Qq1058r0AaEgEfDQckPZB91lIYzCz_Ck" TargetMode="External"/><Relationship Id="rId310" Type="http://schemas.openxmlformats.org/officeDocument/2006/relationships/hyperlink" Target="https://drive.google.com/open?id=1LS-rnDBq-70e_2s1xgQuk1jp8IrZuF3f" TargetMode="External"/><Relationship Id="rId297" Type="http://schemas.openxmlformats.org/officeDocument/2006/relationships/hyperlink" Target="https://drive.google.com/open?id=1R0xdibbpWTk1hhqy5FKVszmxwyvOtxdH" TargetMode="External"/><Relationship Id="rId296" Type="http://schemas.openxmlformats.org/officeDocument/2006/relationships/hyperlink" Target="https://drive.google.com/open?id=1OU9Lu39XCRiiSZSw3IzqCLwrBd7ayhca" TargetMode="External"/><Relationship Id="rId295" Type="http://schemas.openxmlformats.org/officeDocument/2006/relationships/hyperlink" Target="https://drive.google.com/open?id=1UPrH8_lvPcBYZsItX8kQGnpqqQO9zhz7" TargetMode="External"/><Relationship Id="rId294" Type="http://schemas.openxmlformats.org/officeDocument/2006/relationships/hyperlink" Target="https://drive.google.com/open?id=1-8OZMjXVCx5xSFl-pD_9NWOWbmWCTBJ5" TargetMode="External"/><Relationship Id="rId299" Type="http://schemas.openxmlformats.org/officeDocument/2006/relationships/hyperlink" Target="https://drive.google.com/open?id=1AjXsObDaivS_YKOVtNBdLSj9QDZnIAMa" TargetMode="External"/><Relationship Id="rId298" Type="http://schemas.openxmlformats.org/officeDocument/2006/relationships/hyperlink" Target="https://drive.google.com/open?id=1vznIYz71_LDozkEuGd-OjkpYTfplNZq-" TargetMode="External"/><Relationship Id="rId271" Type="http://schemas.openxmlformats.org/officeDocument/2006/relationships/hyperlink" Target="https://drive.google.com/open?id=1HkPRETWE5igSZsmVFln5uO94wfz43S0N" TargetMode="External"/><Relationship Id="rId270" Type="http://schemas.openxmlformats.org/officeDocument/2006/relationships/hyperlink" Target="https://drive.google.com/open?id=1Oz8AHNyV4xDw_GD6WRN42aB7JcgPQK3o" TargetMode="External"/><Relationship Id="rId269" Type="http://schemas.openxmlformats.org/officeDocument/2006/relationships/hyperlink" Target="https://drive.google.com/open?id=1062Bk4WiYBDCjE3HLRnMsd2q2zDc0q1G" TargetMode="External"/><Relationship Id="rId264" Type="http://schemas.openxmlformats.org/officeDocument/2006/relationships/hyperlink" Target="https://drive.google.com/open?id=1QJMljZ8neUvsfEL6WTAf-fU90mxLWHYw" TargetMode="External"/><Relationship Id="rId263" Type="http://schemas.openxmlformats.org/officeDocument/2006/relationships/hyperlink" Target="https://drive.google.com/open?id=1PJamJjl_fyMI4mH5KQzdljDzNX9IpVJw" TargetMode="External"/><Relationship Id="rId262" Type="http://schemas.openxmlformats.org/officeDocument/2006/relationships/hyperlink" Target="https://drive.google.com/open?id=1DvM3c7cvttJ8arGI5IWFqixxFcmRpbZ7" TargetMode="External"/><Relationship Id="rId261" Type="http://schemas.openxmlformats.org/officeDocument/2006/relationships/hyperlink" Target="https://drive.google.com/open?id=1bj87W3TOuF4IPJv1kQNlKiRLqSjqNjCN" TargetMode="External"/><Relationship Id="rId268" Type="http://schemas.openxmlformats.org/officeDocument/2006/relationships/hyperlink" Target="https://drive.google.com/open?id=1Q4urYNpJYvdm-MgyV4GHfwQG51NvlBTd" TargetMode="External"/><Relationship Id="rId267" Type="http://schemas.openxmlformats.org/officeDocument/2006/relationships/hyperlink" Target="https://drive.google.com/open?id=1eZZ-w65x2N0NV70WE7vQIW4gRrbklpGX" TargetMode="External"/><Relationship Id="rId266" Type="http://schemas.openxmlformats.org/officeDocument/2006/relationships/hyperlink" Target="https://drive.google.com/open?id=1OP4bIbEhbgBl79Dlz3JdW-gQedEHJoFd" TargetMode="External"/><Relationship Id="rId265" Type="http://schemas.openxmlformats.org/officeDocument/2006/relationships/hyperlink" Target="https://drive.google.com/open?id=1cJqL-GRHSR4nouTOR4nXuvt6sopcPsQk" TargetMode="External"/><Relationship Id="rId260" Type="http://schemas.openxmlformats.org/officeDocument/2006/relationships/hyperlink" Target="https://drive.google.com/open?id=1p5EIW8t9rEyJAvqb2dxVhoH3bf3uQ-Lf" TargetMode="External"/><Relationship Id="rId259" Type="http://schemas.openxmlformats.org/officeDocument/2006/relationships/hyperlink" Target="https://drive.google.com/open?id=1KljhuOYjnrJwTyaKGNUPt3JX2d2rpJip" TargetMode="External"/><Relationship Id="rId258" Type="http://schemas.openxmlformats.org/officeDocument/2006/relationships/hyperlink" Target="https://drive.google.com/open?id=1W5ZvQoI0FXQp_BHCUVg4HFAt61M8MD2a" TargetMode="External"/><Relationship Id="rId253" Type="http://schemas.openxmlformats.org/officeDocument/2006/relationships/hyperlink" Target="https://drive.google.com/open?id=1wRQ3LrrH2fcAFBCxceMmfRjgCQF5xmMf" TargetMode="External"/><Relationship Id="rId252" Type="http://schemas.openxmlformats.org/officeDocument/2006/relationships/hyperlink" Target="https://drive.google.com/open?id=1sswfNp4_JraVVVcJhpRz9jbfibCMvGot" TargetMode="External"/><Relationship Id="rId251" Type="http://schemas.openxmlformats.org/officeDocument/2006/relationships/hyperlink" Target="https://drive.google.com/open?id=1gtnSFbse3dBqXhckiJMY8OpQLJ-Z5NyV" TargetMode="External"/><Relationship Id="rId250" Type="http://schemas.openxmlformats.org/officeDocument/2006/relationships/hyperlink" Target="https://drive.google.com/open?id=1JnmDFAzA5hYbXM78VYBbtznFhTvIZrdi" TargetMode="External"/><Relationship Id="rId257" Type="http://schemas.openxmlformats.org/officeDocument/2006/relationships/hyperlink" Target="https://drive.google.com/open?id=1frqdhClM84pvW9cQUuS-LY1F_J3fDnDP" TargetMode="External"/><Relationship Id="rId256" Type="http://schemas.openxmlformats.org/officeDocument/2006/relationships/hyperlink" Target="https://drive.google.com/open?id=1t2O05Q_WdwrVkUf97vicx0rGL0IE3ozj" TargetMode="External"/><Relationship Id="rId255" Type="http://schemas.openxmlformats.org/officeDocument/2006/relationships/hyperlink" Target="https://drive.google.com/open?id=1QD6iVvfLcn_LY9Iq78jkWqwLw64dV6pC" TargetMode="External"/><Relationship Id="rId254" Type="http://schemas.openxmlformats.org/officeDocument/2006/relationships/hyperlink" Target="https://drive.google.com/open?id=1hP1dqIBDCnLqkVjn2eQfmI5NqAPbNmIl" TargetMode="External"/><Relationship Id="rId293" Type="http://schemas.openxmlformats.org/officeDocument/2006/relationships/hyperlink" Target="https://drive.google.com/open?id=1htpkmVEtIAgWPHBfYuBH-bGdzEDYbQ8C" TargetMode="External"/><Relationship Id="rId292" Type="http://schemas.openxmlformats.org/officeDocument/2006/relationships/hyperlink" Target="https://drive.google.com/open?id=13HoWzX-sWNzQ0LY8_4EBnxDKpsQ_jydn" TargetMode="External"/><Relationship Id="rId291" Type="http://schemas.openxmlformats.org/officeDocument/2006/relationships/hyperlink" Target="https://drive.google.com/open?id=1oUrOJox8eoXZIaxHbayQZ0S5XdjbIdZk" TargetMode="External"/><Relationship Id="rId290" Type="http://schemas.openxmlformats.org/officeDocument/2006/relationships/hyperlink" Target="https://drive.google.com/open?id=181STrEVea-5Ktp55ZmAKmwSSIU7uY8mv" TargetMode="External"/><Relationship Id="rId286" Type="http://schemas.openxmlformats.org/officeDocument/2006/relationships/hyperlink" Target="https://drive.google.com/open?id=1Y93rGGAxbVSoCy5DGWzgHKOpMepkvdry" TargetMode="External"/><Relationship Id="rId285" Type="http://schemas.openxmlformats.org/officeDocument/2006/relationships/hyperlink" Target="https://drive.google.com/open?id=1zJAVQThgS_sqVlTOgHkFdS_5q_-h5kyV" TargetMode="External"/><Relationship Id="rId284" Type="http://schemas.openxmlformats.org/officeDocument/2006/relationships/hyperlink" Target="https://drive.google.com/open?id=1aJqrPbycb3q7Eycu3rGKt1zxcuBu9XWX" TargetMode="External"/><Relationship Id="rId283" Type="http://schemas.openxmlformats.org/officeDocument/2006/relationships/hyperlink" Target="https://drive.google.com/open?id=1zYAM1z42jyoC7pO4ng6GEHZSUkSlA5o-" TargetMode="External"/><Relationship Id="rId289" Type="http://schemas.openxmlformats.org/officeDocument/2006/relationships/hyperlink" Target="https://drive.google.com/open?id=1IjdOq2KL-tA4skD9QvmLOFFwReX5Zoax" TargetMode="External"/><Relationship Id="rId288" Type="http://schemas.openxmlformats.org/officeDocument/2006/relationships/hyperlink" Target="https://drive.google.com/open?id=15VoLA9cXhCYwLfliDsrZUgpTXYeDRhC9" TargetMode="External"/><Relationship Id="rId287" Type="http://schemas.openxmlformats.org/officeDocument/2006/relationships/hyperlink" Target="https://drive.google.com/open?id=1rFVsRqt2UoQelRZc3PzrS21bOQcuwSHt" TargetMode="External"/><Relationship Id="rId282" Type="http://schemas.openxmlformats.org/officeDocument/2006/relationships/hyperlink" Target="https://drive.google.com/open?id=1wdBBN5UNel0SpRf_YLg-NF3_qjb3-ywQ" TargetMode="External"/><Relationship Id="rId281" Type="http://schemas.openxmlformats.org/officeDocument/2006/relationships/hyperlink" Target="https://drive.google.com/open?id=1_N67j_0v6boUXD8pe2vvQcGmFi_dkMj5" TargetMode="External"/><Relationship Id="rId280" Type="http://schemas.openxmlformats.org/officeDocument/2006/relationships/hyperlink" Target="https://drive.google.com/open?id=1um4dO9unN4GATROOyHGJd4v2smFkPmYB" TargetMode="External"/><Relationship Id="rId275" Type="http://schemas.openxmlformats.org/officeDocument/2006/relationships/hyperlink" Target="https://drive.google.com/open?id=1l6DrpjDcvAonCjPE2ZAAUF9FWvAY6O9D" TargetMode="External"/><Relationship Id="rId274" Type="http://schemas.openxmlformats.org/officeDocument/2006/relationships/hyperlink" Target="https://drive.google.com/open?id=1EZiLaAq8vlcG6xetMsx6yvC3ShmuCWP-" TargetMode="External"/><Relationship Id="rId273" Type="http://schemas.openxmlformats.org/officeDocument/2006/relationships/hyperlink" Target="https://drive.google.com/open?id=11jiIFiPPu5f565AtZRE8Bmv-lqFOhFz2" TargetMode="External"/><Relationship Id="rId272" Type="http://schemas.openxmlformats.org/officeDocument/2006/relationships/hyperlink" Target="https://drive.google.com/open?id=1S4ubonDs47Fsao3Nxhg95G7DowMPaVwT" TargetMode="External"/><Relationship Id="rId279" Type="http://schemas.openxmlformats.org/officeDocument/2006/relationships/hyperlink" Target="https://drive.google.com/open?id=1FiHuYblsAt8oom6NoGnUm_N5vgUXQQrj" TargetMode="External"/><Relationship Id="rId278" Type="http://schemas.openxmlformats.org/officeDocument/2006/relationships/hyperlink" Target="https://drive.google.com/open?id=1oiGi1eHbxsgULmnW-SjznzOloWEFoT1v" TargetMode="External"/><Relationship Id="rId277" Type="http://schemas.openxmlformats.org/officeDocument/2006/relationships/hyperlink" Target="https://drive.google.com/open?id=1toNp5ETACJNxOmOCU5Bf4wEBJiJbk4YE" TargetMode="External"/><Relationship Id="rId276" Type="http://schemas.openxmlformats.org/officeDocument/2006/relationships/hyperlink" Target="https://drive.google.com/open?id=1S_7SBZ01dfO5qNEIrBSESUqRMc34F_6M" TargetMode="External"/><Relationship Id="rId228" Type="http://schemas.openxmlformats.org/officeDocument/2006/relationships/hyperlink" Target="https://drive.google.com/open?id=1YAznBikHIwxslRQEkQlEnLxHo1T7c_B7" TargetMode="External"/><Relationship Id="rId227" Type="http://schemas.openxmlformats.org/officeDocument/2006/relationships/hyperlink" Target="https://drive.google.com/open?id=1tRO4QbVHNbDcV8frp3JP7HwT2FfM8oOq" TargetMode="External"/><Relationship Id="rId226" Type="http://schemas.openxmlformats.org/officeDocument/2006/relationships/hyperlink" Target="https://drive.google.com/open?id=1LzPWOHqvcMdQmDwnP57TQeZmnt2u3gtY" TargetMode="External"/><Relationship Id="rId225" Type="http://schemas.openxmlformats.org/officeDocument/2006/relationships/hyperlink" Target="https://drive.google.com/open?id=1ybt_7U_EgpgNXrqi0vmUycx57piMcFYI" TargetMode="External"/><Relationship Id="rId229" Type="http://schemas.openxmlformats.org/officeDocument/2006/relationships/hyperlink" Target="https://drive.google.com/open?id=1W1AED5nUKt4AQXsUEqZPpLcUIGTycSQz" TargetMode="External"/><Relationship Id="rId220" Type="http://schemas.openxmlformats.org/officeDocument/2006/relationships/hyperlink" Target="https://drive.google.com/open?id=1rmy99AFBxPNHoW5yLEyX5l4FQpH3MeD6" TargetMode="External"/><Relationship Id="rId224" Type="http://schemas.openxmlformats.org/officeDocument/2006/relationships/hyperlink" Target="https://drive.google.com/open?id=1Rt1y9iJDz4en1ju8eDionK7KXjo2HMjf" TargetMode="External"/><Relationship Id="rId223" Type="http://schemas.openxmlformats.org/officeDocument/2006/relationships/hyperlink" Target="https://drive.google.com/open?id=1pOMB-jURA7WaQP7_PnlDLkOVHiiLTtH8" TargetMode="External"/><Relationship Id="rId222" Type="http://schemas.openxmlformats.org/officeDocument/2006/relationships/hyperlink" Target="https://drive.google.com/open?id=1NgQlzdaKCFK7_Yva-CPFmKMvqK14aVKO" TargetMode="External"/><Relationship Id="rId221" Type="http://schemas.openxmlformats.org/officeDocument/2006/relationships/hyperlink" Target="https://drive.google.com/open?id=1wl5nKZKqgZy7j92PjpqvAR9_2iw9ZPcr" TargetMode="External"/><Relationship Id="rId217" Type="http://schemas.openxmlformats.org/officeDocument/2006/relationships/hyperlink" Target="https://drive.google.com/open?id=15EIjlBMwcNwk3gWlJCFLYlZws2oSWJKn" TargetMode="External"/><Relationship Id="rId216" Type="http://schemas.openxmlformats.org/officeDocument/2006/relationships/hyperlink" Target="https://drive.google.com/open?id=1CtburNCNrj5DYLJUg-b1Jutcic9arYnx" TargetMode="External"/><Relationship Id="rId215" Type="http://schemas.openxmlformats.org/officeDocument/2006/relationships/hyperlink" Target="https://drive.google.com/open?id=1v1fWYJzMn6dQuAJciSTJ5f8XK7sDls4-" TargetMode="External"/><Relationship Id="rId214" Type="http://schemas.openxmlformats.org/officeDocument/2006/relationships/hyperlink" Target="https://drive.google.com/open?id=1ybqGIOTYjMLZej8NEJqDcGigSZAKtDcm" TargetMode="External"/><Relationship Id="rId219" Type="http://schemas.openxmlformats.org/officeDocument/2006/relationships/hyperlink" Target="https://drive.google.com/open?id=1EPVzzTUY4ymaySzjoHWaElfyNhgF9JK1" TargetMode="External"/><Relationship Id="rId218" Type="http://schemas.openxmlformats.org/officeDocument/2006/relationships/hyperlink" Target="https://drive.google.com/open?id=1fEF01vJ2h1y4GX_P0Vck4Hr5REEP52hE" TargetMode="External"/><Relationship Id="rId213" Type="http://schemas.openxmlformats.org/officeDocument/2006/relationships/hyperlink" Target="https://drive.google.com/open?id=1lxVvzqhDZc9N5UblD9bX6nwyp2ji10aH" TargetMode="External"/><Relationship Id="rId212" Type="http://schemas.openxmlformats.org/officeDocument/2006/relationships/hyperlink" Target="https://drive.google.com/open?id=1PH6asHSewYbGhcRev8jo0JG9tGGFklys" TargetMode="External"/><Relationship Id="rId211" Type="http://schemas.openxmlformats.org/officeDocument/2006/relationships/hyperlink" Target="https://drive.google.com/open?id=17nemReMUuw3YWIcBZhSN0jDkfElwDFDA" TargetMode="External"/><Relationship Id="rId210" Type="http://schemas.openxmlformats.org/officeDocument/2006/relationships/hyperlink" Target="https://drive.google.com/open?id=1zfEvDF859_FA9RQU7VNdwIfdCZPJ_woN" TargetMode="External"/><Relationship Id="rId249" Type="http://schemas.openxmlformats.org/officeDocument/2006/relationships/hyperlink" Target="https://drive.google.com/open?id=1SCvjiKLex4iwDDNXqKwypN574wKpEPru" TargetMode="External"/><Relationship Id="rId248" Type="http://schemas.openxmlformats.org/officeDocument/2006/relationships/hyperlink" Target="https://drive.google.com/open?id=16MdlCSIQe7Vfp0FqMit2QInUNp_SFNQn" TargetMode="External"/><Relationship Id="rId247" Type="http://schemas.openxmlformats.org/officeDocument/2006/relationships/hyperlink" Target="https://drive.google.com/open?id=1ipSJ7JCeb9SssDlr0KJjIDs3nh3sJsK2" TargetMode="External"/><Relationship Id="rId242" Type="http://schemas.openxmlformats.org/officeDocument/2006/relationships/hyperlink" Target="https://drive.google.com/open?id=10KWV5gwAAbISVeVM-Dz-gljVrDRWZvL1" TargetMode="External"/><Relationship Id="rId241" Type="http://schemas.openxmlformats.org/officeDocument/2006/relationships/hyperlink" Target="https://drive.google.com/open?id=1Yfv5Hp7usRHMYHYAZsgbctHjkGYqFis5" TargetMode="External"/><Relationship Id="rId240" Type="http://schemas.openxmlformats.org/officeDocument/2006/relationships/hyperlink" Target="https://drive.google.com/open?id=1J2rdnUBjcFEZwJm6NyXAnRnW_vycI6Zg" TargetMode="External"/><Relationship Id="rId246" Type="http://schemas.openxmlformats.org/officeDocument/2006/relationships/hyperlink" Target="https://drive.google.com/open?id=1MmwJ4hjpaiUMrEsdrpws-daAtZzarHY1" TargetMode="External"/><Relationship Id="rId245" Type="http://schemas.openxmlformats.org/officeDocument/2006/relationships/hyperlink" Target="https://drive.google.com/open?id=1y-4WIT1pqYr9jbEtNzAYgjP8315M-Q8A" TargetMode="External"/><Relationship Id="rId244" Type="http://schemas.openxmlformats.org/officeDocument/2006/relationships/hyperlink" Target="https://drive.google.com/open?id=1qqBfm61A2IFOGQUiFE-IAtB93W0Eo9Nx" TargetMode="External"/><Relationship Id="rId243" Type="http://schemas.openxmlformats.org/officeDocument/2006/relationships/hyperlink" Target="https://drive.google.com/open?id=1UsUj_YvAKbu2G1zU1ynC8APi9SMr6U9C" TargetMode="External"/><Relationship Id="rId239" Type="http://schemas.openxmlformats.org/officeDocument/2006/relationships/hyperlink" Target="https://drive.google.com/open?id=1_mNCtfh2XIAJ1oV4cBp3yfXNX1i1C0Pq" TargetMode="External"/><Relationship Id="rId238" Type="http://schemas.openxmlformats.org/officeDocument/2006/relationships/hyperlink" Target="https://drive.google.com/open?id=1WflT6-3wIvfP9l9_EiG2RJ81KRekrcGr" TargetMode="External"/><Relationship Id="rId237" Type="http://schemas.openxmlformats.org/officeDocument/2006/relationships/hyperlink" Target="https://drive.google.com/open?id=1siBFtzzCZLKzlOXl12OQCUnkHIIiRo10" TargetMode="External"/><Relationship Id="rId236" Type="http://schemas.openxmlformats.org/officeDocument/2006/relationships/hyperlink" Target="https://drive.google.com/open?id=1Xt7EVRYyv3FQNNo0QB-HCTfZIVoHETx8" TargetMode="External"/><Relationship Id="rId231" Type="http://schemas.openxmlformats.org/officeDocument/2006/relationships/hyperlink" Target="https://drive.google.com/open?id=1K4rAcuD1VRdOURb4WojWnRBfcUBp_vFv" TargetMode="External"/><Relationship Id="rId230" Type="http://schemas.openxmlformats.org/officeDocument/2006/relationships/hyperlink" Target="https://drive.google.com/open?id=1rv37TP8dqt5zt7euXRSi9mOzGNOWThdg" TargetMode="External"/><Relationship Id="rId235" Type="http://schemas.openxmlformats.org/officeDocument/2006/relationships/hyperlink" Target="https://drive.google.com/open?id=1kayOuN7SEKmRfoI5-KMMi1YoOdG0ueLH" TargetMode="External"/><Relationship Id="rId234" Type="http://schemas.openxmlformats.org/officeDocument/2006/relationships/hyperlink" Target="https://drive.google.com/open?id=1ZW3x6HdddWo6FyVbfPvyF8c-pWAczQ21" TargetMode="External"/><Relationship Id="rId233" Type="http://schemas.openxmlformats.org/officeDocument/2006/relationships/hyperlink" Target="https://drive.google.com/open?id=18eYdkaGoCqlnBCPOGrLB1r5vhY2ZKWw3" TargetMode="External"/><Relationship Id="rId232" Type="http://schemas.openxmlformats.org/officeDocument/2006/relationships/hyperlink" Target="https://drive.google.com/open?id=1lv2lDTgBfODvb6q0c7JJxK7EJXU8JJ-9" TargetMode="External"/><Relationship Id="rId206" Type="http://schemas.openxmlformats.org/officeDocument/2006/relationships/hyperlink" Target="https://drive.google.com/open?id=1lJQO6rSTkmeXqSR3bMjP6DtL5ta-TZo4" TargetMode="External"/><Relationship Id="rId205" Type="http://schemas.openxmlformats.org/officeDocument/2006/relationships/hyperlink" Target="https://drive.google.com/open?id=1cG3eR5ezC1Q3_ZR6fWq3jTDsfZ_zQ1-m" TargetMode="External"/><Relationship Id="rId204" Type="http://schemas.openxmlformats.org/officeDocument/2006/relationships/hyperlink" Target="https://drive.google.com/open?id=1Kr2ZDGxwzPqqea6zV-SDxfDb9qJmDoxO" TargetMode="External"/><Relationship Id="rId203" Type="http://schemas.openxmlformats.org/officeDocument/2006/relationships/hyperlink" Target="https://drive.google.com/open?id=1x1OrEJjZL3syrchpdZh0Oez9gbN4p-Sr" TargetMode="External"/><Relationship Id="rId209" Type="http://schemas.openxmlformats.org/officeDocument/2006/relationships/hyperlink" Target="https://drive.google.com/open?id=1hWWOojTIpmCCXR870bo_YJ_VwU813TmX" TargetMode="External"/><Relationship Id="rId208" Type="http://schemas.openxmlformats.org/officeDocument/2006/relationships/hyperlink" Target="https://drive.google.com/open?id=1KD-kplVfWkTcnddZtysR000QoTcVJTRq" TargetMode="External"/><Relationship Id="rId207" Type="http://schemas.openxmlformats.org/officeDocument/2006/relationships/hyperlink" Target="https://drive.google.com/open?id=1vPCKr-17hW7Lr8oyoNLoi2MokO9OvFrg" TargetMode="External"/><Relationship Id="rId202" Type="http://schemas.openxmlformats.org/officeDocument/2006/relationships/hyperlink" Target="https://drive.google.com/open?id=1UHJbDKD51N520aYt5vsXlh-yq3DsQ-R_" TargetMode="External"/><Relationship Id="rId201" Type="http://schemas.openxmlformats.org/officeDocument/2006/relationships/hyperlink" Target="https://drive.google.com/open?id=1odvmUM-Op_11dScdJjrHr-ogVqUabSoN" TargetMode="External"/><Relationship Id="rId200" Type="http://schemas.openxmlformats.org/officeDocument/2006/relationships/hyperlink" Target="https://drive.google.com/open?id=1_FE_JxOpAUXaUTcN86kTuZL9_ic7kQEZ" TargetMode="External"/><Relationship Id="rId509" Type="http://schemas.openxmlformats.org/officeDocument/2006/relationships/hyperlink" Target="https://drive.google.com/open?id=1W13jwKGGJMCeTeubHfHr9Q_R7eLlQfi3" TargetMode="External"/><Relationship Id="rId508" Type="http://schemas.openxmlformats.org/officeDocument/2006/relationships/hyperlink" Target="https://drive.google.com/open?id=1lOWWDHUpZUG6phpoVZeXH6aA6SyDpvcg" TargetMode="External"/><Relationship Id="rId503" Type="http://schemas.openxmlformats.org/officeDocument/2006/relationships/hyperlink" Target="https://drive.google.com/open?id=1xgyCVAk_GS9VyBILAsl3OQrM-5nYwu7f" TargetMode="External"/><Relationship Id="rId502" Type="http://schemas.openxmlformats.org/officeDocument/2006/relationships/hyperlink" Target="https://drive.google.com/open?id=1cMmFkBVJW1_kQIqtzNinRh2L8k-3pOto" TargetMode="External"/><Relationship Id="rId501" Type="http://schemas.openxmlformats.org/officeDocument/2006/relationships/hyperlink" Target="https://drive.google.com/open?id=1ZG1Y0hQOT14XC4humiTbHRHypwQ1wEVM" TargetMode="External"/><Relationship Id="rId500" Type="http://schemas.openxmlformats.org/officeDocument/2006/relationships/hyperlink" Target="https://drive.google.com/open?id=1BRVaMIyWABxZbdompnvw4kbdWq0ppmEb" TargetMode="External"/><Relationship Id="rId507" Type="http://schemas.openxmlformats.org/officeDocument/2006/relationships/hyperlink" Target="https://drive.google.com/open?id=13Amy0uXnAPYnnR7euNdfKletoXmUOGnj" TargetMode="External"/><Relationship Id="rId506" Type="http://schemas.openxmlformats.org/officeDocument/2006/relationships/hyperlink" Target="https://drive.google.com/open?id=1s1GokcihHTh1T2YLIcOXKths4Kl6Y6ze" TargetMode="External"/><Relationship Id="rId505" Type="http://schemas.openxmlformats.org/officeDocument/2006/relationships/hyperlink" Target="https://drive.google.com/open?id=1zaZ6AhxkaFGXqTHkEeTLhZJEaZ1g_yPN" TargetMode="External"/><Relationship Id="rId504" Type="http://schemas.openxmlformats.org/officeDocument/2006/relationships/hyperlink" Target="https://drive.google.com/open?id=1t9RXbJAc9ywnCH_P92BxXa149vpWwDJB" TargetMode="External"/><Relationship Id="rId525" Type="http://schemas.openxmlformats.org/officeDocument/2006/relationships/hyperlink" Target="https://drive.google.com/open?id=1zNbXVmzm0QeigGd5oGgAEGwAQTANFuOt" TargetMode="External"/><Relationship Id="rId524" Type="http://schemas.openxmlformats.org/officeDocument/2006/relationships/hyperlink" Target="https://drive.google.com/open?id=1wwOanonrrnzgiFPou0mhclNku2uAeWqC" TargetMode="External"/><Relationship Id="rId523" Type="http://schemas.openxmlformats.org/officeDocument/2006/relationships/hyperlink" Target="https://drive.google.com/open?id=1TclLHYwOFi3utFunXPGK1JrwuS_3NBhB" TargetMode="External"/><Relationship Id="rId522" Type="http://schemas.openxmlformats.org/officeDocument/2006/relationships/hyperlink" Target="https://drive.google.com/open?id=1Zm3eEQcfLhulqzP7YyIIu2mdj-LWjzDT" TargetMode="External"/><Relationship Id="rId529" Type="http://schemas.openxmlformats.org/officeDocument/2006/relationships/hyperlink" Target="https://drive.google.com/open?id=1A1Wwidb-uSplJK3FjKSGWOTesBjyVfhx" TargetMode="External"/><Relationship Id="rId528" Type="http://schemas.openxmlformats.org/officeDocument/2006/relationships/hyperlink" Target="https://drive.google.com/open?id=1wuJ3k_TouCV0ZpjNL5gkwuMmrG6L6d2s" TargetMode="External"/><Relationship Id="rId527" Type="http://schemas.openxmlformats.org/officeDocument/2006/relationships/hyperlink" Target="https://drive.google.com/open?id=1gxTK5v24evnKybw4ianTnowU4hHoqn5S" TargetMode="External"/><Relationship Id="rId526" Type="http://schemas.openxmlformats.org/officeDocument/2006/relationships/hyperlink" Target="https://drive.google.com/open?id=1DyLHHajgbSsrHtccjK177WkaGBSCQ2k1" TargetMode="External"/><Relationship Id="rId521" Type="http://schemas.openxmlformats.org/officeDocument/2006/relationships/hyperlink" Target="https://drive.google.com/open?id=1QsqvO9xu0SxFBz30tqKe_9BC9vHMTmCX" TargetMode="External"/><Relationship Id="rId520" Type="http://schemas.openxmlformats.org/officeDocument/2006/relationships/hyperlink" Target="https://drive.google.com/open?id=1b4LejSpqiFeNkoTDxXNzQegv5wE_VcOL" TargetMode="External"/><Relationship Id="rId519" Type="http://schemas.openxmlformats.org/officeDocument/2006/relationships/hyperlink" Target="https://drive.google.com/open?id=1citbGfsiCwjM5WyzxQsoqtx8cK0wxAeL" TargetMode="External"/><Relationship Id="rId514" Type="http://schemas.openxmlformats.org/officeDocument/2006/relationships/hyperlink" Target="https://drive.google.com/open?id=1Yf3jezDIzBv9CB0PSYQYC9X2G4LISFUl" TargetMode="External"/><Relationship Id="rId513" Type="http://schemas.openxmlformats.org/officeDocument/2006/relationships/hyperlink" Target="https://drive.google.com/open?id=1vXUoaoy6BPxHyCfODyLaoFMdeu3TKbs-" TargetMode="External"/><Relationship Id="rId512" Type="http://schemas.openxmlformats.org/officeDocument/2006/relationships/hyperlink" Target="https://drive.google.com/open?id=1dtuJwrlQnogiTOuuNYNPwBATnpXGEfnh" TargetMode="External"/><Relationship Id="rId511" Type="http://schemas.openxmlformats.org/officeDocument/2006/relationships/hyperlink" Target="https://drive.google.com/open?id=1BUG9oACrwqBrTgVVj91A_PojX2XqIA7J" TargetMode="External"/><Relationship Id="rId518" Type="http://schemas.openxmlformats.org/officeDocument/2006/relationships/hyperlink" Target="https://drive.google.com/open?id=1nBpwyVHCBSDbBk12kkvDguyBlQsk7Mcc" TargetMode="External"/><Relationship Id="rId517" Type="http://schemas.openxmlformats.org/officeDocument/2006/relationships/hyperlink" Target="https://drive.google.com/open?id=1vv8hEbHArh2gxo4FIMIYRFA_GazWyK0-" TargetMode="External"/><Relationship Id="rId516" Type="http://schemas.openxmlformats.org/officeDocument/2006/relationships/hyperlink" Target="https://drive.google.com/open?id=1-iRK_k7ZDi1RBpp_vGRUZR5mhPcriExg" TargetMode="External"/><Relationship Id="rId515" Type="http://schemas.openxmlformats.org/officeDocument/2006/relationships/hyperlink" Target="https://drive.google.com/open?id=1Fsiki8KGWPehrxobl2QSGVq5ljbdSF0Y" TargetMode="External"/><Relationship Id="rId510" Type="http://schemas.openxmlformats.org/officeDocument/2006/relationships/hyperlink" Target="https://drive.google.com/open?id=1JajwLbDgf13G7fEVU3EDEUnK0VUWx2Ce" TargetMode="External"/><Relationship Id="rId590" Type="http://schemas.openxmlformats.org/officeDocument/2006/relationships/hyperlink" Target="https://drive.google.com/open?id=1klZn1l73MnOBU8tIeGyNJ4hFgBOppqlU" TargetMode="External"/><Relationship Id="rId589" Type="http://schemas.openxmlformats.org/officeDocument/2006/relationships/hyperlink" Target="https://drive.google.com/open?id=1JF9zT-DYzWZdxego0QurIrzaIzy7QW0g" TargetMode="External"/><Relationship Id="rId588" Type="http://schemas.openxmlformats.org/officeDocument/2006/relationships/hyperlink" Target="https://drive.google.com/open?id=17_h8Xj3BgrOVvChdGs50SEJEjiBBmr_a" TargetMode="External"/><Relationship Id="rId583" Type="http://schemas.openxmlformats.org/officeDocument/2006/relationships/hyperlink" Target="https://drive.google.com/open?id=1FK8yk76_4JaLGHffuzg4Vx7E2TeYR05i" TargetMode="External"/><Relationship Id="rId582" Type="http://schemas.openxmlformats.org/officeDocument/2006/relationships/hyperlink" Target="https://drive.google.com/open?id=1OU7JjPHOBE6lqxCe80RingEKIN9svD4J" TargetMode="External"/><Relationship Id="rId581" Type="http://schemas.openxmlformats.org/officeDocument/2006/relationships/hyperlink" Target="https://drive.google.com/open?id=1qiDI7Eu2rvIqrPQjq2s_OJg3_gUYv2TF" TargetMode="External"/><Relationship Id="rId580" Type="http://schemas.openxmlformats.org/officeDocument/2006/relationships/hyperlink" Target="https://drive.google.com/open?id=1gAlNORynPMV4z9BN8U3Pj-gHYrqu0ASf" TargetMode="External"/><Relationship Id="rId587" Type="http://schemas.openxmlformats.org/officeDocument/2006/relationships/hyperlink" Target="https://drive.google.com/open?id=1BFAWA4cwwg2T3bTq1ajO97JY-rsjL91n" TargetMode="External"/><Relationship Id="rId586" Type="http://schemas.openxmlformats.org/officeDocument/2006/relationships/hyperlink" Target="https://drive.google.com/open?id=1m8jy7mcipoFq3V-pnJxbsYQfIvCdEpnV" TargetMode="External"/><Relationship Id="rId585" Type="http://schemas.openxmlformats.org/officeDocument/2006/relationships/hyperlink" Target="https://drive.google.com/open?id=1Ao6Exj4McW0J_0Waco9n2GrYKgVlLt0p" TargetMode="External"/><Relationship Id="rId584" Type="http://schemas.openxmlformats.org/officeDocument/2006/relationships/hyperlink" Target="https://drive.google.com/open?id=1iQ2jLGLu39ou2000a6H8CghSZzcHhV4b" TargetMode="External"/><Relationship Id="rId579" Type="http://schemas.openxmlformats.org/officeDocument/2006/relationships/hyperlink" Target="https://drive.google.com/open?id=1HY-9vecWiJJfrWHMJS3IKFOW6UEXH-8J" TargetMode="External"/><Relationship Id="rId578" Type="http://schemas.openxmlformats.org/officeDocument/2006/relationships/hyperlink" Target="https://drive.google.com/open?id=1roC_vu7g2KMie4poS1Qd6Nn2Hye6MY9Y" TargetMode="External"/><Relationship Id="rId577" Type="http://schemas.openxmlformats.org/officeDocument/2006/relationships/hyperlink" Target="https://drive.google.com/open?id=1d1oVvfRmGF5kliVcsmh3ULSWiRKCfG97" TargetMode="External"/><Relationship Id="rId572" Type="http://schemas.openxmlformats.org/officeDocument/2006/relationships/hyperlink" Target="https://drive.google.com/open?id=10ijGiJ_kP6JDhn-dX5mjCmwaGKBu3YOy" TargetMode="External"/><Relationship Id="rId571" Type="http://schemas.openxmlformats.org/officeDocument/2006/relationships/hyperlink" Target="https://drive.google.com/open?id=1ivuudtMJvgk8ZPEvgEUVwUP6VpsCB_bL" TargetMode="External"/><Relationship Id="rId570" Type="http://schemas.openxmlformats.org/officeDocument/2006/relationships/hyperlink" Target="https://drive.google.com/open?id=1vM-hFR3WMpR3k_O53-fDY9FhMFE7IXRr" TargetMode="External"/><Relationship Id="rId576" Type="http://schemas.openxmlformats.org/officeDocument/2006/relationships/hyperlink" Target="https://drive.google.com/open?id=1XQA-Wq1UWBjY4Mtu4vZJGr_bNBSTuWix" TargetMode="External"/><Relationship Id="rId575" Type="http://schemas.openxmlformats.org/officeDocument/2006/relationships/hyperlink" Target="https://drive.google.com/open?id=1w1fUTngOXZ1wrOd4NQnXK8vzUXAt-JbF" TargetMode="External"/><Relationship Id="rId574" Type="http://schemas.openxmlformats.org/officeDocument/2006/relationships/hyperlink" Target="https://drive.google.com/open?id=119H2tbKy6WZ6137Xv6PBUewkOZhyRuGE" TargetMode="External"/><Relationship Id="rId573" Type="http://schemas.openxmlformats.org/officeDocument/2006/relationships/hyperlink" Target="https://drive.google.com/open?id=1kvNQ2woaY3nUJ2WTTB2FdvCaZA5QZofO" TargetMode="External"/><Relationship Id="rId599" Type="http://schemas.openxmlformats.org/officeDocument/2006/relationships/hyperlink" Target="https://drive.google.com/open?id=1UaL2wXN6nK_prK7M2NZbQP6cxTDtZFCg" TargetMode="External"/><Relationship Id="rId594" Type="http://schemas.openxmlformats.org/officeDocument/2006/relationships/hyperlink" Target="https://drive.google.com/open?id=1kkE-zoilZJwETG_1Dr1jOIWUdpxp6YZB" TargetMode="External"/><Relationship Id="rId593" Type="http://schemas.openxmlformats.org/officeDocument/2006/relationships/hyperlink" Target="https://drive.google.com/open?id=1OBI8-6LL_NrgV6OrdLdvZ32KvOy_ZPVy" TargetMode="External"/><Relationship Id="rId592" Type="http://schemas.openxmlformats.org/officeDocument/2006/relationships/hyperlink" Target="https://drive.google.com/open?id=1iwjej4NTTgfqDDay3tDiGY5IU1Y8toFf" TargetMode="External"/><Relationship Id="rId591" Type="http://schemas.openxmlformats.org/officeDocument/2006/relationships/hyperlink" Target="https://drive.google.com/open?id=1GcmUx74ClDwXLCoY2VQhmAp80ebR6hql" TargetMode="External"/><Relationship Id="rId598" Type="http://schemas.openxmlformats.org/officeDocument/2006/relationships/hyperlink" Target="https://drive.google.com/open?id=1lL1r7tyCc62shMyJZkTjv60ZE_Fi2XCZ" TargetMode="External"/><Relationship Id="rId597" Type="http://schemas.openxmlformats.org/officeDocument/2006/relationships/hyperlink" Target="https://drive.google.com/open?id=1ZuJs_P_Ktob40hlM_NIPtIu1En0fkYMm" TargetMode="External"/><Relationship Id="rId596" Type="http://schemas.openxmlformats.org/officeDocument/2006/relationships/hyperlink" Target="https://drive.google.com/open?id=1kINJOANjF9luRQEl-4B3OGT7QgcR3sy0" TargetMode="External"/><Relationship Id="rId595" Type="http://schemas.openxmlformats.org/officeDocument/2006/relationships/hyperlink" Target="https://drive.google.com/open?id=1NVN5gUiYlkjRdcfJS6ldKw1qIL_zWpBZ" TargetMode="External"/><Relationship Id="rId547" Type="http://schemas.openxmlformats.org/officeDocument/2006/relationships/hyperlink" Target="https://drive.google.com/open?id=15ceRsux_-4ZzX_Mbzn1Y7chgVB4elQuX" TargetMode="External"/><Relationship Id="rId546" Type="http://schemas.openxmlformats.org/officeDocument/2006/relationships/hyperlink" Target="https://drive.google.com/open?id=1VDkbqdL0U9u-4SML3S1euf6OqAd5EaTM" TargetMode="External"/><Relationship Id="rId545" Type="http://schemas.openxmlformats.org/officeDocument/2006/relationships/hyperlink" Target="https://drive.google.com/open?id=1qz30iD159Shx4G8kpBdJjEogAe9DmgYs" TargetMode="External"/><Relationship Id="rId544" Type="http://schemas.openxmlformats.org/officeDocument/2006/relationships/hyperlink" Target="https://drive.google.com/open?id=1G-0WL1Fd_nEglNfKO9lB1rZDgRn58BEz" TargetMode="External"/><Relationship Id="rId549" Type="http://schemas.openxmlformats.org/officeDocument/2006/relationships/hyperlink" Target="https://drive.google.com/open?id=1NEDufNhGgBPLutnpGfaW5eQWuFf_Pi1X" TargetMode="External"/><Relationship Id="rId548" Type="http://schemas.openxmlformats.org/officeDocument/2006/relationships/hyperlink" Target="https://drive.google.com/open?id=1ZUp0lL8Pyc5Ea5Q4G3asoocZis2YCwkU" TargetMode="External"/><Relationship Id="rId543" Type="http://schemas.openxmlformats.org/officeDocument/2006/relationships/hyperlink" Target="https://drive.google.com/open?id=1PYq4xsF8XOBGAXKwPg6lGixxh6sAsquR" TargetMode="External"/><Relationship Id="rId542" Type="http://schemas.openxmlformats.org/officeDocument/2006/relationships/hyperlink" Target="https://drive.google.com/open?id=1xHbuljmaQA2sBWDML4Yf1mMz4bmHluYf" TargetMode="External"/><Relationship Id="rId541" Type="http://schemas.openxmlformats.org/officeDocument/2006/relationships/hyperlink" Target="https://drive.google.com/open?id=1BKGKF995y2d9UxzY_IFg7TArDEfBWd84" TargetMode="External"/><Relationship Id="rId540" Type="http://schemas.openxmlformats.org/officeDocument/2006/relationships/hyperlink" Target="https://drive.google.com/open?id=1X7jhXFjE8eUoV0VQDhSFbQSkd9dpwEes" TargetMode="External"/><Relationship Id="rId536" Type="http://schemas.openxmlformats.org/officeDocument/2006/relationships/hyperlink" Target="https://drive.google.com/open?id=1-DQrUNRudmSY2cLQ7dkjsXjHQnbXf1rn" TargetMode="External"/><Relationship Id="rId535" Type="http://schemas.openxmlformats.org/officeDocument/2006/relationships/hyperlink" Target="https://drive.google.com/open?id=1Eco7VzVVehUdmmJn8KlHss_QttUN4wEa" TargetMode="External"/><Relationship Id="rId534" Type="http://schemas.openxmlformats.org/officeDocument/2006/relationships/hyperlink" Target="https://drive.google.com/open?id=1aUmgXImbLImpHQNJkftKI7YEZiphsbp_" TargetMode="External"/><Relationship Id="rId533" Type="http://schemas.openxmlformats.org/officeDocument/2006/relationships/hyperlink" Target="https://drive.google.com/open?id=1b3avxbnPNwzoE4ZyxFuBkPaJqek8Rwni" TargetMode="External"/><Relationship Id="rId539" Type="http://schemas.openxmlformats.org/officeDocument/2006/relationships/hyperlink" Target="https://drive.google.com/open?id=1qMF6nW3xFi2vncEQoYFIYZ31nVs4W37N" TargetMode="External"/><Relationship Id="rId538" Type="http://schemas.openxmlformats.org/officeDocument/2006/relationships/hyperlink" Target="https://drive.google.com/open?id=1CXitPwF_dku1jK-_s5ZonWRrY5O5LIyy" TargetMode="External"/><Relationship Id="rId537" Type="http://schemas.openxmlformats.org/officeDocument/2006/relationships/hyperlink" Target="https://drive.google.com/open?id=1AipjSwALJzlDjm_YhJuwLagz0l93daGO" TargetMode="External"/><Relationship Id="rId532" Type="http://schemas.openxmlformats.org/officeDocument/2006/relationships/hyperlink" Target="https://drive.google.com/open?id=1MTaqj3GjXowLpWA-HyIOJL8Bk0oT_aTm" TargetMode="External"/><Relationship Id="rId531" Type="http://schemas.openxmlformats.org/officeDocument/2006/relationships/hyperlink" Target="https://drive.google.com/open?id=16GYMe_4S95t2ULTFWTuwGYcL4Eys-Htz" TargetMode="External"/><Relationship Id="rId530" Type="http://schemas.openxmlformats.org/officeDocument/2006/relationships/hyperlink" Target="https://drive.google.com/open?id=11QjIRwBMZAmtJ9krj6O_rxVSjFTl81-2" TargetMode="External"/><Relationship Id="rId569" Type="http://schemas.openxmlformats.org/officeDocument/2006/relationships/hyperlink" Target="https://drive.google.com/open?id=1-CXaomhJI7JVdA2BkMGjDmtUbI1g1FV8" TargetMode="External"/><Relationship Id="rId568" Type="http://schemas.openxmlformats.org/officeDocument/2006/relationships/hyperlink" Target="https://drive.google.com/open?id=16IY5wOfVsAZkU10DyC20X0qPg_a2dxcS" TargetMode="External"/><Relationship Id="rId567" Type="http://schemas.openxmlformats.org/officeDocument/2006/relationships/hyperlink" Target="https://drive.google.com/open?id=1s5NpR_fMXHZWztw3rz0d3jlXDaUtVjnU" TargetMode="External"/><Relationship Id="rId566" Type="http://schemas.openxmlformats.org/officeDocument/2006/relationships/hyperlink" Target="https://drive.google.com/open?id=1zaalBsKL9OGDcZhMCZNqHN-672bAeL0-" TargetMode="External"/><Relationship Id="rId561" Type="http://schemas.openxmlformats.org/officeDocument/2006/relationships/hyperlink" Target="https://drive.google.com/open?id=1xwj6oqAFuYByztRSmPz58cgAPX3BxaUK" TargetMode="External"/><Relationship Id="rId560" Type="http://schemas.openxmlformats.org/officeDocument/2006/relationships/hyperlink" Target="https://drive.google.com/open?id=1WV6GYfBxrGZsdy2Ift8cfX7DnmC_6pem" TargetMode="External"/><Relationship Id="rId565" Type="http://schemas.openxmlformats.org/officeDocument/2006/relationships/hyperlink" Target="https://drive.google.com/open?id=1H4Mf_C3zAp0l98QDEZBufMN6Qia6zhDc" TargetMode="External"/><Relationship Id="rId564" Type="http://schemas.openxmlformats.org/officeDocument/2006/relationships/hyperlink" Target="https://drive.google.com/open?id=1_DzESrLA21I9SqJ7tb_zgtO4pE-iS9Hz" TargetMode="External"/><Relationship Id="rId563" Type="http://schemas.openxmlformats.org/officeDocument/2006/relationships/hyperlink" Target="https://drive.google.com/open?id=10l7YJX5J6WenP1t3p0_L5YmVB7b7sBGm" TargetMode="External"/><Relationship Id="rId562" Type="http://schemas.openxmlformats.org/officeDocument/2006/relationships/hyperlink" Target="https://drive.google.com/open?id=14NsEAxsvf0WS_dUfm-bSuMqBA-gwBFmp" TargetMode="External"/><Relationship Id="rId558" Type="http://schemas.openxmlformats.org/officeDocument/2006/relationships/hyperlink" Target="https://drive.google.com/open?id=1zGQVTy6T9TXgPlJ5YPNJOXIAm7No9Q4Z" TargetMode="External"/><Relationship Id="rId557" Type="http://schemas.openxmlformats.org/officeDocument/2006/relationships/hyperlink" Target="https://drive.google.com/open?id=1fVQYJa83xk0_jQTyQn55bErwufL6JoB2" TargetMode="External"/><Relationship Id="rId556" Type="http://schemas.openxmlformats.org/officeDocument/2006/relationships/hyperlink" Target="https://drive.google.com/open?id=1uCsP5cGd_Bfk4ZbhOiRcT8RDls0YO_b9" TargetMode="External"/><Relationship Id="rId555" Type="http://schemas.openxmlformats.org/officeDocument/2006/relationships/hyperlink" Target="https://drive.google.com/open?id=1W9f96jTJxezEvjgzpmcU-9Hh-yffK1zx" TargetMode="External"/><Relationship Id="rId559" Type="http://schemas.openxmlformats.org/officeDocument/2006/relationships/hyperlink" Target="https://drive.google.com/open?id=10wVHN1pJB7aesqbfC-CTOBAFhTM9kD16" TargetMode="External"/><Relationship Id="rId550" Type="http://schemas.openxmlformats.org/officeDocument/2006/relationships/hyperlink" Target="https://drive.google.com/open?id=16MW7BeKW_yg_5BeILeglLeFLIJXk6EBB" TargetMode="External"/><Relationship Id="rId554" Type="http://schemas.openxmlformats.org/officeDocument/2006/relationships/hyperlink" Target="https://drive.google.com/open?id=1bZyKBvu6kA82U-ASIZbFcnnASPhxRFH5" TargetMode="External"/><Relationship Id="rId553" Type="http://schemas.openxmlformats.org/officeDocument/2006/relationships/hyperlink" Target="https://drive.google.com/open?id=1HRY_6O90Bw5WD5EJVsk958PxWyrc3rsi" TargetMode="External"/><Relationship Id="rId552" Type="http://schemas.openxmlformats.org/officeDocument/2006/relationships/hyperlink" Target="https://drive.google.com/open?id=1OZdxQvEzukX8vR9DRQIbqeo-KYnDUE7c" TargetMode="External"/><Relationship Id="rId551" Type="http://schemas.openxmlformats.org/officeDocument/2006/relationships/hyperlink" Target="https://drive.google.com/open?id=12w-q6peL5wbJ---_fcegCB9QXQ4RXRNb" TargetMode="External"/><Relationship Id="rId495" Type="http://schemas.openxmlformats.org/officeDocument/2006/relationships/hyperlink" Target="https://drive.google.com/open?id=1oQbHkaeQQTntiZApocRSa9qHWmOyZGpL" TargetMode="External"/><Relationship Id="rId494" Type="http://schemas.openxmlformats.org/officeDocument/2006/relationships/hyperlink" Target="https://drive.google.com/open?id=1xtRYmtujm2wy4oP9F7Hu0BZms8dtZhRj" TargetMode="External"/><Relationship Id="rId493" Type="http://schemas.openxmlformats.org/officeDocument/2006/relationships/hyperlink" Target="https://drive.google.com/open?id=1PYqdhQGoHPCM0fcuoi38qmfoZK2NIboU" TargetMode="External"/><Relationship Id="rId492" Type="http://schemas.openxmlformats.org/officeDocument/2006/relationships/hyperlink" Target="https://drive.google.com/open?id=1evMnkbP6sUnOJrzM90ioADSuZmg1YDsj" TargetMode="External"/><Relationship Id="rId499" Type="http://schemas.openxmlformats.org/officeDocument/2006/relationships/hyperlink" Target="https://drive.google.com/open?id=1bvBMK9hY_zHoTPKjfgafFtB9cTuiCx8X" TargetMode="External"/><Relationship Id="rId498" Type="http://schemas.openxmlformats.org/officeDocument/2006/relationships/hyperlink" Target="https://drive.google.com/open?id=1NJEPvGvkSWks4MrWSh0L3uN2zmSz8r6O" TargetMode="External"/><Relationship Id="rId497" Type="http://schemas.openxmlformats.org/officeDocument/2006/relationships/hyperlink" Target="https://drive.google.com/open?id=1a2FUtQBgzYgbdnZ__1VZVZ3Bjn7qhWsB" TargetMode="External"/><Relationship Id="rId496" Type="http://schemas.openxmlformats.org/officeDocument/2006/relationships/hyperlink" Target="https://drive.google.com/open?id=1MPv3nP9tLi14yCRRAlD2yJfpdrAVEe20" TargetMode="External"/><Relationship Id="rId409" Type="http://schemas.openxmlformats.org/officeDocument/2006/relationships/hyperlink" Target="https://drive.google.com/open?id=1mLqFuROBJ5kpv6aLom1W_wuClk4XOlPK" TargetMode="External"/><Relationship Id="rId404" Type="http://schemas.openxmlformats.org/officeDocument/2006/relationships/hyperlink" Target="https://drive.google.com/open?id=1h-nM6Dz4UZr7kQuJqdcvPHmzPv8gO4xb" TargetMode="External"/><Relationship Id="rId403" Type="http://schemas.openxmlformats.org/officeDocument/2006/relationships/hyperlink" Target="https://drive.google.com/open?id=19OuqkP-4b-5aVwr9L9hijBUL-j2WD_f7" TargetMode="External"/><Relationship Id="rId402" Type="http://schemas.openxmlformats.org/officeDocument/2006/relationships/hyperlink" Target="https://drive.google.com/open?id=1HHBJIQbfRPGV0L1dGg7dTsDlhgSGKEfh" TargetMode="External"/><Relationship Id="rId401" Type="http://schemas.openxmlformats.org/officeDocument/2006/relationships/hyperlink" Target="https://drive.google.com/open?id=1Xmd1BjxUCOEsXf2jUynBYjLxXxH6U9IX" TargetMode="External"/><Relationship Id="rId408" Type="http://schemas.openxmlformats.org/officeDocument/2006/relationships/hyperlink" Target="https://drive.google.com/open?id=1ja3RUvhLOGBPo9YD8RxzBn7OTi4HelwO" TargetMode="External"/><Relationship Id="rId407" Type="http://schemas.openxmlformats.org/officeDocument/2006/relationships/hyperlink" Target="https://drive.google.com/open?id=1C3IATobPz_s-NRqLQjh5rX73JOOtuE5T" TargetMode="External"/><Relationship Id="rId406" Type="http://schemas.openxmlformats.org/officeDocument/2006/relationships/hyperlink" Target="https://drive.google.com/open?id=1pRF8-F3FebfQoPxaPjs0Uk3adWAuNfzF" TargetMode="External"/><Relationship Id="rId405" Type="http://schemas.openxmlformats.org/officeDocument/2006/relationships/hyperlink" Target="https://drive.google.com/open?id=1Tm49AeMW7u8uJKC1ZCmeX3ECIFNPIQzR" TargetMode="External"/><Relationship Id="rId400" Type="http://schemas.openxmlformats.org/officeDocument/2006/relationships/hyperlink" Target="https://drive.google.com/open?id=1Lz5WBSL24lvC1tlLVvMGBVAfINPQ5rfO" TargetMode="External"/><Relationship Id="rId469" Type="http://schemas.openxmlformats.org/officeDocument/2006/relationships/hyperlink" Target="https://drive.google.com/open?id=13XgBsSixejvpdGHtByt0mxklZX9VuuEm" TargetMode="External"/><Relationship Id="rId468" Type="http://schemas.openxmlformats.org/officeDocument/2006/relationships/hyperlink" Target="https://drive.google.com/open?id=1WZqhcLB8cdWNDaIs6d_QzI3r94QPQvhV" TargetMode="External"/><Relationship Id="rId467" Type="http://schemas.openxmlformats.org/officeDocument/2006/relationships/hyperlink" Target="https://drive.google.com/open?id=1vKR-vSXzVb3rw19E9YEdZu1zZFPqtk8U" TargetMode="External"/><Relationship Id="rId462" Type="http://schemas.openxmlformats.org/officeDocument/2006/relationships/hyperlink" Target="https://drive.google.com/open?id=1QRokcxOVuTbw6PnD20mftwUiXyg1AFxe" TargetMode="External"/><Relationship Id="rId461" Type="http://schemas.openxmlformats.org/officeDocument/2006/relationships/hyperlink" Target="https://drive.google.com/open?id=1jr9xQkJz61DNqObUwJtIbAze5EL3684B" TargetMode="External"/><Relationship Id="rId460" Type="http://schemas.openxmlformats.org/officeDocument/2006/relationships/hyperlink" Target="https://drive.google.com/open?id=1sJkXrdTcLMxyPiLRlYjSJBJYDAZgTcLm" TargetMode="External"/><Relationship Id="rId466" Type="http://schemas.openxmlformats.org/officeDocument/2006/relationships/hyperlink" Target="https://drive.google.com/open?id=1B0fyMEcYUfh12DBVUwWRCpXBIShOO1hf" TargetMode="External"/><Relationship Id="rId465" Type="http://schemas.openxmlformats.org/officeDocument/2006/relationships/hyperlink" Target="https://drive.google.com/open?id=1Jp4TrOC1uVsl8tryaIGqfd1iOwDtY2IF" TargetMode="External"/><Relationship Id="rId464" Type="http://schemas.openxmlformats.org/officeDocument/2006/relationships/hyperlink" Target="https://drive.google.com/open?id=13FEjzcWEjocXYvtaOeyaX2ZI2i6Ph1jY" TargetMode="External"/><Relationship Id="rId463" Type="http://schemas.openxmlformats.org/officeDocument/2006/relationships/hyperlink" Target="https://drive.google.com/open?id=1ExVNgltIrZ7nPsIuOVmxCLCxBIyNH4As" TargetMode="External"/><Relationship Id="rId459" Type="http://schemas.openxmlformats.org/officeDocument/2006/relationships/hyperlink" Target="https://drive.google.com/open?id=1twYsmfcBM8ak9z376C9jqDA4OJCgt3p9" TargetMode="External"/><Relationship Id="rId458" Type="http://schemas.openxmlformats.org/officeDocument/2006/relationships/hyperlink" Target="https://drive.google.com/open?id=19lFp6C1IZsXHcqoogfsgWowAf41sDgNE" TargetMode="External"/><Relationship Id="rId457" Type="http://schemas.openxmlformats.org/officeDocument/2006/relationships/hyperlink" Target="https://drive.google.com/open?id=1RCyhXrp-1N9kwTRrlOefuJBNcCemhvuf" TargetMode="External"/><Relationship Id="rId456" Type="http://schemas.openxmlformats.org/officeDocument/2006/relationships/hyperlink" Target="https://drive.google.com/open?id=1POrf-ofdQFNuvBe-xUs-RK_TpZKXu9jb" TargetMode="External"/><Relationship Id="rId451" Type="http://schemas.openxmlformats.org/officeDocument/2006/relationships/hyperlink" Target="https://drive.google.com/open?id=14s2fy0w2gXM9Jn2bqLZ8E6fKCKXgtSmi" TargetMode="External"/><Relationship Id="rId450" Type="http://schemas.openxmlformats.org/officeDocument/2006/relationships/hyperlink" Target="https://drive.google.com/open?id=1B7kLRgsSyfSY7CD6c9AO_3z8SKknBCVc" TargetMode="External"/><Relationship Id="rId455" Type="http://schemas.openxmlformats.org/officeDocument/2006/relationships/hyperlink" Target="https://drive.google.com/open?id=1p7JS_diuzLueHn0JV016Ht1TadvKjeN0" TargetMode="External"/><Relationship Id="rId454" Type="http://schemas.openxmlformats.org/officeDocument/2006/relationships/hyperlink" Target="https://drive.google.com/open?id=11iDR-lbbuCJ1LVgvriOmh4q-ZtoEG6Z0" TargetMode="External"/><Relationship Id="rId453" Type="http://schemas.openxmlformats.org/officeDocument/2006/relationships/hyperlink" Target="https://drive.google.com/open?id=1ViA8pmSRIY-qFTg1b7exoBwGy7f4YEYF" TargetMode="External"/><Relationship Id="rId452" Type="http://schemas.openxmlformats.org/officeDocument/2006/relationships/hyperlink" Target="https://drive.google.com/open?id=1M8mJ_vN-0XsCFqEXM4k4qf7BaZ8YNwdW" TargetMode="External"/><Relationship Id="rId491" Type="http://schemas.openxmlformats.org/officeDocument/2006/relationships/hyperlink" Target="https://drive.google.com/open?id=1cjUvb1p5vRHt3pSkZPwMO9m0E6lKGbRM" TargetMode="External"/><Relationship Id="rId490" Type="http://schemas.openxmlformats.org/officeDocument/2006/relationships/hyperlink" Target="https://drive.google.com/open?id=1n6I7k-pwPQu9xxlZbCwc42qr6OYILi-W" TargetMode="External"/><Relationship Id="rId489" Type="http://schemas.openxmlformats.org/officeDocument/2006/relationships/hyperlink" Target="https://drive.google.com/open?id=1UPJXJ7lXM58_lLCMTzsO73DsdAVcq4YA" TargetMode="External"/><Relationship Id="rId484" Type="http://schemas.openxmlformats.org/officeDocument/2006/relationships/hyperlink" Target="https://drive.google.com/open?id=19x5uBI20ZYe0bl4uT3Us9WMSOFDOi8TI" TargetMode="External"/><Relationship Id="rId483" Type="http://schemas.openxmlformats.org/officeDocument/2006/relationships/hyperlink" Target="https://drive.google.com/open?id=1PF5JorjVNA8TGNF-oNQQjTZhqGiG5fr_" TargetMode="External"/><Relationship Id="rId482" Type="http://schemas.openxmlformats.org/officeDocument/2006/relationships/hyperlink" Target="https://drive.google.com/open?id=1WTq6EJK-TkWz9vxTxvu4J-IHnU2qPdnl" TargetMode="External"/><Relationship Id="rId481" Type="http://schemas.openxmlformats.org/officeDocument/2006/relationships/hyperlink" Target="https://drive.google.com/open?id=15-p5VdfumgCrrCPtIpKHvQqDbDH1EvJ4" TargetMode="External"/><Relationship Id="rId488" Type="http://schemas.openxmlformats.org/officeDocument/2006/relationships/hyperlink" Target="https://drive.google.com/open?id=1yCysJE9HqA6gOR_Gksf8BpMfUx7NVA2j" TargetMode="External"/><Relationship Id="rId487" Type="http://schemas.openxmlformats.org/officeDocument/2006/relationships/hyperlink" Target="https://drive.google.com/open?id=1_dhyL4h79Aru3KBHyB-fGeF1mSG_8ND-" TargetMode="External"/><Relationship Id="rId486" Type="http://schemas.openxmlformats.org/officeDocument/2006/relationships/hyperlink" Target="https://drive.google.com/open?id=1jJSOwk3MXZYWPrxBbECi0iGTmSF8g1n6" TargetMode="External"/><Relationship Id="rId485" Type="http://schemas.openxmlformats.org/officeDocument/2006/relationships/hyperlink" Target="https://drive.google.com/open?id=1ATNf4IkzIwG82eKxZhH4dChfZXmaP3Zz" TargetMode="External"/><Relationship Id="rId480" Type="http://schemas.openxmlformats.org/officeDocument/2006/relationships/hyperlink" Target="https://drive.google.com/open?id=1DKoqaBIAtxESofvGAXkZTTPdpaq-Y7dp" TargetMode="External"/><Relationship Id="rId479" Type="http://schemas.openxmlformats.org/officeDocument/2006/relationships/hyperlink" Target="https://drive.google.com/open?id=1Gf1dbWfhkq1pc0ZqA0Iwe79RZUBvrely" TargetMode="External"/><Relationship Id="rId478" Type="http://schemas.openxmlformats.org/officeDocument/2006/relationships/hyperlink" Target="https://drive.google.com/open?id=1oA6T5lFmijM7ejEfSQXxwZaon4ddZ7sL" TargetMode="External"/><Relationship Id="rId473" Type="http://schemas.openxmlformats.org/officeDocument/2006/relationships/hyperlink" Target="https://drive.google.com/open?id=1lKCH_rpgQBy2ukjl_HstPNnnpomKTxBD" TargetMode="External"/><Relationship Id="rId472" Type="http://schemas.openxmlformats.org/officeDocument/2006/relationships/hyperlink" Target="https://drive.google.com/open?id=1l0hbUnPb9OIIsOCuWMLUM5BrgBg4k3wb" TargetMode="External"/><Relationship Id="rId471" Type="http://schemas.openxmlformats.org/officeDocument/2006/relationships/hyperlink" Target="https://drive.google.com/open?id=1HznaLvg8_Ww_bscY7jGE24w1uNHdGiiD" TargetMode="External"/><Relationship Id="rId470" Type="http://schemas.openxmlformats.org/officeDocument/2006/relationships/hyperlink" Target="https://drive.google.com/open?id=1bHRkT8iAgMLRgGsiNIBpm7aSf0bqft6L" TargetMode="External"/><Relationship Id="rId477" Type="http://schemas.openxmlformats.org/officeDocument/2006/relationships/hyperlink" Target="https://drive.google.com/open?id=1HPmn6g_VgiWm6JWTTlrUYdmwUn12jn7n" TargetMode="External"/><Relationship Id="rId476" Type="http://schemas.openxmlformats.org/officeDocument/2006/relationships/hyperlink" Target="https://drive.google.com/open?id=1GbS2-YR9agUOfr03xsKdVJPuozMPpYI0" TargetMode="External"/><Relationship Id="rId475" Type="http://schemas.openxmlformats.org/officeDocument/2006/relationships/hyperlink" Target="https://drive.google.com/open?id=1oRBNO5qANWQ3WuBXyZbtqNn7N3qg-kCi" TargetMode="External"/><Relationship Id="rId474" Type="http://schemas.openxmlformats.org/officeDocument/2006/relationships/hyperlink" Target="https://drive.google.com/open?id=13zJXoabka-yiRmWl_2Bxodx7elas-Onx" TargetMode="External"/><Relationship Id="rId426" Type="http://schemas.openxmlformats.org/officeDocument/2006/relationships/hyperlink" Target="https://drive.google.com/open?id=1REGDJGlt3U8I14Ty664bf9W0VTG-YM2Y" TargetMode="External"/><Relationship Id="rId425" Type="http://schemas.openxmlformats.org/officeDocument/2006/relationships/hyperlink" Target="https://drive.google.com/open?id=16zYO2aMoMT5fZKYjCjdHIuFtqlo1-18M" TargetMode="External"/><Relationship Id="rId424" Type="http://schemas.openxmlformats.org/officeDocument/2006/relationships/hyperlink" Target="https://drive.google.com/open?id=1fw-Ou5NfLmLhTOtuCprbmUKHiZnILA8u" TargetMode="External"/><Relationship Id="rId423" Type="http://schemas.openxmlformats.org/officeDocument/2006/relationships/hyperlink" Target="https://drive.google.com/open?id=1gzyQIHA8Flk_EGlQt3uT2iExNSnfLG4d" TargetMode="External"/><Relationship Id="rId429" Type="http://schemas.openxmlformats.org/officeDocument/2006/relationships/hyperlink" Target="https://drive.google.com/open?id=1hPnee9mZKN8EZbdR_Cm41QScN-9tdFsJ" TargetMode="External"/><Relationship Id="rId428" Type="http://schemas.openxmlformats.org/officeDocument/2006/relationships/hyperlink" Target="https://drive.google.com/open?id=1JgVhpcdY7Gb7pwF17vLcfAoiax5K6s8I" TargetMode="External"/><Relationship Id="rId427" Type="http://schemas.openxmlformats.org/officeDocument/2006/relationships/hyperlink" Target="https://drive.google.com/open?id=1F1SAjCYLVLsQE0u521imKnNpMwJxcyLc" TargetMode="External"/><Relationship Id="rId422" Type="http://schemas.openxmlformats.org/officeDocument/2006/relationships/hyperlink" Target="https://drive.google.com/open?id=1CiHxLTdCPYlbAJ1hXa6SzNwo7gKfzPEX" TargetMode="External"/><Relationship Id="rId421" Type="http://schemas.openxmlformats.org/officeDocument/2006/relationships/hyperlink" Target="https://drive.google.com/open?id=14of9h1mEHXBNdv3_Y1pj4Vdk_t3awqBj" TargetMode="External"/><Relationship Id="rId420" Type="http://schemas.openxmlformats.org/officeDocument/2006/relationships/hyperlink" Target="https://drive.google.com/open?id=1a5k69x5xBsr0_42LGVihwiGBzPc5SrTj" TargetMode="External"/><Relationship Id="rId415" Type="http://schemas.openxmlformats.org/officeDocument/2006/relationships/hyperlink" Target="https://drive.google.com/open?id=1-yL9nAGLfrUHK6QkQ1iDqOu9_EyKzumT" TargetMode="External"/><Relationship Id="rId414" Type="http://schemas.openxmlformats.org/officeDocument/2006/relationships/hyperlink" Target="https://drive.google.com/open?id=1UN__OpTgPvL8e5tphEcJr4UaFzXm8rz4" TargetMode="External"/><Relationship Id="rId413" Type="http://schemas.openxmlformats.org/officeDocument/2006/relationships/hyperlink" Target="https://drive.google.com/open?id=14C35uHQO1gU-eNRXjhLWtnc8fDUe8I6L" TargetMode="External"/><Relationship Id="rId412" Type="http://schemas.openxmlformats.org/officeDocument/2006/relationships/hyperlink" Target="https://drive.google.com/open?id=16paxBCcV2mQd_AI8R92THO6-qABD81Si" TargetMode="External"/><Relationship Id="rId419" Type="http://schemas.openxmlformats.org/officeDocument/2006/relationships/hyperlink" Target="https://drive.google.com/open?id=1tzZgKc0WZkgVOjWOjB2o5k69MFY2b0_j" TargetMode="External"/><Relationship Id="rId418" Type="http://schemas.openxmlformats.org/officeDocument/2006/relationships/hyperlink" Target="https://drive.google.com/open?id=1PcuHb4HnTJt-jlw88CB5w8IK2V88yPjA" TargetMode="External"/><Relationship Id="rId417" Type="http://schemas.openxmlformats.org/officeDocument/2006/relationships/hyperlink" Target="https://drive.google.com/open?id=1lp3I17Mi_Grw432vMz25bZ_MnB8sv7Ep" TargetMode="External"/><Relationship Id="rId416" Type="http://schemas.openxmlformats.org/officeDocument/2006/relationships/hyperlink" Target="https://drive.google.com/open?id=1OBSehv7q1-renDCSlYTxeQEbSwd-Wq7q" TargetMode="External"/><Relationship Id="rId411" Type="http://schemas.openxmlformats.org/officeDocument/2006/relationships/hyperlink" Target="https://drive.google.com/open?id=1Up7hskVR8TbrEqvRNA06CqxSHVuPK6NU" TargetMode="External"/><Relationship Id="rId410" Type="http://schemas.openxmlformats.org/officeDocument/2006/relationships/hyperlink" Target="https://drive.google.com/open?id=1UyWxseFwcVfUVMguTsy5GK2CZY5b9xjH" TargetMode="External"/><Relationship Id="rId448" Type="http://schemas.openxmlformats.org/officeDocument/2006/relationships/hyperlink" Target="https://drive.google.com/open?id=1t7YuxhJcgvB0k9p8NF3hcRwY0RgiDsrS" TargetMode="External"/><Relationship Id="rId447" Type="http://schemas.openxmlformats.org/officeDocument/2006/relationships/hyperlink" Target="https://drive.google.com/open?id=1oSaJR6N-1htGwebKZyho_S8RSxAoQMjm" TargetMode="External"/><Relationship Id="rId446" Type="http://schemas.openxmlformats.org/officeDocument/2006/relationships/hyperlink" Target="https://drive.google.com/open?id=1wWvUeOGXIDXv820nDt4LNNuQoN3PG-uu" TargetMode="External"/><Relationship Id="rId445" Type="http://schemas.openxmlformats.org/officeDocument/2006/relationships/hyperlink" Target="https://drive.google.com/open?id=1AlmEpRsxkUSXLOV1fWyHBEc_Ip03UL_B" TargetMode="External"/><Relationship Id="rId449" Type="http://schemas.openxmlformats.org/officeDocument/2006/relationships/hyperlink" Target="https://drive.google.com/open?id=1N9KgfLWB9a3IJheg9XC_ZJF5f52uUzm3" TargetMode="External"/><Relationship Id="rId440" Type="http://schemas.openxmlformats.org/officeDocument/2006/relationships/hyperlink" Target="https://drive.google.com/open?id=1OwMIR_YnllhUMZk-8cTQfxP17a6NnF-F" TargetMode="External"/><Relationship Id="rId444" Type="http://schemas.openxmlformats.org/officeDocument/2006/relationships/hyperlink" Target="https://drive.google.com/open?id=1fkiIWJ5UXmHQ23b069XgtoCGBmj2oVpm" TargetMode="External"/><Relationship Id="rId443" Type="http://schemas.openxmlformats.org/officeDocument/2006/relationships/hyperlink" Target="https://drive.google.com/open?id=1THrzHydszHGCA1WF4tdiAXUK8w0euWtI" TargetMode="External"/><Relationship Id="rId442" Type="http://schemas.openxmlformats.org/officeDocument/2006/relationships/hyperlink" Target="https://drive.google.com/open?id=1brW6B44Qh84h6GCdihmmoMJEynSjdv_I" TargetMode="External"/><Relationship Id="rId441" Type="http://schemas.openxmlformats.org/officeDocument/2006/relationships/hyperlink" Target="https://drive.google.com/open?id=1e1qvJrqVI8M-bafXMpVtuSye4WVXE4pX" TargetMode="External"/><Relationship Id="rId437" Type="http://schemas.openxmlformats.org/officeDocument/2006/relationships/hyperlink" Target="https://drive.google.com/open?id=1WTBFoREeuxVlmNPqycjJYPzLfWLXsLp6" TargetMode="External"/><Relationship Id="rId436" Type="http://schemas.openxmlformats.org/officeDocument/2006/relationships/hyperlink" Target="https://drive.google.com/open?id=1sBaQ2I6jPXEVjDye17qe_xvOm60gdDTh" TargetMode="External"/><Relationship Id="rId435" Type="http://schemas.openxmlformats.org/officeDocument/2006/relationships/hyperlink" Target="https://drive.google.com/open?id=1WvhbjeO1RNP2ap527D1Z4uQHrElK3AHq" TargetMode="External"/><Relationship Id="rId434" Type="http://schemas.openxmlformats.org/officeDocument/2006/relationships/hyperlink" Target="https://drive.google.com/open?id=1TvErzqSoCKX_rIVTFWYJOAm8T0r_CzK3" TargetMode="External"/><Relationship Id="rId439" Type="http://schemas.openxmlformats.org/officeDocument/2006/relationships/hyperlink" Target="https://drive.google.com/open?id=1Wf7fXCJ1yq91XfPnTKYOHwT6KsUIvs_T" TargetMode="External"/><Relationship Id="rId438" Type="http://schemas.openxmlformats.org/officeDocument/2006/relationships/hyperlink" Target="https://drive.google.com/open?id=1T9YehY40795_trVAqdR-fZG_47OaYH3m" TargetMode="External"/><Relationship Id="rId433" Type="http://schemas.openxmlformats.org/officeDocument/2006/relationships/hyperlink" Target="https://drive.google.com/open?id=1I6OchFodM88EV3JrDAdeqYQMAtlsdX-k" TargetMode="External"/><Relationship Id="rId432" Type="http://schemas.openxmlformats.org/officeDocument/2006/relationships/hyperlink" Target="https://drive.google.com/open?id=1xS9hNVNAA9186EuB5fIK_9q1BdTadBBE" TargetMode="External"/><Relationship Id="rId431" Type="http://schemas.openxmlformats.org/officeDocument/2006/relationships/hyperlink" Target="https://drive.google.com/open?id=1W3QfP7sUjknPjcZ3GjTphjkBHMb0pUgn" TargetMode="External"/><Relationship Id="rId430" Type="http://schemas.openxmlformats.org/officeDocument/2006/relationships/hyperlink" Target="https://drive.google.com/open?id=19OGhrrsN12-sjG4M8BgL6OhPvmzyb-Y4" TargetMode="External"/><Relationship Id="rId1" Type="http://schemas.openxmlformats.org/officeDocument/2006/relationships/hyperlink" Target="https://drive.google.com/open?id=1bG6ZDiif4hIZIAM8JvFphmay3f2SS3u5" TargetMode="External"/><Relationship Id="rId2" Type="http://schemas.openxmlformats.org/officeDocument/2006/relationships/hyperlink" Target="https://drive.google.com/open?id=1XbKQlxHzwUYrF6-8ZsVSn_sooaNW5BiU" TargetMode="External"/><Relationship Id="rId3" Type="http://schemas.openxmlformats.org/officeDocument/2006/relationships/hyperlink" Target="https://drive.google.com/open?id=1D38XNgPF4207HfSWul6vK-exbKx49zxN" TargetMode="External"/><Relationship Id="rId4" Type="http://schemas.openxmlformats.org/officeDocument/2006/relationships/hyperlink" Target="https://drive.google.com/open?id=1IFnpHwUMaP55EWtf6gh-7qsa6vGSqWDZ" TargetMode="External"/><Relationship Id="rId9" Type="http://schemas.openxmlformats.org/officeDocument/2006/relationships/hyperlink" Target="https://drive.google.com/open?id=18dzCKu4r8ilKCOmCETNuKIOXHubEjlXm" TargetMode="External"/><Relationship Id="rId5" Type="http://schemas.openxmlformats.org/officeDocument/2006/relationships/hyperlink" Target="https://drive.google.com/open?id=1y1UuHz84RkFGAFl6bxrD4spvJaoLMmvr" TargetMode="External"/><Relationship Id="rId6" Type="http://schemas.openxmlformats.org/officeDocument/2006/relationships/hyperlink" Target="https://drive.google.com/open?id=1kqAYWZJ-0gSB_QytXttIN7eXRDF5RV2g" TargetMode="External"/><Relationship Id="rId7" Type="http://schemas.openxmlformats.org/officeDocument/2006/relationships/hyperlink" Target="https://drive.google.com/open?id=1KxUZrRfTKuPxHnpas_4R8kG226FCMfK9" TargetMode="External"/><Relationship Id="rId8" Type="http://schemas.openxmlformats.org/officeDocument/2006/relationships/hyperlink" Target="https://drive.google.com/open?id=1tmTPqwStAq8mxF28JO2CSgwo0YDr2FN1" TargetMode="External"/><Relationship Id="rId808" Type="http://schemas.openxmlformats.org/officeDocument/2006/relationships/hyperlink" Target="https://drive.google.com/open?id=1gUDMpyVoCWzi4NyFiLQC0M9f3ZoKgxQT" TargetMode="External"/><Relationship Id="rId807" Type="http://schemas.openxmlformats.org/officeDocument/2006/relationships/hyperlink" Target="https://drive.google.com/open?id=1uJa1yII5MMc79qlXpZe6I3NtefVGP5a1" TargetMode="External"/><Relationship Id="rId806" Type="http://schemas.openxmlformats.org/officeDocument/2006/relationships/hyperlink" Target="https://drive.google.com/open?id=1HDFxYHFxro3i_jIkDcrhR5J4vRWHhVAa" TargetMode="External"/><Relationship Id="rId805" Type="http://schemas.openxmlformats.org/officeDocument/2006/relationships/hyperlink" Target="https://drive.google.com/open?id=1fmCVby7zhjRroVFRjEh6OgxacNDrm9ak" TargetMode="External"/><Relationship Id="rId809" Type="http://schemas.openxmlformats.org/officeDocument/2006/relationships/hyperlink" Target="https://drive.google.com/open?id=1ANrHuAaHPG2Zcg1Sf1BXmArd59KouKOF" TargetMode="External"/><Relationship Id="rId800" Type="http://schemas.openxmlformats.org/officeDocument/2006/relationships/hyperlink" Target="https://drive.google.com/open?id=1DHAgg_AvxCZenJNSzBtQn_0Rv230HY-2" TargetMode="External"/><Relationship Id="rId804" Type="http://schemas.openxmlformats.org/officeDocument/2006/relationships/hyperlink" Target="https://drive.google.com/open?id=1Ackn4uUg7b_PgS7bh7QmI9dKvgzviu7O" TargetMode="External"/><Relationship Id="rId803" Type="http://schemas.openxmlformats.org/officeDocument/2006/relationships/hyperlink" Target="https://drive.google.com/open?id=1KPafDVSp8cewbhjfY_sQwNkiZCh3w8Xv" TargetMode="External"/><Relationship Id="rId802" Type="http://schemas.openxmlformats.org/officeDocument/2006/relationships/hyperlink" Target="https://drive.google.com/open?id=1Tk1tO9Vgf0CewhMdyuXfDqv2Wej_UdfO" TargetMode="External"/><Relationship Id="rId801" Type="http://schemas.openxmlformats.org/officeDocument/2006/relationships/hyperlink" Target="https://drive.google.com/open?id=1PE8lHYVcC0jzvkB7mnMdJHxYoZS6xxoI" TargetMode="External"/><Relationship Id="rId745" Type="http://schemas.openxmlformats.org/officeDocument/2006/relationships/hyperlink" Target="https://drive.google.com/open?id=1nBmM318OjyGbjxc6irQ5AaXxrFJqk67Y" TargetMode="External"/><Relationship Id="rId744" Type="http://schemas.openxmlformats.org/officeDocument/2006/relationships/hyperlink" Target="https://drive.google.com/open?id=1I0dPO1svTGR_Hl6DWjYJtyDvk4-zMbS-" TargetMode="External"/><Relationship Id="rId743" Type="http://schemas.openxmlformats.org/officeDocument/2006/relationships/hyperlink" Target="https://drive.google.com/open?id=1tHu1MXTL7xiM7QKKSYeURDLUhxotzRkB" TargetMode="External"/><Relationship Id="rId742" Type="http://schemas.openxmlformats.org/officeDocument/2006/relationships/hyperlink" Target="https://drive.google.com/open?id=123QbI8gz74wyE2Zk0uAmgw1PuGYRV3ZZ" TargetMode="External"/><Relationship Id="rId749" Type="http://schemas.openxmlformats.org/officeDocument/2006/relationships/hyperlink" Target="https://drive.google.com/open?id=1linTnunzzOL3xuHwHnR7qQrhlgF0Bhox" TargetMode="External"/><Relationship Id="rId748" Type="http://schemas.openxmlformats.org/officeDocument/2006/relationships/hyperlink" Target="https://drive.google.com/open?id=1EwiCp3UyXj65QjsIUN9PuBWAc5n5hI1J" TargetMode="External"/><Relationship Id="rId747" Type="http://schemas.openxmlformats.org/officeDocument/2006/relationships/hyperlink" Target="https://drive.google.com/open?id=1c1MDB9wDJryFSXvLGraANAq4VPMErIAG" TargetMode="External"/><Relationship Id="rId746" Type="http://schemas.openxmlformats.org/officeDocument/2006/relationships/hyperlink" Target="https://drive.google.com/open?id=1WYOpbbS5Oee51eC90hICl9DBLTyV2x17" TargetMode="External"/><Relationship Id="rId741" Type="http://schemas.openxmlformats.org/officeDocument/2006/relationships/hyperlink" Target="https://drive.google.com/open?id=12-qo7r24_AnMQGFdA-OEdKbOHsNdF59f" TargetMode="External"/><Relationship Id="rId740" Type="http://schemas.openxmlformats.org/officeDocument/2006/relationships/hyperlink" Target="https://drive.google.com/open?id=1yArJh_3v-n8L2md8t0WxRcpwcCszccwK" TargetMode="External"/><Relationship Id="rId739" Type="http://schemas.openxmlformats.org/officeDocument/2006/relationships/hyperlink" Target="https://drive.google.com/open?id=1OyN3AlFrt8wG6PgGI1EGWChO6_AdaQPF" TargetMode="External"/><Relationship Id="rId734" Type="http://schemas.openxmlformats.org/officeDocument/2006/relationships/hyperlink" Target="https://drive.google.com/open?id=1CIWO_WQbHAxh0C1VjHfvwkWPX2dXMVR1" TargetMode="External"/><Relationship Id="rId733" Type="http://schemas.openxmlformats.org/officeDocument/2006/relationships/hyperlink" Target="https://drive.google.com/open?id=17sjsXgD03qBBg59GC6vjST2ermwG9NAA" TargetMode="External"/><Relationship Id="rId732" Type="http://schemas.openxmlformats.org/officeDocument/2006/relationships/hyperlink" Target="https://drive.google.com/open?id=1GYWsOZbRf4ewxCbBN_V6ANL_upna8jR0" TargetMode="External"/><Relationship Id="rId731" Type="http://schemas.openxmlformats.org/officeDocument/2006/relationships/hyperlink" Target="https://drive.google.com/open?id=11a3SPI369N85e3D00QalDKK05PdCSGn_" TargetMode="External"/><Relationship Id="rId738" Type="http://schemas.openxmlformats.org/officeDocument/2006/relationships/hyperlink" Target="https://drive.google.com/open?id=19J_23mYegKx58M4JhS19v66UHiwK3xJN" TargetMode="External"/><Relationship Id="rId737" Type="http://schemas.openxmlformats.org/officeDocument/2006/relationships/hyperlink" Target="https://drive.google.com/open?id=1XTZymxOBht8inyfHn0ox1uMi4MOieblG" TargetMode="External"/><Relationship Id="rId736" Type="http://schemas.openxmlformats.org/officeDocument/2006/relationships/hyperlink" Target="https://drive.google.com/open?id=1D4FVnIHCNmpvbOCTu_KjsPn7bkhjFCjg" TargetMode="External"/><Relationship Id="rId735" Type="http://schemas.openxmlformats.org/officeDocument/2006/relationships/hyperlink" Target="https://drive.google.com/open?id=1zGimdMkpmklErqPzCxzze0R_yfnWQ0Gl" TargetMode="External"/><Relationship Id="rId730" Type="http://schemas.openxmlformats.org/officeDocument/2006/relationships/hyperlink" Target="https://drive.google.com/open?id=1LT0D8DLX5nesHAuocRV9il5uTQbaA3CW" TargetMode="External"/><Relationship Id="rId767" Type="http://schemas.openxmlformats.org/officeDocument/2006/relationships/hyperlink" Target="https://drive.google.com/open?id=1vCNdT6ophAGE5XBtbY37zbacV2VEGBsR" TargetMode="External"/><Relationship Id="rId766" Type="http://schemas.openxmlformats.org/officeDocument/2006/relationships/hyperlink" Target="https://drive.google.com/open?id=1Xspw5MXg-zuhxM8sxFwNSAC8nijDVPO9" TargetMode="External"/><Relationship Id="rId765" Type="http://schemas.openxmlformats.org/officeDocument/2006/relationships/hyperlink" Target="https://drive.google.com/open?id=1WNxkm9kREgwDOluygj7Eakhqc2b5mmg-" TargetMode="External"/><Relationship Id="rId764" Type="http://schemas.openxmlformats.org/officeDocument/2006/relationships/hyperlink" Target="https://drive.google.com/open?id=1rgbh_PUZTOo4hezsx7FOCFUO5pVwXwQC" TargetMode="External"/><Relationship Id="rId769" Type="http://schemas.openxmlformats.org/officeDocument/2006/relationships/hyperlink" Target="https://drive.google.com/open?id=1PWbq6Pi0gyw2YPJ_tRFQVvB1WapiyBtk" TargetMode="External"/><Relationship Id="rId768" Type="http://schemas.openxmlformats.org/officeDocument/2006/relationships/hyperlink" Target="https://drive.google.com/open?id=1FQnvtCxfNowL98vzsgsSr9L7oD-_aNbr" TargetMode="External"/><Relationship Id="rId763" Type="http://schemas.openxmlformats.org/officeDocument/2006/relationships/hyperlink" Target="https://drive.google.com/open?id=1wIpZmlFgEmWZ8NSxtSo_G8o3tD1P0zAQ" TargetMode="External"/><Relationship Id="rId762" Type="http://schemas.openxmlformats.org/officeDocument/2006/relationships/hyperlink" Target="https://drive.google.com/open?id=1VusC9sOHePJK294SEizCUE1B7CCLlBcZ" TargetMode="External"/><Relationship Id="rId761" Type="http://schemas.openxmlformats.org/officeDocument/2006/relationships/hyperlink" Target="https://drive.google.com/open?id=1wYp1c7NnLpffLusH_D3BMYS5GfeKxmKy" TargetMode="External"/><Relationship Id="rId760" Type="http://schemas.openxmlformats.org/officeDocument/2006/relationships/hyperlink" Target="https://drive.google.com/open?id=1NkV_4BscAxPbDbfLeIEoLOkNjRhL8_L4" TargetMode="External"/><Relationship Id="rId756" Type="http://schemas.openxmlformats.org/officeDocument/2006/relationships/hyperlink" Target="https://drive.google.com/open?id=1JpqLiwfu4YWxM1QQ7DSCAs1tMJdi0x3d" TargetMode="External"/><Relationship Id="rId755" Type="http://schemas.openxmlformats.org/officeDocument/2006/relationships/hyperlink" Target="https://drive.google.com/open?id=1kesXN1vxjlrxztQ80aSpcKuxsOTmXaV_" TargetMode="External"/><Relationship Id="rId754" Type="http://schemas.openxmlformats.org/officeDocument/2006/relationships/hyperlink" Target="https://drive.google.com/open?id=1ShbaN6VQrMKMPtREbNDHWb2CxLtnAzeN" TargetMode="External"/><Relationship Id="rId753" Type="http://schemas.openxmlformats.org/officeDocument/2006/relationships/hyperlink" Target="https://drive.google.com/open?id=19JRf9KeXNoxGX5Qlb0ejoY995TyG7Tfr" TargetMode="External"/><Relationship Id="rId759" Type="http://schemas.openxmlformats.org/officeDocument/2006/relationships/hyperlink" Target="https://drive.google.com/open?id=1up9p8TVXDqO9eFg7SjXk18O9A7kIKVUr" TargetMode="External"/><Relationship Id="rId758" Type="http://schemas.openxmlformats.org/officeDocument/2006/relationships/hyperlink" Target="https://drive.google.com/open?id=1U9UpwzfJ9NEqKw3nu8aPwIFL0KeFTy_9" TargetMode="External"/><Relationship Id="rId757" Type="http://schemas.openxmlformats.org/officeDocument/2006/relationships/hyperlink" Target="https://drive.google.com/open?id=1Of7tqKnbLegStA6fKouKXHVk6fwTXBK6" TargetMode="External"/><Relationship Id="rId752" Type="http://schemas.openxmlformats.org/officeDocument/2006/relationships/hyperlink" Target="https://drive.google.com/open?id=1vj43-yUZce7QlgnLGt0EQgyCRyhUh0Pe" TargetMode="External"/><Relationship Id="rId751" Type="http://schemas.openxmlformats.org/officeDocument/2006/relationships/hyperlink" Target="https://drive.google.com/open?id=18TZq4VYlwt46ZKhDYn6TJe9r_dv0Nf92" TargetMode="External"/><Relationship Id="rId750" Type="http://schemas.openxmlformats.org/officeDocument/2006/relationships/hyperlink" Target="https://drive.google.com/open?id=1d78IvU2vKTzggziYn41ZQJGJL0YQD_SV" TargetMode="External"/><Relationship Id="rId709" Type="http://schemas.openxmlformats.org/officeDocument/2006/relationships/hyperlink" Target="https://drive.google.com/open?id=1pbTzFNALWKmJUXIdhCU3g2EFXClGSYVg" TargetMode="External"/><Relationship Id="rId708" Type="http://schemas.openxmlformats.org/officeDocument/2006/relationships/hyperlink" Target="https://drive.google.com/open?id=14W5WqoY5-7vqRUoDLe0vfcowff4mV7su" TargetMode="External"/><Relationship Id="rId707" Type="http://schemas.openxmlformats.org/officeDocument/2006/relationships/hyperlink" Target="https://drive.google.com/open?id=1OfTblWiGzybjYYT7g6_NbxlfMsJK_B_k" TargetMode="External"/><Relationship Id="rId706" Type="http://schemas.openxmlformats.org/officeDocument/2006/relationships/hyperlink" Target="https://drive.google.com/open?id=1E9L2eDqbmZLcaPWPnR9K7rLA0NhwYc1r" TargetMode="External"/><Relationship Id="rId701" Type="http://schemas.openxmlformats.org/officeDocument/2006/relationships/hyperlink" Target="https://drive.google.com/open?id=1ahtytP2qnZlGlELKA08SEpfHASNw5aC3" TargetMode="External"/><Relationship Id="rId700" Type="http://schemas.openxmlformats.org/officeDocument/2006/relationships/hyperlink" Target="https://drive.google.com/open?id=1oVQsyQ0QGK1LN_F71zsBz4XZWdTYGy_6" TargetMode="External"/><Relationship Id="rId705" Type="http://schemas.openxmlformats.org/officeDocument/2006/relationships/hyperlink" Target="https://drive.google.com/open?id=189S2nG-L2K4dViEkEZM1hWArNln_khyJ" TargetMode="External"/><Relationship Id="rId704" Type="http://schemas.openxmlformats.org/officeDocument/2006/relationships/hyperlink" Target="https://drive.google.com/open?id=1wrvHjnDzgmChf8xX8Dpo1Z4CM7TU8JiW" TargetMode="External"/><Relationship Id="rId703" Type="http://schemas.openxmlformats.org/officeDocument/2006/relationships/hyperlink" Target="https://drive.google.com/open?id=1eY2aTx8o2PcpVmdVXgt1KSXmdv8-PdwW" TargetMode="External"/><Relationship Id="rId702" Type="http://schemas.openxmlformats.org/officeDocument/2006/relationships/hyperlink" Target="https://drive.google.com/open?id=12lfvvA3QhZpjQ9ndIHGP4p2rSyamPgNf" TargetMode="External"/><Relationship Id="rId729" Type="http://schemas.openxmlformats.org/officeDocument/2006/relationships/hyperlink" Target="https://drive.google.com/open?id=1Yxqjq2elWM5wivZeSt1dAh7I72seHAyU" TargetMode="External"/><Relationship Id="rId728" Type="http://schemas.openxmlformats.org/officeDocument/2006/relationships/hyperlink" Target="https://drive.google.com/open?id=1XsVTrBeMNc8S1HFzxjzhUKsWy7sp6SOy" TargetMode="External"/><Relationship Id="rId723" Type="http://schemas.openxmlformats.org/officeDocument/2006/relationships/hyperlink" Target="https://drive.google.com/open?id=1I4-_KDB4xcGEuY82EE_IccTgImq9KKv9" TargetMode="External"/><Relationship Id="rId722" Type="http://schemas.openxmlformats.org/officeDocument/2006/relationships/hyperlink" Target="https://drive.google.com/open?id=1Mvfxs8W1yNlRMQ5SMWk3DlNgTPZhEoBq" TargetMode="External"/><Relationship Id="rId721" Type="http://schemas.openxmlformats.org/officeDocument/2006/relationships/hyperlink" Target="https://drive.google.com/open?id=1AMLc_znFKQIS3FFBJzWurdAnsSbD-gPp" TargetMode="External"/><Relationship Id="rId720" Type="http://schemas.openxmlformats.org/officeDocument/2006/relationships/hyperlink" Target="https://drive.google.com/open?id=1mVo8dOO-1mzG5KLyEcikpVF_T229WEdF" TargetMode="External"/><Relationship Id="rId727" Type="http://schemas.openxmlformats.org/officeDocument/2006/relationships/hyperlink" Target="https://drive.google.com/open?id=19snxIsh818-mNsDMThOlCVjfAYLx5bw1" TargetMode="External"/><Relationship Id="rId726" Type="http://schemas.openxmlformats.org/officeDocument/2006/relationships/hyperlink" Target="https://drive.google.com/open?id=1eP48q5eodXYoHbBv-d4OsaHqZxsCd3um" TargetMode="External"/><Relationship Id="rId725" Type="http://schemas.openxmlformats.org/officeDocument/2006/relationships/hyperlink" Target="https://drive.google.com/open?id=1XL1mjpv3lAzTiVCNk2zn-_RoH0VlA_ia" TargetMode="External"/><Relationship Id="rId724" Type="http://schemas.openxmlformats.org/officeDocument/2006/relationships/hyperlink" Target="https://drive.google.com/open?id=1OCBiGYj7EfAcxdQweEVI6ET6SnCAozNn" TargetMode="External"/><Relationship Id="rId719" Type="http://schemas.openxmlformats.org/officeDocument/2006/relationships/hyperlink" Target="https://drive.google.com/open?id=1nBMD32tmfePOJDnyQoedajjHEdw8b0Ti" TargetMode="External"/><Relationship Id="rId718" Type="http://schemas.openxmlformats.org/officeDocument/2006/relationships/hyperlink" Target="https://drive.google.com/open?id=1kaFxKFqrtD7nuHJGuBwC9sOr87_lu_u8" TargetMode="External"/><Relationship Id="rId717" Type="http://schemas.openxmlformats.org/officeDocument/2006/relationships/hyperlink" Target="https://drive.google.com/open?id=1qWG1PZuDe3cva4nlvQ_rlHZgMj5LpNmt" TargetMode="External"/><Relationship Id="rId712" Type="http://schemas.openxmlformats.org/officeDocument/2006/relationships/hyperlink" Target="https://drive.google.com/open?id=1_gQ8sJok8oc9Wy845l-_B3jS10mex0G2" TargetMode="External"/><Relationship Id="rId711" Type="http://schemas.openxmlformats.org/officeDocument/2006/relationships/hyperlink" Target="https://drive.google.com/open?id=1C_EIihh1RUZEcX1dvuDdDTxWWVWcrTfh" TargetMode="External"/><Relationship Id="rId710" Type="http://schemas.openxmlformats.org/officeDocument/2006/relationships/hyperlink" Target="https://drive.google.com/open?id=1Bjf7lrdzolbexKTWAC9dafl1JNP037lJ" TargetMode="External"/><Relationship Id="rId716" Type="http://schemas.openxmlformats.org/officeDocument/2006/relationships/hyperlink" Target="https://drive.google.com/open?id=1RHt_hgzub-lrbfZO7RPKehwKq8mKWeIK" TargetMode="External"/><Relationship Id="rId715" Type="http://schemas.openxmlformats.org/officeDocument/2006/relationships/hyperlink" Target="https://drive.google.com/open?id=1WemDsS_f3W_z5F0ebmxU0-3wbkL8bsbL" TargetMode="External"/><Relationship Id="rId714" Type="http://schemas.openxmlformats.org/officeDocument/2006/relationships/hyperlink" Target="https://drive.google.com/open?id=1xh1WEL4aAra6CnZQXdYuSp6ecDLtM1nz" TargetMode="External"/><Relationship Id="rId713" Type="http://schemas.openxmlformats.org/officeDocument/2006/relationships/hyperlink" Target="https://drive.google.com/open?id=1wCF73slDXIRBkkvryqzNYHVk66Y0QIu7" TargetMode="External"/><Relationship Id="rId789" Type="http://schemas.openxmlformats.org/officeDocument/2006/relationships/hyperlink" Target="https://drive.google.com/open?id=1MkJtJXi3m_dKW7UMfIdqqhCeZsklkM6P" TargetMode="External"/><Relationship Id="rId788" Type="http://schemas.openxmlformats.org/officeDocument/2006/relationships/hyperlink" Target="https://drive.google.com/open?id=1_oYOhNdyrF9vOfTJbM0aMdehG54hof6e" TargetMode="External"/><Relationship Id="rId787" Type="http://schemas.openxmlformats.org/officeDocument/2006/relationships/hyperlink" Target="https://drive.google.com/open?id=1Y6SIHtLhRuRj9PjiZoARqmxxFmWzdKgr" TargetMode="External"/><Relationship Id="rId786" Type="http://schemas.openxmlformats.org/officeDocument/2006/relationships/hyperlink" Target="https://drive.google.com/open?id=1g8OgMlBOzswkf2TUxI0HnyoGb4OcWPOv" TargetMode="External"/><Relationship Id="rId781" Type="http://schemas.openxmlformats.org/officeDocument/2006/relationships/hyperlink" Target="https://drive.google.com/open?id=1_9wn5epCXkfmuRKnCL3wyJ8H-puOZq5P" TargetMode="External"/><Relationship Id="rId780" Type="http://schemas.openxmlformats.org/officeDocument/2006/relationships/hyperlink" Target="https://drive.google.com/open?id=1sr5CXrMclONZ2E5v6rnafu7oJNCnFyXC" TargetMode="External"/><Relationship Id="rId785" Type="http://schemas.openxmlformats.org/officeDocument/2006/relationships/hyperlink" Target="https://drive.google.com/open?id=1Aj7K6ZbXbU8B2B__MwLiwxa9-Pz1lnGZ" TargetMode="External"/><Relationship Id="rId784" Type="http://schemas.openxmlformats.org/officeDocument/2006/relationships/hyperlink" Target="https://drive.google.com/open?id=1rkb0kwT5Q7NR7005AqnyK04lQWlVQRNo" TargetMode="External"/><Relationship Id="rId783" Type="http://schemas.openxmlformats.org/officeDocument/2006/relationships/hyperlink" Target="https://drive.google.com/open?id=1GeVudKjIPUasGKc0QpYTtqeFIV_YI0df" TargetMode="External"/><Relationship Id="rId782" Type="http://schemas.openxmlformats.org/officeDocument/2006/relationships/hyperlink" Target="https://drive.google.com/open?id=15eD3mHeuKAwg7YC0Mk0Dzr13Jqn82Kp9" TargetMode="External"/><Relationship Id="rId778" Type="http://schemas.openxmlformats.org/officeDocument/2006/relationships/hyperlink" Target="https://drive.google.com/open?id=122b5RedvQn0Ud0QqCOvqLbThGDYTaYoz" TargetMode="External"/><Relationship Id="rId777" Type="http://schemas.openxmlformats.org/officeDocument/2006/relationships/hyperlink" Target="https://drive.google.com/open?id=1IZ7EDXTMw76uS5ORjtcjdNpSAu5UMalR" TargetMode="External"/><Relationship Id="rId776" Type="http://schemas.openxmlformats.org/officeDocument/2006/relationships/hyperlink" Target="https://drive.google.com/open?id=14zGWj_UHsA2mowC0ZGrCMfqORh-NbaAC" TargetMode="External"/><Relationship Id="rId775" Type="http://schemas.openxmlformats.org/officeDocument/2006/relationships/hyperlink" Target="https://drive.google.com/open?id=1BtGm9iD0uG1Zz6_24IxPexlQ-_5oRjPd" TargetMode="External"/><Relationship Id="rId779" Type="http://schemas.openxmlformats.org/officeDocument/2006/relationships/hyperlink" Target="https://drive.google.com/open?id=1BBRhpQ6dtdjzKMeWPWzHoh3QoOhbUB3l" TargetMode="External"/><Relationship Id="rId770" Type="http://schemas.openxmlformats.org/officeDocument/2006/relationships/hyperlink" Target="https://drive.google.com/open?id=1z55-zENiMbWb69l_XMyzyQ8mnOdH1Di6" TargetMode="External"/><Relationship Id="rId774" Type="http://schemas.openxmlformats.org/officeDocument/2006/relationships/hyperlink" Target="https://drive.google.com/open?id=17rlmgu3LGmU0Kcp1oWQl_BhgQ0XsyQ9I" TargetMode="External"/><Relationship Id="rId773" Type="http://schemas.openxmlformats.org/officeDocument/2006/relationships/hyperlink" Target="https://drive.google.com/open?id=1_lrqOW4gInYorQce5xUXDHlSwCoMBGzc" TargetMode="External"/><Relationship Id="rId772" Type="http://schemas.openxmlformats.org/officeDocument/2006/relationships/hyperlink" Target="https://drive.google.com/open?id=1PIU4AI-RlT2AHrVkANzljPGq0bOWnQIi" TargetMode="External"/><Relationship Id="rId771" Type="http://schemas.openxmlformats.org/officeDocument/2006/relationships/hyperlink" Target="https://drive.google.com/open?id=1erTsjEklpxh9QAHCkpQNL09ndrxICxbF" TargetMode="External"/><Relationship Id="rId799" Type="http://schemas.openxmlformats.org/officeDocument/2006/relationships/hyperlink" Target="https://drive.google.com/open?id=15XAUQh6H4rJEBX5dcWACoH4b6gcTjUpP" TargetMode="External"/><Relationship Id="rId798" Type="http://schemas.openxmlformats.org/officeDocument/2006/relationships/hyperlink" Target="https://drive.google.com/open?id=16_qU5NpGJRqyIKim-M7keAyuU3Q_C-P-" TargetMode="External"/><Relationship Id="rId797" Type="http://schemas.openxmlformats.org/officeDocument/2006/relationships/hyperlink" Target="https://drive.google.com/open?id=1OYh9USurnhCqo9tcKft64sDyh5hAOacq" TargetMode="External"/><Relationship Id="rId792" Type="http://schemas.openxmlformats.org/officeDocument/2006/relationships/hyperlink" Target="https://drive.google.com/open?id=1-ckoJ9G9ZQCUxQotR6ApZL-aYBJ9iLui" TargetMode="External"/><Relationship Id="rId791" Type="http://schemas.openxmlformats.org/officeDocument/2006/relationships/hyperlink" Target="https://drive.google.com/open?id=1ElgBYz-6fWX738qD0BorDUUxw30VT3xl" TargetMode="External"/><Relationship Id="rId790" Type="http://schemas.openxmlformats.org/officeDocument/2006/relationships/hyperlink" Target="https://drive.google.com/open?id=1etlaPfF2jRleNCZ6GhUEtgjj__ZChhA-" TargetMode="External"/><Relationship Id="rId796" Type="http://schemas.openxmlformats.org/officeDocument/2006/relationships/hyperlink" Target="https://drive.google.com/open?id=1Ttk0cjIgryKYzihQbzrESotBa6ELqXJF" TargetMode="External"/><Relationship Id="rId795" Type="http://schemas.openxmlformats.org/officeDocument/2006/relationships/hyperlink" Target="https://drive.google.com/open?id=1jrhrnEoAO1_t-DfpUODssLopA3y7Uw2j" TargetMode="External"/><Relationship Id="rId794" Type="http://schemas.openxmlformats.org/officeDocument/2006/relationships/hyperlink" Target="https://drive.google.com/open?id=1CTdewbowJ9fLCSGtOOEtycEvNkVJT66z" TargetMode="External"/><Relationship Id="rId793" Type="http://schemas.openxmlformats.org/officeDocument/2006/relationships/hyperlink" Target="https://drive.google.com/open?id=1GZF_DVGwDDmVHxbkhwR9o5gnUPIu_0NC" TargetMode="External"/><Relationship Id="rId629" Type="http://schemas.openxmlformats.org/officeDocument/2006/relationships/hyperlink" Target="https://drive.google.com/open?id=1O93ph6qQMaDHtv-WGx6RpQweJNfsdu_E" TargetMode="External"/><Relationship Id="rId624" Type="http://schemas.openxmlformats.org/officeDocument/2006/relationships/hyperlink" Target="https://drive.google.com/open?id=15v1yKu3Lie57q0mrdcSO73iOro0oMi4Z" TargetMode="External"/><Relationship Id="rId623" Type="http://schemas.openxmlformats.org/officeDocument/2006/relationships/hyperlink" Target="https://drive.google.com/open?id=1JlFQ-IMwfATXv6CYoGyKW-FOZV2wQlME" TargetMode="External"/><Relationship Id="rId622" Type="http://schemas.openxmlformats.org/officeDocument/2006/relationships/hyperlink" Target="https://drive.google.com/open?id=1Lhjknv3FUVGnJorLMmInbZSi8IfY-KGv" TargetMode="External"/><Relationship Id="rId621" Type="http://schemas.openxmlformats.org/officeDocument/2006/relationships/hyperlink" Target="https://drive.google.com/open?id=1AtI4yj2X2MKdEChSjJDGyP0pdCSFyHXp" TargetMode="External"/><Relationship Id="rId628" Type="http://schemas.openxmlformats.org/officeDocument/2006/relationships/hyperlink" Target="https://drive.google.com/open?id=13QfZunXLaU4i03MQBkcmvKT9AlY2djUt" TargetMode="External"/><Relationship Id="rId627" Type="http://schemas.openxmlformats.org/officeDocument/2006/relationships/hyperlink" Target="https://drive.google.com/open?id=1gpRsbNOP7PVeQAqRM7hbEkXw6hMn8_EW" TargetMode="External"/><Relationship Id="rId626" Type="http://schemas.openxmlformats.org/officeDocument/2006/relationships/hyperlink" Target="https://drive.google.com/open?id=1l19nvVnNDyLwc51RG_pKOkjr80l3aWrj" TargetMode="External"/><Relationship Id="rId625" Type="http://schemas.openxmlformats.org/officeDocument/2006/relationships/hyperlink" Target="https://drive.google.com/open?id=1I48Jjeqx_y5KKAE6TuEcJup8sub_Ymbh" TargetMode="External"/><Relationship Id="rId620" Type="http://schemas.openxmlformats.org/officeDocument/2006/relationships/hyperlink" Target="https://drive.google.com/open?id=1w8aiBdnOKOgMTsrbWiP70VjyP6d_wXud" TargetMode="External"/><Relationship Id="rId619" Type="http://schemas.openxmlformats.org/officeDocument/2006/relationships/hyperlink" Target="https://drive.google.com/open?id=1R0GFE0KoYX2Gm0CemzPlNrbUqr4hQVjk" TargetMode="External"/><Relationship Id="rId618" Type="http://schemas.openxmlformats.org/officeDocument/2006/relationships/hyperlink" Target="https://drive.google.com/open?id=1iMtFzwctG-308jRScrsXlXDwiZElP57i" TargetMode="External"/><Relationship Id="rId613" Type="http://schemas.openxmlformats.org/officeDocument/2006/relationships/hyperlink" Target="https://drive.google.com/open?id=1IqQNYoHAhpN5oHzy4pdI8Nlx41OwiCmO" TargetMode="External"/><Relationship Id="rId612" Type="http://schemas.openxmlformats.org/officeDocument/2006/relationships/hyperlink" Target="https://drive.google.com/open?id=1sv3ngkUi0D_ZGrQ1Yh2wODSRUi5K9it0" TargetMode="External"/><Relationship Id="rId611" Type="http://schemas.openxmlformats.org/officeDocument/2006/relationships/hyperlink" Target="https://drive.google.com/open?id=1cx85Pt-Qs1SQfZbEdOOu5pZxKm7H5-jd" TargetMode="External"/><Relationship Id="rId610" Type="http://schemas.openxmlformats.org/officeDocument/2006/relationships/hyperlink" Target="https://drive.google.com/open?id=1VodI-Bs9izGyTbi_VzmHl7mncnTuCRY9" TargetMode="External"/><Relationship Id="rId617" Type="http://schemas.openxmlformats.org/officeDocument/2006/relationships/hyperlink" Target="https://drive.google.com/open?id=12cxcXdbHUySiuotgmpeqUQhI09Rp_XVX" TargetMode="External"/><Relationship Id="rId616" Type="http://schemas.openxmlformats.org/officeDocument/2006/relationships/hyperlink" Target="https://drive.google.com/open?id=16FnGh9f-9dtfirOHBCXWJSycLTYvLv3g" TargetMode="External"/><Relationship Id="rId615" Type="http://schemas.openxmlformats.org/officeDocument/2006/relationships/hyperlink" Target="https://drive.google.com/open?id=1yejR-Aw6gJI7efVaGvI0_0BAaUfHcsrG" TargetMode="External"/><Relationship Id="rId614" Type="http://schemas.openxmlformats.org/officeDocument/2006/relationships/hyperlink" Target="https://drive.google.com/open?id=1eC0yXwgGkPn6lloPJaHpeeKZY3qbSRT7" TargetMode="External"/><Relationship Id="rId646" Type="http://schemas.openxmlformats.org/officeDocument/2006/relationships/hyperlink" Target="https://drive.google.com/open?id=1Kb_ky0LJ5PPDRAwM-jchEI9LU2DF_-6R" TargetMode="External"/><Relationship Id="rId645" Type="http://schemas.openxmlformats.org/officeDocument/2006/relationships/hyperlink" Target="https://drive.google.com/open?id=1X8M7fk7g25MOTyPksUsEOEPFclTzIlyr" TargetMode="External"/><Relationship Id="rId644" Type="http://schemas.openxmlformats.org/officeDocument/2006/relationships/hyperlink" Target="https://drive.google.com/open?id=1aewVYY09GeeZYdVrwwwuE8wXjNGj_wFK" TargetMode="External"/><Relationship Id="rId643" Type="http://schemas.openxmlformats.org/officeDocument/2006/relationships/hyperlink" Target="https://drive.google.com/open?id=1-6RPnjnd-03DtxOkfnRNJguRzymNClbP" TargetMode="External"/><Relationship Id="rId649" Type="http://schemas.openxmlformats.org/officeDocument/2006/relationships/hyperlink" Target="https://drive.google.com/open?id=142N1OSA4zsKJtWjbOkDXQch5neos4iOp" TargetMode="External"/><Relationship Id="rId648" Type="http://schemas.openxmlformats.org/officeDocument/2006/relationships/hyperlink" Target="https://drive.google.com/open?id=1mmntpr9DkJz8Kl2_pq5I-aurATixhTjn" TargetMode="External"/><Relationship Id="rId647" Type="http://schemas.openxmlformats.org/officeDocument/2006/relationships/hyperlink" Target="https://drive.google.com/open?id=16V6DX6JcTF2qZ5o48U7vaDXsO6OUQCbx" TargetMode="External"/><Relationship Id="rId642" Type="http://schemas.openxmlformats.org/officeDocument/2006/relationships/hyperlink" Target="https://drive.google.com/open?id=1ZvgfzZokh7jvwBgAaheT3F5HcQnDyqNd" TargetMode="External"/><Relationship Id="rId641" Type="http://schemas.openxmlformats.org/officeDocument/2006/relationships/hyperlink" Target="https://drive.google.com/open?id=1XCIAc3EjkSovHyMXhLMaHd8LNtgfwTvy" TargetMode="External"/><Relationship Id="rId640" Type="http://schemas.openxmlformats.org/officeDocument/2006/relationships/hyperlink" Target="https://drive.google.com/open?id=1dt9mPFcido2Jb6Eibo1ZPfn7GWLwh9ih" TargetMode="External"/><Relationship Id="rId635" Type="http://schemas.openxmlformats.org/officeDocument/2006/relationships/hyperlink" Target="https://drive.google.com/open?id=1MUSyXrXlvxEiRiqi4G_KajBQTgGja-7A" TargetMode="External"/><Relationship Id="rId634" Type="http://schemas.openxmlformats.org/officeDocument/2006/relationships/hyperlink" Target="https://drive.google.com/open?id=1xEZSp2gaMbz5Ddw8cG7VuFqwoHnUILrF" TargetMode="External"/><Relationship Id="rId633" Type="http://schemas.openxmlformats.org/officeDocument/2006/relationships/hyperlink" Target="https://drive.google.com/open?id=1XzjhNIKco0quKmyJHEUlb7Ey1VoWXMce" TargetMode="External"/><Relationship Id="rId632" Type="http://schemas.openxmlformats.org/officeDocument/2006/relationships/hyperlink" Target="https://drive.google.com/open?id=17WL6rPBAEXocX8eC-z_n0CtIzNhaEIuQ" TargetMode="External"/><Relationship Id="rId639" Type="http://schemas.openxmlformats.org/officeDocument/2006/relationships/hyperlink" Target="https://drive.google.com/open?id=1IvsevRIoMR9PfZnSNxEhIHkmXYgSYvng" TargetMode="External"/><Relationship Id="rId638" Type="http://schemas.openxmlformats.org/officeDocument/2006/relationships/hyperlink" Target="https://drive.google.com/open?id=15YRkH3LTYqopKx38vRhbhGlNtbVN1lhT" TargetMode="External"/><Relationship Id="rId637" Type="http://schemas.openxmlformats.org/officeDocument/2006/relationships/hyperlink" Target="https://drive.google.com/open?id=1uO7iEzmY2MsA9ZvsUPSTS4rKcTrbCQ2R" TargetMode="External"/><Relationship Id="rId636" Type="http://schemas.openxmlformats.org/officeDocument/2006/relationships/hyperlink" Target="https://drive.google.com/open?id=1viFOUiOvcPq6xPcoPFSWgflftyalGk77" TargetMode="External"/><Relationship Id="rId631" Type="http://schemas.openxmlformats.org/officeDocument/2006/relationships/hyperlink" Target="https://drive.google.com/open?id=15gwYWvLv0NlRv69baP1SGJx1Ff6wiFid" TargetMode="External"/><Relationship Id="rId630" Type="http://schemas.openxmlformats.org/officeDocument/2006/relationships/hyperlink" Target="https://drive.google.com/open?id=1C6PwilNt4cyJAKbatyZjzjZIGnPchux1" TargetMode="External"/><Relationship Id="rId609" Type="http://schemas.openxmlformats.org/officeDocument/2006/relationships/hyperlink" Target="https://drive.google.com/open?id=1xFUHioS_SEadHKB14irz92HZVINKq5ge" TargetMode="External"/><Relationship Id="rId608" Type="http://schemas.openxmlformats.org/officeDocument/2006/relationships/hyperlink" Target="https://drive.google.com/open?id=1QjDc50DhJiKkb82aE9croZYruCf_Bapo" TargetMode="External"/><Relationship Id="rId607" Type="http://schemas.openxmlformats.org/officeDocument/2006/relationships/hyperlink" Target="https://drive.google.com/open?id=1zzKjTZDFli5GeAZ5K3C3hNmz73mo8KLG" TargetMode="External"/><Relationship Id="rId602" Type="http://schemas.openxmlformats.org/officeDocument/2006/relationships/hyperlink" Target="https://drive.google.com/open?id=1zzmtSeVaMSrFCeiExpCpKBgpOJN8bzsT" TargetMode="External"/><Relationship Id="rId601" Type="http://schemas.openxmlformats.org/officeDocument/2006/relationships/hyperlink" Target="https://drive.google.com/open?id=105wE3MudpGw-zEIhSbkFecsYE9TK3MT7" TargetMode="External"/><Relationship Id="rId600" Type="http://schemas.openxmlformats.org/officeDocument/2006/relationships/hyperlink" Target="https://drive.google.com/open?id=1voxpNRMleD3RUW2iDxXnThpnRFzhXkYD" TargetMode="External"/><Relationship Id="rId606" Type="http://schemas.openxmlformats.org/officeDocument/2006/relationships/hyperlink" Target="https://drive.google.com/open?id=17Swufh97E988scwbpS2RlQvFhzhdOIAZ" TargetMode="External"/><Relationship Id="rId605" Type="http://schemas.openxmlformats.org/officeDocument/2006/relationships/hyperlink" Target="https://drive.google.com/open?id=1oiXGSwM4R9PdJrD2hY7-Igom7Y-HUo-h" TargetMode="External"/><Relationship Id="rId604" Type="http://schemas.openxmlformats.org/officeDocument/2006/relationships/hyperlink" Target="https://drive.google.com/open?id=1ZFIDgn8UuS7mqshXBpgjEXoXIiZbtpp_" TargetMode="External"/><Relationship Id="rId603" Type="http://schemas.openxmlformats.org/officeDocument/2006/relationships/hyperlink" Target="https://drive.google.com/open?id=1veZdcVYQDnceZhf3id1EgnsFYm4ylduD" TargetMode="External"/><Relationship Id="rId699" Type="http://schemas.openxmlformats.org/officeDocument/2006/relationships/hyperlink" Target="https://drive.google.com/open?id=13_e-RB7exioDyMGw_eLcey1yTag3hjTP" TargetMode="External"/><Relationship Id="rId698" Type="http://schemas.openxmlformats.org/officeDocument/2006/relationships/hyperlink" Target="https://drive.google.com/open?id=196twUaO4APjEfv07njmulGXBVegwNh4L" TargetMode="External"/><Relationship Id="rId693" Type="http://schemas.openxmlformats.org/officeDocument/2006/relationships/hyperlink" Target="https://drive.google.com/open?id=1WCM5lAng21spu0xX1w0V0QXYbWG5T51Q" TargetMode="External"/><Relationship Id="rId692" Type="http://schemas.openxmlformats.org/officeDocument/2006/relationships/hyperlink" Target="https://drive.google.com/open?id=1nnKGeGlKo-E5ngiH2OnmhW4782hRxeLU" TargetMode="External"/><Relationship Id="rId691" Type="http://schemas.openxmlformats.org/officeDocument/2006/relationships/hyperlink" Target="https://drive.google.com/open?id=1uVKwtKC3Fq_Yx1u-zX7v8iku_quFWDBe" TargetMode="External"/><Relationship Id="rId690" Type="http://schemas.openxmlformats.org/officeDocument/2006/relationships/hyperlink" Target="https://drive.google.com/open?id=1Tx4xj1HpLWZMdhAvxNSIOhE09Pl513g6" TargetMode="External"/><Relationship Id="rId697" Type="http://schemas.openxmlformats.org/officeDocument/2006/relationships/hyperlink" Target="https://drive.google.com/open?id=1NPEgbswVjgy046WbabGNAAet5Vja1O0S" TargetMode="External"/><Relationship Id="rId696" Type="http://schemas.openxmlformats.org/officeDocument/2006/relationships/hyperlink" Target="https://drive.google.com/open?id=1sDE7c-Mh-Um_bPMh3aNfuEvYQINrlgvR" TargetMode="External"/><Relationship Id="rId695" Type="http://schemas.openxmlformats.org/officeDocument/2006/relationships/hyperlink" Target="https://drive.google.com/open?id=17opWEISWFHnAbpOiMHNrLpXXM6U0vJ0w" TargetMode="External"/><Relationship Id="rId694" Type="http://schemas.openxmlformats.org/officeDocument/2006/relationships/hyperlink" Target="https://drive.google.com/open?id=1JgH1F-uUKGFgUXWQ6dmK7NilHLSq9K0v" TargetMode="External"/><Relationship Id="rId668" Type="http://schemas.openxmlformats.org/officeDocument/2006/relationships/hyperlink" Target="https://drive.google.com/open?id=1-jQJpq3UpCH3EqGuVNoIza5EZCy27Sko" TargetMode="External"/><Relationship Id="rId667" Type="http://schemas.openxmlformats.org/officeDocument/2006/relationships/hyperlink" Target="https://drive.google.com/open?id=19ppRCS7m5_PXq2s85pdt1Gg1RhZS7VHm" TargetMode="External"/><Relationship Id="rId666" Type="http://schemas.openxmlformats.org/officeDocument/2006/relationships/hyperlink" Target="https://drive.google.com/open?id=1wNccOmHt_eGegiExRUoyI9O0qdFr-1Ya" TargetMode="External"/><Relationship Id="rId665" Type="http://schemas.openxmlformats.org/officeDocument/2006/relationships/hyperlink" Target="https://drive.google.com/open?id=1nij7sD1xTbjxnsFc58l3jgkOYLaP3hNv" TargetMode="External"/><Relationship Id="rId669" Type="http://schemas.openxmlformats.org/officeDocument/2006/relationships/hyperlink" Target="https://drive.google.com/open?id=1WgpmnnC-W_ZQgNesiBQViPVdhnUv3rog" TargetMode="External"/><Relationship Id="rId660" Type="http://schemas.openxmlformats.org/officeDocument/2006/relationships/hyperlink" Target="https://drive.google.com/open?id=1VPdXmtSh7xGFO563MKWvqvfsrGsRS3H9" TargetMode="External"/><Relationship Id="rId664" Type="http://schemas.openxmlformats.org/officeDocument/2006/relationships/hyperlink" Target="https://drive.google.com/open?id=13eAPuoMGg6U81po6Ky_K_autr48NTmbu" TargetMode="External"/><Relationship Id="rId663" Type="http://schemas.openxmlformats.org/officeDocument/2006/relationships/hyperlink" Target="https://drive.google.com/open?id=10tVm0EuoTZ00Oy2hjdE9QBTBUh-iY_5B" TargetMode="External"/><Relationship Id="rId662" Type="http://schemas.openxmlformats.org/officeDocument/2006/relationships/hyperlink" Target="https://drive.google.com/open?id=1mAgchk5_C8dfsZzBxy8Y1-64sKV4qTeR" TargetMode="External"/><Relationship Id="rId661" Type="http://schemas.openxmlformats.org/officeDocument/2006/relationships/hyperlink" Target="https://drive.google.com/open?id=12zy6g-1jAgTNIeDNgrV9EFVVbtfAxzKq" TargetMode="External"/><Relationship Id="rId657" Type="http://schemas.openxmlformats.org/officeDocument/2006/relationships/hyperlink" Target="https://drive.google.com/open?id=1ISZsmKaD13aPkqFiF_Kn7Xmibq86T22t" TargetMode="External"/><Relationship Id="rId656" Type="http://schemas.openxmlformats.org/officeDocument/2006/relationships/hyperlink" Target="https://drive.google.com/open?id=1mMIqvXLPgN3jOh9H-6msr5pPEBYuLGjc" TargetMode="External"/><Relationship Id="rId655" Type="http://schemas.openxmlformats.org/officeDocument/2006/relationships/hyperlink" Target="https://drive.google.com/open?id=14oxxrBQhozrwlLld7MusJe7QXi3pRvjS" TargetMode="External"/><Relationship Id="rId654" Type="http://schemas.openxmlformats.org/officeDocument/2006/relationships/hyperlink" Target="https://drive.google.com/open?id=1WC_5CObZ8nggK89ThV5JJPbY5Wke7wiw" TargetMode="External"/><Relationship Id="rId659" Type="http://schemas.openxmlformats.org/officeDocument/2006/relationships/hyperlink" Target="https://drive.google.com/open?id=1qOb7hBQzTFS6Iv1Wwgs_VwDhuzOF9m7n" TargetMode="External"/><Relationship Id="rId658" Type="http://schemas.openxmlformats.org/officeDocument/2006/relationships/hyperlink" Target="https://drive.google.com/open?id=1w2mFIKFh0fsPkQP_qbZ8aIke2MG1Xfx-" TargetMode="External"/><Relationship Id="rId653" Type="http://schemas.openxmlformats.org/officeDocument/2006/relationships/hyperlink" Target="https://drive.google.com/open?id=1A9rTN8wBRacWxao01HIzDiOVYh_D3rDI" TargetMode="External"/><Relationship Id="rId652" Type="http://schemas.openxmlformats.org/officeDocument/2006/relationships/hyperlink" Target="https://drive.google.com/open?id=1mZ8og5hpryo5OFVgoDtijKyRWMT_SG0V" TargetMode="External"/><Relationship Id="rId651" Type="http://schemas.openxmlformats.org/officeDocument/2006/relationships/hyperlink" Target="https://drive.google.com/open?id=1IZw79baszbei_ceOrdqh7zt0gW_NbvJh" TargetMode="External"/><Relationship Id="rId650" Type="http://schemas.openxmlformats.org/officeDocument/2006/relationships/hyperlink" Target="https://drive.google.com/open?id=1-65qK8g8a7iJc02S4I9q2ciJNONeSlOA" TargetMode="External"/><Relationship Id="rId689" Type="http://schemas.openxmlformats.org/officeDocument/2006/relationships/hyperlink" Target="https://drive.google.com/open?id=1jLu3B4NXESs0fSXkExiCB38ie7X1RT88" TargetMode="External"/><Relationship Id="rId688" Type="http://schemas.openxmlformats.org/officeDocument/2006/relationships/hyperlink" Target="https://drive.google.com/open?id=1PrIpLT5ZLd_ykhSSYkeEylYLA9CtgmI5" TargetMode="External"/><Relationship Id="rId687" Type="http://schemas.openxmlformats.org/officeDocument/2006/relationships/hyperlink" Target="https://drive.google.com/open?id=1nZiWaXMMPvSDW35ZrQeoZHmXtfZRZ8um" TargetMode="External"/><Relationship Id="rId682" Type="http://schemas.openxmlformats.org/officeDocument/2006/relationships/hyperlink" Target="https://drive.google.com/open?id=1-4r0We4Z4y7AIDd7jSV3iEc1zeAWN8-Q" TargetMode="External"/><Relationship Id="rId681" Type="http://schemas.openxmlformats.org/officeDocument/2006/relationships/hyperlink" Target="https://drive.google.com/open?id=17WRsR7wlHlvU5TUQ2eUcAbnPuGQ5Q05y" TargetMode="External"/><Relationship Id="rId680" Type="http://schemas.openxmlformats.org/officeDocument/2006/relationships/hyperlink" Target="https://drive.google.com/open?id=10EqkOLMUmv-CT53AP4taDpJURrlgPqx9" TargetMode="External"/><Relationship Id="rId686" Type="http://schemas.openxmlformats.org/officeDocument/2006/relationships/hyperlink" Target="https://drive.google.com/open?id=1dUKn3E-2EpTDmT2UPF6pXMmfhLLAScjl" TargetMode="External"/><Relationship Id="rId685" Type="http://schemas.openxmlformats.org/officeDocument/2006/relationships/hyperlink" Target="https://drive.google.com/open?id=1dhhloASTwV6cfZcbljIodi1l7J1gkv6F" TargetMode="External"/><Relationship Id="rId684" Type="http://schemas.openxmlformats.org/officeDocument/2006/relationships/hyperlink" Target="https://drive.google.com/open?id=1gSNe2tnQcJYdbq2SlKqfZS6dt6L8Y0py" TargetMode="External"/><Relationship Id="rId683" Type="http://schemas.openxmlformats.org/officeDocument/2006/relationships/hyperlink" Target="https://drive.google.com/open?id=1lBxnhPQGR8dsQLgfWZO0816axG5vnci7" TargetMode="External"/><Relationship Id="rId679" Type="http://schemas.openxmlformats.org/officeDocument/2006/relationships/hyperlink" Target="https://drive.google.com/open?id=1Sqlvjiq8ErcpxPre4lztq4pgvbV08EQ-" TargetMode="External"/><Relationship Id="rId678" Type="http://schemas.openxmlformats.org/officeDocument/2006/relationships/hyperlink" Target="https://drive.google.com/open?id=1ZqSrElQDYnI2qqFzttfHxR4P_zVOSe9l" TargetMode="External"/><Relationship Id="rId677" Type="http://schemas.openxmlformats.org/officeDocument/2006/relationships/hyperlink" Target="https://drive.google.com/open?id=12V_DPmIY07FX-lhtk9zZwHWpBEyZH_b9" TargetMode="External"/><Relationship Id="rId676" Type="http://schemas.openxmlformats.org/officeDocument/2006/relationships/hyperlink" Target="https://drive.google.com/open?id=11ykhSCGrBxVI3FZgyWTBXfxqVkJgWLpu" TargetMode="External"/><Relationship Id="rId671" Type="http://schemas.openxmlformats.org/officeDocument/2006/relationships/hyperlink" Target="https://drive.google.com/open?id=1YnWBczO6ov06hOSILw_RBV1IAKI6M-xG" TargetMode="External"/><Relationship Id="rId670" Type="http://schemas.openxmlformats.org/officeDocument/2006/relationships/hyperlink" Target="https://drive.google.com/open?id=1nkP1es4D4GjWDU1vsHcCwAm_ytb-p0zs" TargetMode="External"/><Relationship Id="rId675" Type="http://schemas.openxmlformats.org/officeDocument/2006/relationships/hyperlink" Target="https://drive.google.com/open?id=1XhVjn1fTxQmVaDuLLKPoID9GGY3f862f" TargetMode="External"/><Relationship Id="rId674" Type="http://schemas.openxmlformats.org/officeDocument/2006/relationships/hyperlink" Target="https://drive.google.com/open?id=1Ards2BFluApy3bWBnanYwGGDHQAyzhSY" TargetMode="External"/><Relationship Id="rId673" Type="http://schemas.openxmlformats.org/officeDocument/2006/relationships/hyperlink" Target="https://drive.google.com/open?id=1-2Ou7xt6i5_pepyqnyXTW2xgKzJoqOHp" TargetMode="External"/><Relationship Id="rId672" Type="http://schemas.openxmlformats.org/officeDocument/2006/relationships/hyperlink" Target="https://drive.google.com/open?id=1Pc3mDASwYPqVTs5uKaTsoQjdfB7TReUa" TargetMode="External"/><Relationship Id="rId190" Type="http://schemas.openxmlformats.org/officeDocument/2006/relationships/hyperlink" Target="https://drive.google.com/open?id=1MeZ0AI82Y3h-qfeR33jsesSRd6eDBcfI" TargetMode="External"/><Relationship Id="rId194" Type="http://schemas.openxmlformats.org/officeDocument/2006/relationships/hyperlink" Target="https://drive.google.com/open?id=1bNuGNs8yIdIqTCSrRpSyM1W006cNd6fL" TargetMode="External"/><Relationship Id="rId193" Type="http://schemas.openxmlformats.org/officeDocument/2006/relationships/hyperlink" Target="https://drive.google.com/open?id=1y0IYNPYyGfWEJVFjaHpM-IUvEIvSx-XB" TargetMode="External"/><Relationship Id="rId192" Type="http://schemas.openxmlformats.org/officeDocument/2006/relationships/hyperlink" Target="https://drive.google.com/open?id=1aX9taxo3TKdMnV-bDLBODvTRmAQAvFJR" TargetMode="External"/><Relationship Id="rId191" Type="http://schemas.openxmlformats.org/officeDocument/2006/relationships/hyperlink" Target="https://drive.google.com/open?id=1gZhkxkVGfZifwR8rDdK72Gc3bQ3V7aGi" TargetMode="External"/><Relationship Id="rId187" Type="http://schemas.openxmlformats.org/officeDocument/2006/relationships/hyperlink" Target="https://drive.google.com/open?id=1egS6VTgVObnEQtBAInfC17AaJTgLF5Dk" TargetMode="External"/><Relationship Id="rId186" Type="http://schemas.openxmlformats.org/officeDocument/2006/relationships/hyperlink" Target="https://drive.google.com/open?id=1DX7_lkCh5QlZi9aIlzeyzXykBl9IGCaR" TargetMode="External"/><Relationship Id="rId185" Type="http://schemas.openxmlformats.org/officeDocument/2006/relationships/hyperlink" Target="https://drive.google.com/open?id=17IrnxSLBemfRm8DeCIvRiCvDCZEwt1m1" TargetMode="External"/><Relationship Id="rId184" Type="http://schemas.openxmlformats.org/officeDocument/2006/relationships/hyperlink" Target="https://drive.google.com/open?id=1OuedzzvdBI228wfXhczXrkvYpPjAvM3O" TargetMode="External"/><Relationship Id="rId189" Type="http://schemas.openxmlformats.org/officeDocument/2006/relationships/hyperlink" Target="https://drive.google.com/open?id=18dzjsM4CXT9VXwBIfaY_O_1Sbp_9uobG" TargetMode="External"/><Relationship Id="rId188" Type="http://schemas.openxmlformats.org/officeDocument/2006/relationships/hyperlink" Target="https://drive.google.com/open?id=1h-PhMW0b71dVVgcE73B88lWt1WAd_Nlc" TargetMode="External"/><Relationship Id="rId183" Type="http://schemas.openxmlformats.org/officeDocument/2006/relationships/hyperlink" Target="https://drive.google.com/open?id=1kgkWSLJCxQOcSD5H4YOu88vM5fGTFCdQ" TargetMode="External"/><Relationship Id="rId182" Type="http://schemas.openxmlformats.org/officeDocument/2006/relationships/hyperlink" Target="https://drive.google.com/open?id=1XlEBdkfdBCsReNuHYJj-9hbrQeCen21I" TargetMode="External"/><Relationship Id="rId181" Type="http://schemas.openxmlformats.org/officeDocument/2006/relationships/hyperlink" Target="https://drive.google.com/open?id=1tRQMdP4rmmHb9G-uvczgKwKl8HqK3hW6" TargetMode="External"/><Relationship Id="rId180" Type="http://schemas.openxmlformats.org/officeDocument/2006/relationships/hyperlink" Target="https://drive.google.com/open?id=1JlUsPUwwIfUirLYDhWwnd4__hgBgmsXY" TargetMode="External"/><Relationship Id="rId176" Type="http://schemas.openxmlformats.org/officeDocument/2006/relationships/hyperlink" Target="https://drive.google.com/open?id=1Um6tcnGtrHWQE41syUy5DdOm3OMGyMe2" TargetMode="External"/><Relationship Id="rId175" Type="http://schemas.openxmlformats.org/officeDocument/2006/relationships/hyperlink" Target="https://drive.google.com/open?id=13TCbtPS9GebGQZoVYKj__mAS0Bdxvi7G" TargetMode="External"/><Relationship Id="rId174" Type="http://schemas.openxmlformats.org/officeDocument/2006/relationships/hyperlink" Target="https://drive.google.com/open?id=1kLusJSKpW9BG9StNcZxoqYL_9C0KBPay" TargetMode="External"/><Relationship Id="rId173" Type="http://schemas.openxmlformats.org/officeDocument/2006/relationships/hyperlink" Target="https://drive.google.com/open?id=1cNK7Rrbz_5dFzujrcvAdJZU3uv5E64Xe" TargetMode="External"/><Relationship Id="rId179" Type="http://schemas.openxmlformats.org/officeDocument/2006/relationships/hyperlink" Target="https://drive.google.com/open?id=1Rqm4qcWgIYtO9sEEc0kwbAebfc5I4M9M" TargetMode="External"/><Relationship Id="rId178" Type="http://schemas.openxmlformats.org/officeDocument/2006/relationships/hyperlink" Target="https://drive.google.com/open?id=12tJTpTYrZtGmtqESZrmdd7MwZhWWQYEa" TargetMode="External"/><Relationship Id="rId177" Type="http://schemas.openxmlformats.org/officeDocument/2006/relationships/hyperlink" Target="https://drive.google.com/open?id=1vB97LJSOF_EmrcIHU5rc2iKvzYX-4z7X" TargetMode="External"/><Relationship Id="rId198" Type="http://schemas.openxmlformats.org/officeDocument/2006/relationships/hyperlink" Target="https://drive.google.com/open?id=1_LFgIPMgYuWmGvxkRnkt_QGexOx9Qzxu" TargetMode="External"/><Relationship Id="rId197" Type="http://schemas.openxmlformats.org/officeDocument/2006/relationships/hyperlink" Target="https://drive.google.com/open?id=1-UqA1Q_6ZxUo6Di7M0RrdIz3UMd5-fAA" TargetMode="External"/><Relationship Id="rId196" Type="http://schemas.openxmlformats.org/officeDocument/2006/relationships/hyperlink" Target="https://drive.google.com/open?id=1e4poGIAb8sSJbEaR2unIyNX1LlLtBRVW" TargetMode="External"/><Relationship Id="rId195" Type="http://schemas.openxmlformats.org/officeDocument/2006/relationships/hyperlink" Target="https://drive.google.com/open?id=1ZIZDR3uVn_nSD_USydwg96f9kKJgkToU" TargetMode="External"/><Relationship Id="rId199" Type="http://schemas.openxmlformats.org/officeDocument/2006/relationships/hyperlink" Target="https://drive.google.com/open?id=1LEKFFVsPlEv33CaWo4Dd7dL09fp8WHz5" TargetMode="External"/><Relationship Id="rId150" Type="http://schemas.openxmlformats.org/officeDocument/2006/relationships/hyperlink" Target="https://drive.google.com/open?id=1qB4UGgjuiqke0Qw1Hk1Xy_gh1UerWopY" TargetMode="External"/><Relationship Id="rId149" Type="http://schemas.openxmlformats.org/officeDocument/2006/relationships/hyperlink" Target="https://drive.google.com/open?id=1thacrqmdrLeApZnMNWVlIzanGoQWQe0S" TargetMode="External"/><Relationship Id="rId148" Type="http://schemas.openxmlformats.org/officeDocument/2006/relationships/hyperlink" Target="https://drive.google.com/open?id=1i-KzmQg1ipuBSGKjezDSO0eVSV4xH65g" TargetMode="External"/><Relationship Id="rId143" Type="http://schemas.openxmlformats.org/officeDocument/2006/relationships/hyperlink" Target="https://drive.google.com/open?id=1SDnWXOg0tdIs1-_EKWgBX8qb-a7VB7_E" TargetMode="External"/><Relationship Id="rId142" Type="http://schemas.openxmlformats.org/officeDocument/2006/relationships/hyperlink" Target="https://drive.google.com/open?id=1SP4rNKk6R0GVB9dsQE80tLr1cf1vgaLr" TargetMode="External"/><Relationship Id="rId141" Type="http://schemas.openxmlformats.org/officeDocument/2006/relationships/hyperlink" Target="https://drive.google.com/open?id=1jE1uLJR5amc5oL2iU2cjrPJBGWYfSwpZ" TargetMode="External"/><Relationship Id="rId140" Type="http://schemas.openxmlformats.org/officeDocument/2006/relationships/hyperlink" Target="https://drive.google.com/open?id=1LCm9sK0faZe7q9P8B7tF8IKAIVLaa4aW" TargetMode="External"/><Relationship Id="rId147" Type="http://schemas.openxmlformats.org/officeDocument/2006/relationships/hyperlink" Target="https://drive.google.com/open?id=13-ljAqCzIFHV_3rERAFasO53scoZR9cX" TargetMode="External"/><Relationship Id="rId146" Type="http://schemas.openxmlformats.org/officeDocument/2006/relationships/hyperlink" Target="https://drive.google.com/open?id=1f0jkywTHV6HJTCx7GWrtRFRmlR7xzNgv" TargetMode="External"/><Relationship Id="rId145" Type="http://schemas.openxmlformats.org/officeDocument/2006/relationships/hyperlink" Target="https://drive.google.com/open?id=1jBkXRC0D-UN9qb2Hqv-iZ3EsnTyeynQp" TargetMode="External"/><Relationship Id="rId144" Type="http://schemas.openxmlformats.org/officeDocument/2006/relationships/hyperlink" Target="https://drive.google.com/open?id=1CsRh7qni_C50jBvvUB7grigZKrDKTx4U" TargetMode="External"/><Relationship Id="rId139" Type="http://schemas.openxmlformats.org/officeDocument/2006/relationships/hyperlink" Target="https://drive.google.com/open?id=1utBt0q-_xiB6bWChH4n9o9Ah6OLwDF4w" TargetMode="External"/><Relationship Id="rId138" Type="http://schemas.openxmlformats.org/officeDocument/2006/relationships/hyperlink" Target="https://drive.google.com/open?id=107ui2l3j1JYTtrWD_85PHvo89uUFwmw0" TargetMode="External"/><Relationship Id="rId137" Type="http://schemas.openxmlformats.org/officeDocument/2006/relationships/hyperlink" Target="https://drive.google.com/open?id=1pyc99yas5rLrR1BhUvTB993lMOY0EIka" TargetMode="External"/><Relationship Id="rId132" Type="http://schemas.openxmlformats.org/officeDocument/2006/relationships/hyperlink" Target="https://drive.google.com/open?id=1rot0R40OZ3INRFXs_IGgqiXcV9Cb-iCX" TargetMode="External"/><Relationship Id="rId131" Type="http://schemas.openxmlformats.org/officeDocument/2006/relationships/hyperlink" Target="https://drive.google.com/open?id=1mefuVrdHL9CKQCI3HlSQiMhosaVqVSar" TargetMode="External"/><Relationship Id="rId130" Type="http://schemas.openxmlformats.org/officeDocument/2006/relationships/hyperlink" Target="https://drive.google.com/open?id=1QIQ885o21EaSe4XKDeqVs_2oa0fPGInj" TargetMode="External"/><Relationship Id="rId136" Type="http://schemas.openxmlformats.org/officeDocument/2006/relationships/hyperlink" Target="https://drive.google.com/open?id=1pU_IXiZ4gxptqaYnBDX2O_hzEusi-YBQ" TargetMode="External"/><Relationship Id="rId135" Type="http://schemas.openxmlformats.org/officeDocument/2006/relationships/hyperlink" Target="https://drive.google.com/open?id=1QgESXqggKWeszR1-fJAYrGcbfY0gaJI_" TargetMode="External"/><Relationship Id="rId134" Type="http://schemas.openxmlformats.org/officeDocument/2006/relationships/hyperlink" Target="https://drive.google.com/open?id=14Y_xABcobDT4ElfPTdcF6AxYMw09ETS_" TargetMode="External"/><Relationship Id="rId133" Type="http://schemas.openxmlformats.org/officeDocument/2006/relationships/hyperlink" Target="https://drive.google.com/open?id=1JkHM2hFrv1nZXxv5iLX03PbmMRqIp1_s" TargetMode="External"/><Relationship Id="rId172" Type="http://schemas.openxmlformats.org/officeDocument/2006/relationships/hyperlink" Target="https://drive.google.com/open?id=19AOBtl17No6qbsZQNOdDVp74LYvAi2Mr" TargetMode="External"/><Relationship Id="rId171" Type="http://schemas.openxmlformats.org/officeDocument/2006/relationships/hyperlink" Target="https://drive.google.com/open?id=1geudoPJCQRKIbF74z6wx6AFLRn31myRJ" TargetMode="External"/><Relationship Id="rId170" Type="http://schemas.openxmlformats.org/officeDocument/2006/relationships/hyperlink" Target="https://drive.google.com/open?id=1ntTcN5jNWA_5LOgaijWPXXA0kcJa0_I5" TargetMode="External"/><Relationship Id="rId165" Type="http://schemas.openxmlformats.org/officeDocument/2006/relationships/hyperlink" Target="https://drive.google.com/open?id=1XXXkMigQbrACFazAWXjLRG6VcsQnEYCu" TargetMode="External"/><Relationship Id="rId164" Type="http://schemas.openxmlformats.org/officeDocument/2006/relationships/hyperlink" Target="https://drive.google.com/open?id=1OjPH2u5oE5C2IFTEaJGC2w124bdRhvY5" TargetMode="External"/><Relationship Id="rId163" Type="http://schemas.openxmlformats.org/officeDocument/2006/relationships/hyperlink" Target="https://drive.google.com/open?id=1f71IA10rJGhpgB1oQHf0cSr8pT3J0PsL" TargetMode="External"/><Relationship Id="rId162" Type="http://schemas.openxmlformats.org/officeDocument/2006/relationships/hyperlink" Target="https://drive.google.com/open?id=10gm1EZCmzopMZPaZoD__Bt2BRYaageVc" TargetMode="External"/><Relationship Id="rId169" Type="http://schemas.openxmlformats.org/officeDocument/2006/relationships/hyperlink" Target="https://drive.google.com/open?id=1_VWXXFP9ye31iqC3KmIe1t9kdslP5RYn" TargetMode="External"/><Relationship Id="rId168" Type="http://schemas.openxmlformats.org/officeDocument/2006/relationships/hyperlink" Target="https://drive.google.com/open?id=1Ir_b17PvmLVxfS7tLYUv4azSN3bYs5qP" TargetMode="External"/><Relationship Id="rId167" Type="http://schemas.openxmlformats.org/officeDocument/2006/relationships/hyperlink" Target="https://drive.google.com/open?id=1mj2icE06liuDFuXUOOPjanxvma49YNaG" TargetMode="External"/><Relationship Id="rId166" Type="http://schemas.openxmlformats.org/officeDocument/2006/relationships/hyperlink" Target="https://drive.google.com/open?id=1bOj3DiQD8aRC4ZBgoFepGTD3Yy08akJS" TargetMode="External"/><Relationship Id="rId161" Type="http://schemas.openxmlformats.org/officeDocument/2006/relationships/hyperlink" Target="https://drive.google.com/open?id=1ZDGmsKDQtOXlxnD8_EsXVC3bN5x9yxH9" TargetMode="External"/><Relationship Id="rId160" Type="http://schemas.openxmlformats.org/officeDocument/2006/relationships/hyperlink" Target="https://drive.google.com/open?id=17j6DkdaQU0DmX3Vv8NiuJoCKA_OfWW9K" TargetMode="External"/><Relationship Id="rId159" Type="http://schemas.openxmlformats.org/officeDocument/2006/relationships/hyperlink" Target="https://drive.google.com/open?id=1IcL6zwDRsbwNExm7P1K8_KEVeNNulUav" TargetMode="External"/><Relationship Id="rId154" Type="http://schemas.openxmlformats.org/officeDocument/2006/relationships/hyperlink" Target="https://drive.google.com/open?id=1hnYe3H7Numz8l-7XOXgTjwtXKzM4Hmi5" TargetMode="External"/><Relationship Id="rId153" Type="http://schemas.openxmlformats.org/officeDocument/2006/relationships/hyperlink" Target="https://drive.google.com/open?id=1TOhpOJx1KCdx0QfQ_TIOQvS-OOympu8H" TargetMode="External"/><Relationship Id="rId152" Type="http://schemas.openxmlformats.org/officeDocument/2006/relationships/hyperlink" Target="https://drive.google.com/open?id=1pNeCXW5TeoMvRCdGEmUTUVH0cL3Y9Na8" TargetMode="External"/><Relationship Id="rId151" Type="http://schemas.openxmlformats.org/officeDocument/2006/relationships/hyperlink" Target="https://drive.google.com/open?id=1yy2v70KXKfT7dtZvWROmbpe-nUhtVupl" TargetMode="External"/><Relationship Id="rId158" Type="http://schemas.openxmlformats.org/officeDocument/2006/relationships/hyperlink" Target="https://drive.google.com/open?id=1wjjhPtFwxMYOMZrH1rlnepTITCfGbzao" TargetMode="External"/><Relationship Id="rId157" Type="http://schemas.openxmlformats.org/officeDocument/2006/relationships/hyperlink" Target="https://drive.google.com/open?id=1P2SGE-3POz63MX77ZX05ZcJqPpmPJx2f" TargetMode="External"/><Relationship Id="rId156" Type="http://schemas.openxmlformats.org/officeDocument/2006/relationships/hyperlink" Target="https://drive.google.com/open?id=1EpV5wGRt3W3WavG9h5JS4NcN1Xz1IThk" TargetMode="External"/><Relationship Id="rId155" Type="http://schemas.openxmlformats.org/officeDocument/2006/relationships/hyperlink" Target="https://drive.google.com/open?id=1z89E_-EejxDGjo0KszIlGijOXBNz4Nlo" TargetMode="External"/><Relationship Id="rId949" Type="http://schemas.openxmlformats.org/officeDocument/2006/relationships/hyperlink" Target="https://drive.google.com/open?id=1dzCKfLN7fExBUTEsTSq6--kPmiQoBerY" TargetMode="External"/><Relationship Id="rId948" Type="http://schemas.openxmlformats.org/officeDocument/2006/relationships/hyperlink" Target="https://drive.google.com/open?id=1jtvfvLkBmaxHHaXQGgIwi-vPOu7W2Lr8" TargetMode="External"/><Relationship Id="rId943" Type="http://schemas.openxmlformats.org/officeDocument/2006/relationships/hyperlink" Target="https://drive.google.com/open?id=1JR7W1yDP1ydY1Ea6hIQdiqIlhM4CSiQS" TargetMode="External"/><Relationship Id="rId942" Type="http://schemas.openxmlformats.org/officeDocument/2006/relationships/hyperlink" Target="https://drive.google.com/open?id=1dhcBmTUz8sSOVx2UEoC8lAExoPqWwK28" TargetMode="External"/><Relationship Id="rId941" Type="http://schemas.openxmlformats.org/officeDocument/2006/relationships/hyperlink" Target="https://drive.google.com/open?id=1S3x6zJPxHPPxfv67eywJTIXMIWyOo9ni" TargetMode="External"/><Relationship Id="rId940" Type="http://schemas.openxmlformats.org/officeDocument/2006/relationships/hyperlink" Target="https://drive.google.com/open?id=1EGhx711Xe8tTE9yVoQ1Mr9oxsxIA4dyB" TargetMode="External"/><Relationship Id="rId947" Type="http://schemas.openxmlformats.org/officeDocument/2006/relationships/hyperlink" Target="https://drive.google.com/open?id=1fzxyU0HdEWV-X2x6h8ad0a87x2jP1fe2" TargetMode="External"/><Relationship Id="rId946" Type="http://schemas.openxmlformats.org/officeDocument/2006/relationships/hyperlink" Target="https://drive.google.com/open?id=1P5A8ErMzB0iozmxoAeA2j9ypcW-UIjn1" TargetMode="External"/><Relationship Id="rId945" Type="http://schemas.openxmlformats.org/officeDocument/2006/relationships/hyperlink" Target="https://drive.google.com/open?id=1c5fs6nwH3mNMff2CprQafNWpad_oOy18" TargetMode="External"/><Relationship Id="rId944" Type="http://schemas.openxmlformats.org/officeDocument/2006/relationships/hyperlink" Target="https://drive.google.com/open?id=1P3cI70NNZtKStgWRy1YEx8yiwTslPBJ7" TargetMode="External"/><Relationship Id="rId939" Type="http://schemas.openxmlformats.org/officeDocument/2006/relationships/hyperlink" Target="https://drive.google.com/open?id=1V7PA-QqWz2VpupRd4Ze3AertyBKAO1iv" TargetMode="External"/><Relationship Id="rId938" Type="http://schemas.openxmlformats.org/officeDocument/2006/relationships/hyperlink" Target="https://drive.google.com/open?id=1JZVp3JZb_Edy_7Tl6MIj3tjDFXrWSqpD" TargetMode="External"/><Relationship Id="rId937" Type="http://schemas.openxmlformats.org/officeDocument/2006/relationships/hyperlink" Target="https://drive.google.com/open?id=1QohcS7_av92LxMjk7gub_E-sc82h0bXm" TargetMode="External"/><Relationship Id="rId932" Type="http://schemas.openxmlformats.org/officeDocument/2006/relationships/hyperlink" Target="https://drive.google.com/open?id=1SGqqc9biqqxEXxDl6rWRrkfBCTO_EnOP" TargetMode="External"/><Relationship Id="rId931" Type="http://schemas.openxmlformats.org/officeDocument/2006/relationships/hyperlink" Target="https://drive.google.com/open?id=1zixx1Lx-Lk05-HuFG16PFCETeQzdjxDn" TargetMode="External"/><Relationship Id="rId930" Type="http://schemas.openxmlformats.org/officeDocument/2006/relationships/hyperlink" Target="https://drive.google.com/open?id=1Fbmn7_XwD7Z9KSgWClCIe7IZPeYiKhXD" TargetMode="External"/><Relationship Id="rId936" Type="http://schemas.openxmlformats.org/officeDocument/2006/relationships/hyperlink" Target="https://drive.google.com/open?id=1tUNSY4LttG07G5E87CbiIYKl-KchXDSn" TargetMode="External"/><Relationship Id="rId935" Type="http://schemas.openxmlformats.org/officeDocument/2006/relationships/hyperlink" Target="https://drive.google.com/open?id=1ktrZjfRzIpQL44E60L0cHVp-LFEs3Rdm" TargetMode="External"/><Relationship Id="rId934" Type="http://schemas.openxmlformats.org/officeDocument/2006/relationships/hyperlink" Target="https://drive.google.com/open?id=18R9hC_hqKKqXy0AHGAdCDzfCoZf_ADDO" TargetMode="External"/><Relationship Id="rId933" Type="http://schemas.openxmlformats.org/officeDocument/2006/relationships/hyperlink" Target="https://drive.google.com/open?id=1m7B4RHbYhayqS7eZsQZhSF03Cwqp-vjx" TargetMode="External"/><Relationship Id="rId954" Type="http://schemas.openxmlformats.org/officeDocument/2006/relationships/hyperlink" Target="https://drive.google.com/open?id=1wqqrJpyXREiDIjeFMd7F7WrwAiEgb3Tz" TargetMode="External"/><Relationship Id="rId953" Type="http://schemas.openxmlformats.org/officeDocument/2006/relationships/hyperlink" Target="https://drive.google.com/open?id=1qCo_HznSLpdHGRu-07ZK1Ht088m84dS-" TargetMode="External"/><Relationship Id="rId952" Type="http://schemas.openxmlformats.org/officeDocument/2006/relationships/hyperlink" Target="https://drive.google.com/open?id=1IWpDD2WdTO-Gga-ATUpKnoBZSfeAwi0n" TargetMode="External"/><Relationship Id="rId951" Type="http://schemas.openxmlformats.org/officeDocument/2006/relationships/hyperlink" Target="https://drive.google.com/open?id=1EsKh6nAINYiaeZfgHwlr8EX2bwSLRbg3" TargetMode="External"/><Relationship Id="rId956" Type="http://schemas.openxmlformats.org/officeDocument/2006/relationships/drawing" Target="../drawings/drawing6.xml"/><Relationship Id="rId955" Type="http://schemas.openxmlformats.org/officeDocument/2006/relationships/hyperlink" Target="https://drive.google.com/open?id=1EBkGgCMMxmBoR3YcBcXvFvt6abB91LK-" TargetMode="External"/><Relationship Id="rId950" Type="http://schemas.openxmlformats.org/officeDocument/2006/relationships/hyperlink" Target="https://drive.google.com/open?id=1LjdPYsCs41kfrlRE9Czi4GfnFPQhhJ8i" TargetMode="External"/><Relationship Id="rId107" Type="http://schemas.openxmlformats.org/officeDocument/2006/relationships/hyperlink" Target="https://drive.google.com/open?id=1sJoaYa1xBwB_aep8vOvO3SC7ZZrtkgge" TargetMode="External"/><Relationship Id="rId106" Type="http://schemas.openxmlformats.org/officeDocument/2006/relationships/hyperlink" Target="https://drive.google.com/open?id=12ZoVeWImG4TyyPZR-WCADCsaMiAGquYV" TargetMode="External"/><Relationship Id="rId105" Type="http://schemas.openxmlformats.org/officeDocument/2006/relationships/hyperlink" Target="https://drive.google.com/open?id=1dIU0ISIR5OM6OQ3GNlkBnVyErPky1zqA" TargetMode="External"/><Relationship Id="rId104" Type="http://schemas.openxmlformats.org/officeDocument/2006/relationships/hyperlink" Target="https://drive.google.com/open?id=16AH4FAnTW-67zBWMomd_zErYBCT1dwpN" TargetMode="External"/><Relationship Id="rId109" Type="http://schemas.openxmlformats.org/officeDocument/2006/relationships/hyperlink" Target="https://drive.google.com/open?id=179qx6c56CU5oNpFsE4scVsI_JGvXar60" TargetMode="External"/><Relationship Id="rId108" Type="http://schemas.openxmlformats.org/officeDocument/2006/relationships/hyperlink" Target="https://drive.google.com/open?id=17XfgOy6SMuLQ_AIekQXy7dwqrfqjhtPr" TargetMode="External"/><Relationship Id="rId103" Type="http://schemas.openxmlformats.org/officeDocument/2006/relationships/hyperlink" Target="https://drive.google.com/open?id=1sJ8hoqcCO1xvscuSVDTyFUDiby4KuJbD" TargetMode="External"/><Relationship Id="rId102" Type="http://schemas.openxmlformats.org/officeDocument/2006/relationships/hyperlink" Target="https://drive.google.com/open?id=1FO2a9z8OjFKU7i3MKFuMcw3_bKj-_UMb" TargetMode="External"/><Relationship Id="rId101" Type="http://schemas.openxmlformats.org/officeDocument/2006/relationships/hyperlink" Target="https://drive.google.com/open?id=1pw424WE4d5xiEavcwrl6G-LpWqdViaqj" TargetMode="External"/><Relationship Id="rId100" Type="http://schemas.openxmlformats.org/officeDocument/2006/relationships/hyperlink" Target="https://drive.google.com/open?id=1R6nnvrzfGiN1CdbTk-iDrrAXeljes_qi" TargetMode="External"/><Relationship Id="rId129" Type="http://schemas.openxmlformats.org/officeDocument/2006/relationships/hyperlink" Target="https://drive.google.com/open?id=1zMgZTT7hm0YiimdxnNA-M5lXk-egMV7q" TargetMode="External"/><Relationship Id="rId128" Type="http://schemas.openxmlformats.org/officeDocument/2006/relationships/hyperlink" Target="https://drive.google.com/open?id=1sHPqkDzcZ3DalQb4Ij8prbNCoVIQDLrG" TargetMode="External"/><Relationship Id="rId127" Type="http://schemas.openxmlformats.org/officeDocument/2006/relationships/hyperlink" Target="https://drive.google.com/open?id=1EdRFDI7JuRQkOL1yb_xLsFaqRYMIX-0t" TargetMode="External"/><Relationship Id="rId126" Type="http://schemas.openxmlformats.org/officeDocument/2006/relationships/hyperlink" Target="https://drive.google.com/open?id=1LpTACr6XKLAugBDcI7QZf1qwO1Y9V1VJ" TargetMode="External"/><Relationship Id="rId121" Type="http://schemas.openxmlformats.org/officeDocument/2006/relationships/hyperlink" Target="https://drive.google.com/open?id=1w6mFhj5TsBvnsI1NzJbZmX1leD4juVHp" TargetMode="External"/><Relationship Id="rId120" Type="http://schemas.openxmlformats.org/officeDocument/2006/relationships/hyperlink" Target="https://drive.google.com/open?id=15jgJaJq-IFQysvjXy-Iu7Nk2AgoMrpkN" TargetMode="External"/><Relationship Id="rId125" Type="http://schemas.openxmlformats.org/officeDocument/2006/relationships/hyperlink" Target="https://drive.google.com/open?id=1juvZnt6uvxrgfGJYAEEzWSvkaa9jTPl9" TargetMode="External"/><Relationship Id="rId124" Type="http://schemas.openxmlformats.org/officeDocument/2006/relationships/hyperlink" Target="https://drive.google.com/open?id=1Gn3nR1spnZw0Uy-GEIe6g2CX4Nn-fJ5n" TargetMode="External"/><Relationship Id="rId123" Type="http://schemas.openxmlformats.org/officeDocument/2006/relationships/hyperlink" Target="https://drive.google.com/open?id=1LRmNojzl8QEMqIQsh0OfMwS3X0KEr_vv" TargetMode="External"/><Relationship Id="rId122" Type="http://schemas.openxmlformats.org/officeDocument/2006/relationships/hyperlink" Target="https://drive.google.com/open?id=1HN0Ft9BefDjcsySQUuu5sn3F00PWX72B" TargetMode="External"/><Relationship Id="rId118" Type="http://schemas.openxmlformats.org/officeDocument/2006/relationships/hyperlink" Target="https://drive.google.com/open?id=1FNTCMvxeI8zC8EV52YqGBukE0aiSTkcV" TargetMode="External"/><Relationship Id="rId117" Type="http://schemas.openxmlformats.org/officeDocument/2006/relationships/hyperlink" Target="https://drive.google.com/open?id=1QtSeKHUL10VeeKngd62cR1jC2iXFSF0T" TargetMode="External"/><Relationship Id="rId116" Type="http://schemas.openxmlformats.org/officeDocument/2006/relationships/hyperlink" Target="https://drive.google.com/open?id=1Cypk2XeEwCtL-XQCyGVAGiwgBh6DmgPd" TargetMode="External"/><Relationship Id="rId115" Type="http://schemas.openxmlformats.org/officeDocument/2006/relationships/hyperlink" Target="https://drive.google.com/open?id=1mmR4K1-SWNHCdwfSsLQn-SZmseD1xaJi" TargetMode="External"/><Relationship Id="rId119" Type="http://schemas.openxmlformats.org/officeDocument/2006/relationships/hyperlink" Target="https://drive.google.com/open?id=16D8AbRHCh1-MU6JouEjwDbqAjCOj49vR" TargetMode="External"/><Relationship Id="rId110" Type="http://schemas.openxmlformats.org/officeDocument/2006/relationships/hyperlink" Target="https://drive.google.com/open?id=15W8HsNrMMNTmkwsk8fRB_DOHZbJSff2n" TargetMode="External"/><Relationship Id="rId114" Type="http://schemas.openxmlformats.org/officeDocument/2006/relationships/hyperlink" Target="https://drive.google.com/open?id=1wDPfNaIIMelrVxjatoigZhQmigKXuPGX" TargetMode="External"/><Relationship Id="rId113" Type="http://schemas.openxmlformats.org/officeDocument/2006/relationships/hyperlink" Target="https://drive.google.com/open?id=1yTYaoxPZZlj9d5Sue19S3P6A22sl2mNS" TargetMode="External"/><Relationship Id="rId112" Type="http://schemas.openxmlformats.org/officeDocument/2006/relationships/hyperlink" Target="https://drive.google.com/open?id=1vMfA3dA822Rfz4hSIpTh1VOx41-ucJjh" TargetMode="External"/><Relationship Id="rId111" Type="http://schemas.openxmlformats.org/officeDocument/2006/relationships/hyperlink" Target="https://drive.google.com/open?id=1MjXe5I7U1ZVWMTNol6Yx1wRFspCbfC-P" TargetMode="External"/><Relationship Id="rId907" Type="http://schemas.openxmlformats.org/officeDocument/2006/relationships/hyperlink" Target="https://drive.google.com/open?id=17L7-gIJfdw_-nheavT2ehMWUMyfmFnEK" TargetMode="External"/><Relationship Id="rId906" Type="http://schemas.openxmlformats.org/officeDocument/2006/relationships/hyperlink" Target="https://drive.google.com/open?id=10E29lIWgPzQPExo292u1j-ZMi6HShiAs" TargetMode="External"/><Relationship Id="rId905" Type="http://schemas.openxmlformats.org/officeDocument/2006/relationships/hyperlink" Target="https://drive.google.com/open?id=1Od6fiQA8axxcEWsQRiyjxLZeGCDiS-Ng" TargetMode="External"/><Relationship Id="rId904" Type="http://schemas.openxmlformats.org/officeDocument/2006/relationships/hyperlink" Target="https://drive.google.com/open?id=1VlHY7GU-XO3lkc6dmQglS1kS1GDc9Ti2" TargetMode="External"/><Relationship Id="rId909" Type="http://schemas.openxmlformats.org/officeDocument/2006/relationships/hyperlink" Target="https://drive.google.com/open?id=1NNuiXfwQM-VpeT2HrBaGVZ38zFZoPdvN" TargetMode="External"/><Relationship Id="rId908" Type="http://schemas.openxmlformats.org/officeDocument/2006/relationships/hyperlink" Target="https://drive.google.com/open?id=1rRAxFIPoewERl3-_4MkeqkAR6H-1bxtl" TargetMode="External"/><Relationship Id="rId903" Type="http://schemas.openxmlformats.org/officeDocument/2006/relationships/hyperlink" Target="https://drive.google.com/open?id=10whI8cYExcwq67gignH4rylBOkr8N2tu" TargetMode="External"/><Relationship Id="rId902" Type="http://schemas.openxmlformats.org/officeDocument/2006/relationships/hyperlink" Target="https://drive.google.com/open?id=17xFYfyTMN92CBXr-6nZYQO0nUpdM1dVW" TargetMode="External"/><Relationship Id="rId901" Type="http://schemas.openxmlformats.org/officeDocument/2006/relationships/hyperlink" Target="https://drive.google.com/open?id=1uRgSwSW3FHh5eP6B4aUclo7P9bce7rOj" TargetMode="External"/><Relationship Id="rId900" Type="http://schemas.openxmlformats.org/officeDocument/2006/relationships/hyperlink" Target="https://drive.google.com/open?id=1kUH_mF72pvnXexZbR0SbU_3UeQo2LNt7" TargetMode="External"/><Relationship Id="rId929" Type="http://schemas.openxmlformats.org/officeDocument/2006/relationships/hyperlink" Target="https://drive.google.com/open?id=1gyjTljID_uV8ZqnLhmBCtl08IutZLHK5" TargetMode="External"/><Relationship Id="rId928" Type="http://schemas.openxmlformats.org/officeDocument/2006/relationships/hyperlink" Target="https://drive.google.com/open?id=1M00gTbbjAAaW6lfCK9FAaeKp-hr3L0vX" TargetMode="External"/><Relationship Id="rId927" Type="http://schemas.openxmlformats.org/officeDocument/2006/relationships/hyperlink" Target="https://drive.google.com/open?id=1GmZVdFuJGJH9gejwh1zXKwC9JuhitL9I" TargetMode="External"/><Relationship Id="rId926" Type="http://schemas.openxmlformats.org/officeDocument/2006/relationships/hyperlink" Target="https://drive.google.com/open?id=1yHNRqdUxEaebKNUyFZyJ4sqmSGyLQMtA" TargetMode="External"/><Relationship Id="rId921" Type="http://schemas.openxmlformats.org/officeDocument/2006/relationships/hyperlink" Target="https://drive.google.com/open?id=1OmrnNZ0Nn0y-b2c65W4rEdiw2XSHeIfO" TargetMode="External"/><Relationship Id="rId920" Type="http://schemas.openxmlformats.org/officeDocument/2006/relationships/hyperlink" Target="https://drive.google.com/open?id=1rRZLR_wLbxiQPvhPXQZ7REipT0Q_TyzA" TargetMode="External"/><Relationship Id="rId925" Type="http://schemas.openxmlformats.org/officeDocument/2006/relationships/hyperlink" Target="https://drive.google.com/open?id=1V5bgncuicB1rtD7clSbyLHfuWGPFfGxi" TargetMode="External"/><Relationship Id="rId924" Type="http://schemas.openxmlformats.org/officeDocument/2006/relationships/hyperlink" Target="https://drive.google.com/open?id=1-0jmB_SZfKb4feaB1lxM_0yyadbYSK6R" TargetMode="External"/><Relationship Id="rId923" Type="http://schemas.openxmlformats.org/officeDocument/2006/relationships/hyperlink" Target="https://drive.google.com/open?id=1tsE9daim2ibVbLjJimtQ_2Zs1tf-Ufji" TargetMode="External"/><Relationship Id="rId922" Type="http://schemas.openxmlformats.org/officeDocument/2006/relationships/hyperlink" Target="https://drive.google.com/open?id=1uKK2FWutRKrnNB83PIJ8ZMame_phw7vW" TargetMode="External"/><Relationship Id="rId918" Type="http://schemas.openxmlformats.org/officeDocument/2006/relationships/hyperlink" Target="https://drive.google.com/open?id=1wib9-WOxhvBgR71rAmySIDyQ0SxFcwDI" TargetMode="External"/><Relationship Id="rId917" Type="http://schemas.openxmlformats.org/officeDocument/2006/relationships/hyperlink" Target="https://drive.google.com/open?id=1rvSkdELDO7ENkeWAtAtnVd-yp4O5wMSH" TargetMode="External"/><Relationship Id="rId916" Type="http://schemas.openxmlformats.org/officeDocument/2006/relationships/hyperlink" Target="https://drive.google.com/open?id=16iBH6L1zNk4OlyZ_PZop29r9--vDDDcX" TargetMode="External"/><Relationship Id="rId915" Type="http://schemas.openxmlformats.org/officeDocument/2006/relationships/hyperlink" Target="https://drive.google.com/open?id=1qk3HnTZlfOxVgM6LkNHekNycfn4xDYSd" TargetMode="External"/><Relationship Id="rId919" Type="http://schemas.openxmlformats.org/officeDocument/2006/relationships/hyperlink" Target="https://drive.google.com/open?id=1jb8I-jMiADlFQlH3yF0M2n-3kCRTXwuy" TargetMode="External"/><Relationship Id="rId910" Type="http://schemas.openxmlformats.org/officeDocument/2006/relationships/hyperlink" Target="https://drive.google.com/open?id=1EJblnOGIy0NgR88O1FZlPOb4mK1CrpzL" TargetMode="External"/><Relationship Id="rId914" Type="http://schemas.openxmlformats.org/officeDocument/2006/relationships/hyperlink" Target="https://drive.google.com/open?id=1ErYTeVQqtIQXw1V1TZLdFVtNWxz-v_kr" TargetMode="External"/><Relationship Id="rId913" Type="http://schemas.openxmlformats.org/officeDocument/2006/relationships/hyperlink" Target="https://drive.google.com/open?id=1LLSSJ7FCCOo3FKtTigZThzkfMEpAMVvs" TargetMode="External"/><Relationship Id="rId912" Type="http://schemas.openxmlformats.org/officeDocument/2006/relationships/hyperlink" Target="https://drive.google.com/open?id=1SmQRQYZ1lNgQ4EPHqHMIoTnVAlEspTaS" TargetMode="External"/><Relationship Id="rId911" Type="http://schemas.openxmlformats.org/officeDocument/2006/relationships/hyperlink" Target="https://drive.google.com/open?id=1P6gyoNlk5CkajHFDvHIn4ucx3dB0Qc4R" TargetMode="External"/><Relationship Id="rId866" Type="http://schemas.openxmlformats.org/officeDocument/2006/relationships/hyperlink" Target="https://drive.google.com/open?id=1YhelV-V5rHuMpPeotuEda9OIRyt8WzGf" TargetMode="External"/><Relationship Id="rId865" Type="http://schemas.openxmlformats.org/officeDocument/2006/relationships/hyperlink" Target="https://drive.google.com/open?id=1e2OYMnSqzuDl0x2dtjMOGZGQCcv-kIHn" TargetMode="External"/><Relationship Id="rId864" Type="http://schemas.openxmlformats.org/officeDocument/2006/relationships/hyperlink" Target="https://drive.google.com/open?id=1na1GBRdalAx5gW-JYnXyt826uX-DZiKN" TargetMode="External"/><Relationship Id="rId863" Type="http://schemas.openxmlformats.org/officeDocument/2006/relationships/hyperlink" Target="https://drive.google.com/open?id=1yrA0ln_Fcuid8uDcTaPOltbt2ZVpoqwk" TargetMode="External"/><Relationship Id="rId869" Type="http://schemas.openxmlformats.org/officeDocument/2006/relationships/hyperlink" Target="https://drive.google.com/open?id=1KuJfwPeHL6jwCKHc8F6uIPV_7lYcFPQC" TargetMode="External"/><Relationship Id="rId868" Type="http://schemas.openxmlformats.org/officeDocument/2006/relationships/hyperlink" Target="https://drive.google.com/open?id=1U_kHrBzgUiWPGvnAHa82Tjje9em0fQBc" TargetMode="External"/><Relationship Id="rId867" Type="http://schemas.openxmlformats.org/officeDocument/2006/relationships/hyperlink" Target="https://drive.google.com/open?id=17IFLZlU-eirw2IHFUUwHEMgRrHfVBhr0" TargetMode="External"/><Relationship Id="rId862" Type="http://schemas.openxmlformats.org/officeDocument/2006/relationships/hyperlink" Target="https://drive.google.com/open?id=11tj2f88YzwQ0nW1cMSD0PE-wz2nvdzfT" TargetMode="External"/><Relationship Id="rId861" Type="http://schemas.openxmlformats.org/officeDocument/2006/relationships/hyperlink" Target="https://drive.google.com/open?id=1CXIgpnnHxBPZGqRIaK3-5BQe0Wsy79xY" TargetMode="External"/><Relationship Id="rId860" Type="http://schemas.openxmlformats.org/officeDocument/2006/relationships/hyperlink" Target="https://drive.google.com/open?id=1qWv7q-9EX-kwnA85Tu6xviswb7ss9pIU" TargetMode="External"/><Relationship Id="rId855" Type="http://schemas.openxmlformats.org/officeDocument/2006/relationships/hyperlink" Target="https://drive.google.com/open?id=1SL8DciOHmwHyz0wTL11nWk-w8vQSGwyU" TargetMode="External"/><Relationship Id="rId854" Type="http://schemas.openxmlformats.org/officeDocument/2006/relationships/hyperlink" Target="https://drive.google.com/open?id=13nmUikgXaI1qbFwJlJdNDATSmw1AFT8J" TargetMode="External"/><Relationship Id="rId853" Type="http://schemas.openxmlformats.org/officeDocument/2006/relationships/hyperlink" Target="https://drive.google.com/open?id=1BflWw39UGODIWJfjVd4aRMOCnLzZ05Xk" TargetMode="External"/><Relationship Id="rId852" Type="http://schemas.openxmlformats.org/officeDocument/2006/relationships/hyperlink" Target="https://drive.google.com/open?id=1flhkc3rt4lCAJtZecnW1frwwMg1B97a9" TargetMode="External"/><Relationship Id="rId859" Type="http://schemas.openxmlformats.org/officeDocument/2006/relationships/hyperlink" Target="https://drive.google.com/open?id=1ibwpCXZyveY-du6ew15tP5EQ8GlvssEq" TargetMode="External"/><Relationship Id="rId858" Type="http://schemas.openxmlformats.org/officeDocument/2006/relationships/hyperlink" Target="https://drive.google.com/open?id=1ZN3eK_QNfFGM-MdxqvxwlyQ858iDaE4F" TargetMode="External"/><Relationship Id="rId857" Type="http://schemas.openxmlformats.org/officeDocument/2006/relationships/hyperlink" Target="https://drive.google.com/open?id=1mSayFSKnTGunP9pKDMtnTFLZyPEAUEzE" TargetMode="External"/><Relationship Id="rId856" Type="http://schemas.openxmlformats.org/officeDocument/2006/relationships/hyperlink" Target="https://drive.google.com/open?id=1mC-URmdMFpk4x1Aj6eFxln46s2K9l7RI" TargetMode="External"/><Relationship Id="rId851" Type="http://schemas.openxmlformats.org/officeDocument/2006/relationships/hyperlink" Target="https://drive.google.com/open?id=1cGVnTvc_rtIvPbrjsSH3kGjWbSIyG4EM" TargetMode="External"/><Relationship Id="rId850" Type="http://schemas.openxmlformats.org/officeDocument/2006/relationships/hyperlink" Target="https://drive.google.com/open?id=1cJPpgvpolCbmlFaiyUV_CPFXoE7EftYs" TargetMode="External"/><Relationship Id="rId888" Type="http://schemas.openxmlformats.org/officeDocument/2006/relationships/hyperlink" Target="https://drive.google.com/open?id=12JtYSge2rYlyesYmyFZaf-Z_XTsx95qk" TargetMode="External"/><Relationship Id="rId887" Type="http://schemas.openxmlformats.org/officeDocument/2006/relationships/hyperlink" Target="https://drive.google.com/open?id=1U33uxl6xglUBvogKALY5pZ-OfhFxhst6" TargetMode="External"/><Relationship Id="rId886" Type="http://schemas.openxmlformats.org/officeDocument/2006/relationships/hyperlink" Target="https://drive.google.com/open?id=15fvHU_ub9Vk5Lzd2MQH1rCGcso5n6GJM" TargetMode="External"/><Relationship Id="rId885" Type="http://schemas.openxmlformats.org/officeDocument/2006/relationships/hyperlink" Target="https://drive.google.com/open?id=1-ak525gRxq8nyfL8Le0VePagQ1BqYbQN" TargetMode="External"/><Relationship Id="rId889" Type="http://schemas.openxmlformats.org/officeDocument/2006/relationships/hyperlink" Target="https://drive.google.com/open?id=1mwWXx8C5NazNxUuo9QLai7-OjhJI116O" TargetMode="External"/><Relationship Id="rId880" Type="http://schemas.openxmlformats.org/officeDocument/2006/relationships/hyperlink" Target="https://drive.google.com/open?id=1S-fAjKG8xCwhEaw6810Y9OxvkwITZy_B" TargetMode="External"/><Relationship Id="rId884" Type="http://schemas.openxmlformats.org/officeDocument/2006/relationships/hyperlink" Target="https://drive.google.com/open?id=1fM_HqC3fKft7sx-m6RY7LxgjMM2uEjeZ" TargetMode="External"/><Relationship Id="rId883" Type="http://schemas.openxmlformats.org/officeDocument/2006/relationships/hyperlink" Target="https://drive.google.com/open?id=1qgNG0xsO4L8M15q0BJsyUxetnL45BJmy" TargetMode="External"/><Relationship Id="rId882" Type="http://schemas.openxmlformats.org/officeDocument/2006/relationships/hyperlink" Target="https://drive.google.com/open?id=1G93aGhdUIyccVI72_4k4nfkIDNLxVMQJ" TargetMode="External"/><Relationship Id="rId881" Type="http://schemas.openxmlformats.org/officeDocument/2006/relationships/hyperlink" Target="https://drive.google.com/open?id=1usDXfvUbiUl2v2QExdjjRMJKTcIrTweO" TargetMode="External"/><Relationship Id="rId877" Type="http://schemas.openxmlformats.org/officeDocument/2006/relationships/hyperlink" Target="https://drive.google.com/open?id=1NObcPb3vD6EZMDbnBW3-D1yH_sYi-Mhl" TargetMode="External"/><Relationship Id="rId876" Type="http://schemas.openxmlformats.org/officeDocument/2006/relationships/hyperlink" Target="https://drive.google.com/open?id=1D3fHW0Aj7NWsUuOpLqDseriEav4d5Inb" TargetMode="External"/><Relationship Id="rId875" Type="http://schemas.openxmlformats.org/officeDocument/2006/relationships/hyperlink" Target="https://drive.google.com/open?id=1xiE2P2Nefp30B1QxW6OK7PS5K-FWOsyp" TargetMode="External"/><Relationship Id="rId874" Type="http://schemas.openxmlformats.org/officeDocument/2006/relationships/hyperlink" Target="https://drive.google.com/open?id=1THbK5ofavOdJn63IVUyVjZxaM6KlrTJ-" TargetMode="External"/><Relationship Id="rId879" Type="http://schemas.openxmlformats.org/officeDocument/2006/relationships/hyperlink" Target="https://drive.google.com/open?id=1jejWBL83kRFQaWkOD4BgMwlocQBe1JmR" TargetMode="External"/><Relationship Id="rId878" Type="http://schemas.openxmlformats.org/officeDocument/2006/relationships/hyperlink" Target="https://drive.google.com/open?id=15IjosFqeUPI7gfhO4KTA7UNjCVbrBP7i" TargetMode="External"/><Relationship Id="rId873" Type="http://schemas.openxmlformats.org/officeDocument/2006/relationships/hyperlink" Target="https://drive.google.com/open?id=1hnJDFp5TYhPg8kJxjdDmCgB_zZaj96iS" TargetMode="External"/><Relationship Id="rId872" Type="http://schemas.openxmlformats.org/officeDocument/2006/relationships/hyperlink" Target="https://drive.google.com/open?id=10etb1V61SOYealaqxWf6xMKBwok0gHaP" TargetMode="External"/><Relationship Id="rId871" Type="http://schemas.openxmlformats.org/officeDocument/2006/relationships/hyperlink" Target="https://drive.google.com/open?id=1X1ey7HnMNUo622aS9xYIqKEIfOwZ9MUU" TargetMode="External"/><Relationship Id="rId870" Type="http://schemas.openxmlformats.org/officeDocument/2006/relationships/hyperlink" Target="https://drive.google.com/open?id=16S1nKV73HeFGmenBCt_NiLVS-aKdVDuv" TargetMode="External"/><Relationship Id="rId829" Type="http://schemas.openxmlformats.org/officeDocument/2006/relationships/hyperlink" Target="https://drive.google.com/open?id=1zPXHD8_c6Ic-4fwX4NvKjEuwd4Pqj8QP" TargetMode="External"/><Relationship Id="rId828" Type="http://schemas.openxmlformats.org/officeDocument/2006/relationships/hyperlink" Target="https://drive.google.com/open?id=1oliAaxvh-bhVr2HGqxFNzdRoLVO-oM2E" TargetMode="External"/><Relationship Id="rId827" Type="http://schemas.openxmlformats.org/officeDocument/2006/relationships/hyperlink" Target="https://drive.google.com/open?id=1Xn5bpMBplnAbGAOYpzrbOqWHAW5k6uv4" TargetMode="External"/><Relationship Id="rId822" Type="http://schemas.openxmlformats.org/officeDocument/2006/relationships/hyperlink" Target="https://drive.google.com/open?id=1Zl5_OWPLS9kB8i3fvZoUY5DPr81uCUxq" TargetMode="External"/><Relationship Id="rId821" Type="http://schemas.openxmlformats.org/officeDocument/2006/relationships/hyperlink" Target="https://drive.google.com/open?id=1gLJiHY9ERavh_SD0vuUQFrrDPi-p903r" TargetMode="External"/><Relationship Id="rId820" Type="http://schemas.openxmlformats.org/officeDocument/2006/relationships/hyperlink" Target="https://drive.google.com/open?id=1zAez75ZlZTaGkw8Jg2fHWwoapV7BmVT2" TargetMode="External"/><Relationship Id="rId826" Type="http://schemas.openxmlformats.org/officeDocument/2006/relationships/hyperlink" Target="https://drive.google.com/open?id=1zSflCnMoTJMWp5qEmiDMWh8yDG4dka0b" TargetMode="External"/><Relationship Id="rId825" Type="http://schemas.openxmlformats.org/officeDocument/2006/relationships/hyperlink" Target="https://drive.google.com/open?id=1VftSjqqu2rdLymLNEvCuJ9MeI7eT0ASS" TargetMode="External"/><Relationship Id="rId824" Type="http://schemas.openxmlformats.org/officeDocument/2006/relationships/hyperlink" Target="https://drive.google.com/open?id=1je_aJQR_HTBle7Mj7DoQ91Zu4TUHLQlu" TargetMode="External"/><Relationship Id="rId823" Type="http://schemas.openxmlformats.org/officeDocument/2006/relationships/hyperlink" Target="https://drive.google.com/open?id=1t44V8A_nj5sHyOEnrNSxBUmdwJjL_MKn" TargetMode="External"/><Relationship Id="rId819" Type="http://schemas.openxmlformats.org/officeDocument/2006/relationships/hyperlink" Target="https://drive.google.com/open?id=1SHTFMvIanEwZ8mrfN8g65qJmYKkPVL93" TargetMode="External"/><Relationship Id="rId818" Type="http://schemas.openxmlformats.org/officeDocument/2006/relationships/hyperlink" Target="https://drive.google.com/open?id=1uotcfHYMXewo9AiZ690HbUI-nx53nMIc" TargetMode="External"/><Relationship Id="rId817" Type="http://schemas.openxmlformats.org/officeDocument/2006/relationships/hyperlink" Target="https://drive.google.com/open?id=1Z5SsvIquzOet2cEu_8lZeMbyfUauI2X3" TargetMode="External"/><Relationship Id="rId816" Type="http://schemas.openxmlformats.org/officeDocument/2006/relationships/hyperlink" Target="https://drive.google.com/open?id=1Ei-Qw6uVpk0I_b3E3ugLyNncfV_DXxqR" TargetMode="External"/><Relationship Id="rId811" Type="http://schemas.openxmlformats.org/officeDocument/2006/relationships/hyperlink" Target="https://drive.google.com/open?id=1O2NT1sGkk9ttMUjvV7sfva2dfZFLeFka" TargetMode="External"/><Relationship Id="rId810" Type="http://schemas.openxmlformats.org/officeDocument/2006/relationships/hyperlink" Target="https://drive.google.com/open?id=1aLodq5GVNEfYS6qmLz_q1-RH70SsxQR4" TargetMode="External"/><Relationship Id="rId815" Type="http://schemas.openxmlformats.org/officeDocument/2006/relationships/hyperlink" Target="https://drive.google.com/open?id=1grq5jhUf7eulbEXnWZk3af3jFsfyZqsQ" TargetMode="External"/><Relationship Id="rId814" Type="http://schemas.openxmlformats.org/officeDocument/2006/relationships/hyperlink" Target="https://drive.google.com/open?id=1yWm6wrYwPXOSEIzACGMVUjvOHWQg1ODq" TargetMode="External"/><Relationship Id="rId813" Type="http://schemas.openxmlformats.org/officeDocument/2006/relationships/hyperlink" Target="https://drive.google.com/open?id=18Ldh_-KyohwsxF3KFbew98fRT8oAo5fa" TargetMode="External"/><Relationship Id="rId812" Type="http://schemas.openxmlformats.org/officeDocument/2006/relationships/hyperlink" Target="https://drive.google.com/open?id=1O5CeQ1vzjngrbxwei3PePg_o_y3J3PBZ" TargetMode="External"/><Relationship Id="rId849" Type="http://schemas.openxmlformats.org/officeDocument/2006/relationships/hyperlink" Target="https://drive.google.com/open?id=1OcIbnC_u9RkTRTfSXuOzGWM3YTcNmwxv" TargetMode="External"/><Relationship Id="rId844" Type="http://schemas.openxmlformats.org/officeDocument/2006/relationships/hyperlink" Target="https://drive.google.com/open?id=1p0r8loyUA__P_m0pFo-TeoVvD0voQJOP" TargetMode="External"/><Relationship Id="rId843" Type="http://schemas.openxmlformats.org/officeDocument/2006/relationships/hyperlink" Target="https://drive.google.com/open?id=1d9NmXPC1WP-fCzZBBJhUg4EH-bOk0ArG" TargetMode="External"/><Relationship Id="rId842" Type="http://schemas.openxmlformats.org/officeDocument/2006/relationships/hyperlink" Target="https://drive.google.com/open?id=1ywNSZG8ivVo-hcer_CdI39DHbV_DHIRR" TargetMode="External"/><Relationship Id="rId841" Type="http://schemas.openxmlformats.org/officeDocument/2006/relationships/hyperlink" Target="https://drive.google.com/open?id=16HOTnoIEsVkuprG2dqKZVqlF8zE0_9n2" TargetMode="External"/><Relationship Id="rId848" Type="http://schemas.openxmlformats.org/officeDocument/2006/relationships/hyperlink" Target="https://drive.google.com/open?id=1LZkgsPm6YuHQwdMHxgTjXsgHmr-AcxKk" TargetMode="External"/><Relationship Id="rId847" Type="http://schemas.openxmlformats.org/officeDocument/2006/relationships/hyperlink" Target="https://drive.google.com/open?id=1gs0y2KyYRfiOirMeyC6hmd3TdFgs9TOe" TargetMode="External"/><Relationship Id="rId846" Type="http://schemas.openxmlformats.org/officeDocument/2006/relationships/hyperlink" Target="https://drive.google.com/open?id=1XLYDGKR7i50epdN2Hjj1tYprzfND6Jy3" TargetMode="External"/><Relationship Id="rId845" Type="http://schemas.openxmlformats.org/officeDocument/2006/relationships/hyperlink" Target="https://drive.google.com/open?id=1YInSUPptaHsW6osHd_JHhrUW2WGZTqHr" TargetMode="External"/><Relationship Id="rId840" Type="http://schemas.openxmlformats.org/officeDocument/2006/relationships/hyperlink" Target="https://drive.google.com/open?id=1LG34t4mQSr3rDy6pDacX89KxcA-AQ4sV" TargetMode="External"/><Relationship Id="rId839" Type="http://schemas.openxmlformats.org/officeDocument/2006/relationships/hyperlink" Target="https://drive.google.com/open?id=17F6EGZ6r40hR6MgZB7rlhQV76NrvwrVI" TargetMode="External"/><Relationship Id="rId838" Type="http://schemas.openxmlformats.org/officeDocument/2006/relationships/hyperlink" Target="https://drive.google.com/open?id=1m-tUfNooUujBLxrSqHNFFQLDKeU0DOiT" TargetMode="External"/><Relationship Id="rId833" Type="http://schemas.openxmlformats.org/officeDocument/2006/relationships/hyperlink" Target="https://drive.google.com/open?id=1UBuhaBPkOVmZx3tPwvqhGjbY_8zX8Xwi" TargetMode="External"/><Relationship Id="rId832" Type="http://schemas.openxmlformats.org/officeDocument/2006/relationships/hyperlink" Target="https://drive.google.com/open?id=1Ltlo9ajubtmN9thzru4_OLk5KwZlYWm8" TargetMode="External"/><Relationship Id="rId831" Type="http://schemas.openxmlformats.org/officeDocument/2006/relationships/hyperlink" Target="https://drive.google.com/open?id=1EiTp3x-rX26oypY6ZSDsva4kbc-Xyt9h" TargetMode="External"/><Relationship Id="rId830" Type="http://schemas.openxmlformats.org/officeDocument/2006/relationships/hyperlink" Target="https://drive.google.com/open?id=1AQUigvGbzO-Zo6nJOvATzZy8QwwkF54I" TargetMode="External"/><Relationship Id="rId837" Type="http://schemas.openxmlformats.org/officeDocument/2006/relationships/hyperlink" Target="https://drive.google.com/open?id=1lKKuELCT5AQmXRGGC9N3m7oTMep7QdI-" TargetMode="External"/><Relationship Id="rId836" Type="http://schemas.openxmlformats.org/officeDocument/2006/relationships/hyperlink" Target="https://drive.google.com/open?id=1wjAF6Z8s55yTD0LUouNJOMhztSULixYf" TargetMode="External"/><Relationship Id="rId835" Type="http://schemas.openxmlformats.org/officeDocument/2006/relationships/hyperlink" Target="https://drive.google.com/open?id=1Vcw6X5MbIng3CnL7fb0XGM3UcmBLMLW4" TargetMode="External"/><Relationship Id="rId834" Type="http://schemas.openxmlformats.org/officeDocument/2006/relationships/hyperlink" Target="https://drive.google.com/open?id=1isvRRfxSxiFWJemPOlxyTdnnbCWfmLRP" TargetMode="External"/><Relationship Id="rId899" Type="http://schemas.openxmlformats.org/officeDocument/2006/relationships/hyperlink" Target="https://drive.google.com/open?id=1BN0Ml2lxePewX40VSnMfxkVa756AMtnM" TargetMode="External"/><Relationship Id="rId898" Type="http://schemas.openxmlformats.org/officeDocument/2006/relationships/hyperlink" Target="https://drive.google.com/open?id=1w_s4IQwzyjE_i6f_SL0CuFct0BAwDrSB" TargetMode="External"/><Relationship Id="rId897" Type="http://schemas.openxmlformats.org/officeDocument/2006/relationships/hyperlink" Target="https://drive.google.com/open?id=1VEE4q03GBgw3wvf_Y_ocCZxJ3jPaDGV6" TargetMode="External"/><Relationship Id="rId896" Type="http://schemas.openxmlformats.org/officeDocument/2006/relationships/hyperlink" Target="https://drive.google.com/open?id=1JJ8G6s9HSYu3Vy62fzQRZvERda_kX1HR" TargetMode="External"/><Relationship Id="rId891" Type="http://schemas.openxmlformats.org/officeDocument/2006/relationships/hyperlink" Target="https://drive.google.com/open?id=1JGLqupwomZCeL2NM4dHqdKNBL5u-grPq" TargetMode="External"/><Relationship Id="rId890" Type="http://schemas.openxmlformats.org/officeDocument/2006/relationships/hyperlink" Target="https://drive.google.com/open?id=1_e2GFs4JvXV51xyJmhLEGnjwQPWuj-P0" TargetMode="External"/><Relationship Id="rId895" Type="http://schemas.openxmlformats.org/officeDocument/2006/relationships/hyperlink" Target="https://drive.google.com/open?id=18l6XCOsUk8RJFUsw_8aG3sElWCZXBS0y" TargetMode="External"/><Relationship Id="rId894" Type="http://schemas.openxmlformats.org/officeDocument/2006/relationships/hyperlink" Target="https://drive.google.com/open?id=1gFEC21cekSrznQk6hdRjEBc5qSdhE0gR" TargetMode="External"/><Relationship Id="rId893" Type="http://schemas.openxmlformats.org/officeDocument/2006/relationships/hyperlink" Target="https://drive.google.com/open?id=1amThlOqSKP_2tbo88MOcPPpzBVjQk_sc" TargetMode="External"/><Relationship Id="rId892" Type="http://schemas.openxmlformats.org/officeDocument/2006/relationships/hyperlink" Target="https://drive.google.com/open?id=1XjZI2U_3-J6yrool_WsKpvJWLU3Nd-y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29"/>
    <col customWidth="1" min="5" max="5" width="30.57"/>
  </cols>
  <sheetData>
    <row r="1">
      <c r="A1" s="1" t="s">
        <v>0</v>
      </c>
      <c r="B1" s="2" t="s">
        <v>1</v>
      </c>
      <c r="C1" s="2" t="s">
        <v>2</v>
      </c>
      <c r="D1" s="2" t="s">
        <v>3</v>
      </c>
      <c r="E1" s="3" t="s">
        <v>4</v>
      </c>
    </row>
    <row r="2">
      <c r="A2" s="4">
        <v>1.0</v>
      </c>
      <c r="B2" s="4" t="s">
        <v>5</v>
      </c>
      <c r="C2" s="4" t="s">
        <v>6</v>
      </c>
      <c r="D2" s="4" t="s">
        <v>7</v>
      </c>
      <c r="E2" s="4">
        <v>15.97</v>
      </c>
    </row>
    <row r="3">
      <c r="A3" s="4">
        <v>2.0</v>
      </c>
      <c r="B3" s="4" t="s">
        <v>8</v>
      </c>
      <c r="C3" s="4" t="s">
        <v>6</v>
      </c>
      <c r="D3" s="4" t="s">
        <v>9</v>
      </c>
      <c r="E3" s="4">
        <v>12.0</v>
      </c>
    </row>
    <row r="4">
      <c r="A4" s="4">
        <v>3.0</v>
      </c>
      <c r="B4" s="4" t="s">
        <v>10</v>
      </c>
      <c r="C4" s="4" t="s">
        <v>6</v>
      </c>
      <c r="D4" s="4" t="s">
        <v>11</v>
      </c>
      <c r="E4" s="4">
        <v>12.5</v>
      </c>
    </row>
    <row r="5">
      <c r="A5" s="4">
        <v>4.0</v>
      </c>
      <c r="B5" s="4" t="s">
        <v>12</v>
      </c>
      <c r="C5" s="4" t="s">
        <v>6</v>
      </c>
      <c r="D5" s="4" t="s">
        <v>13</v>
      </c>
      <c r="E5" s="4">
        <v>22.63</v>
      </c>
    </row>
    <row r="6">
      <c r="A6" s="4">
        <v>5.0</v>
      </c>
      <c r="B6" s="4" t="s">
        <v>14</v>
      </c>
      <c r="C6" s="4" t="s">
        <v>6</v>
      </c>
      <c r="D6" s="4" t="s">
        <v>13</v>
      </c>
      <c r="E6" s="4">
        <v>22.63</v>
      </c>
    </row>
    <row r="7">
      <c r="A7" s="4">
        <v>6.0</v>
      </c>
      <c r="B7" s="4" t="s">
        <v>15</v>
      </c>
      <c r="C7" s="4" t="s">
        <v>6</v>
      </c>
      <c r="D7" s="4" t="s">
        <v>13</v>
      </c>
      <c r="E7" s="4">
        <v>22.63</v>
      </c>
    </row>
    <row r="8">
      <c r="A8" s="4">
        <v>7.0</v>
      </c>
      <c r="B8" s="4" t="s">
        <v>16</v>
      </c>
      <c r="C8" s="4" t="s">
        <v>6</v>
      </c>
      <c r="D8" s="4" t="s">
        <v>17</v>
      </c>
      <c r="E8" s="4">
        <v>6.0</v>
      </c>
    </row>
    <row r="9">
      <c r="A9" s="4">
        <v>8.0</v>
      </c>
      <c r="B9" s="4" t="s">
        <v>18</v>
      </c>
      <c r="C9" s="4" t="s">
        <v>6</v>
      </c>
      <c r="D9" s="4" t="s">
        <v>17</v>
      </c>
      <c r="E9" s="4">
        <v>6.0</v>
      </c>
    </row>
    <row r="10">
      <c r="A10" s="4">
        <v>9.0</v>
      </c>
      <c r="B10" s="4" t="s">
        <v>19</v>
      </c>
      <c r="C10" s="4" t="s">
        <v>6</v>
      </c>
      <c r="D10" s="4" t="s">
        <v>20</v>
      </c>
      <c r="E10" s="4">
        <v>3.6</v>
      </c>
    </row>
    <row r="11">
      <c r="A11" s="4">
        <v>10.0</v>
      </c>
      <c r="B11" s="4" t="s">
        <v>21</v>
      </c>
      <c r="C11" s="4" t="s">
        <v>6</v>
      </c>
      <c r="D11" s="4" t="s">
        <v>20</v>
      </c>
      <c r="E11" s="4">
        <v>3.6</v>
      </c>
    </row>
    <row r="12">
      <c r="A12" s="4">
        <v>11.0</v>
      </c>
      <c r="B12" s="4" t="s">
        <v>22</v>
      </c>
      <c r="C12" s="4" t="s">
        <v>6</v>
      </c>
      <c r="D12" s="4" t="s">
        <v>20</v>
      </c>
      <c r="E12" s="4">
        <v>3.6</v>
      </c>
    </row>
    <row r="13">
      <c r="A13" s="4">
        <v>12.0</v>
      </c>
      <c r="B13" s="4" t="s">
        <v>23</v>
      </c>
      <c r="C13" s="4" t="s">
        <v>6</v>
      </c>
      <c r="D13" s="4" t="s">
        <v>20</v>
      </c>
      <c r="E13" s="4">
        <v>3.6</v>
      </c>
    </row>
    <row r="14">
      <c r="A14" s="4">
        <v>13.0</v>
      </c>
      <c r="B14" s="4" t="s">
        <v>24</v>
      </c>
      <c r="C14" s="4" t="s">
        <v>6</v>
      </c>
      <c r="D14" s="4" t="s">
        <v>20</v>
      </c>
      <c r="E14" s="4">
        <v>3.6</v>
      </c>
    </row>
    <row r="15">
      <c r="A15" s="4">
        <v>14.0</v>
      </c>
      <c r="B15" s="4" t="s">
        <v>16</v>
      </c>
      <c r="C15" s="4" t="s">
        <v>6</v>
      </c>
      <c r="D15" s="4" t="s">
        <v>20</v>
      </c>
      <c r="E15" s="4">
        <v>3.6</v>
      </c>
    </row>
    <row r="16">
      <c r="A16" s="4">
        <v>15.0</v>
      </c>
      <c r="B16" s="4" t="s">
        <v>25</v>
      </c>
      <c r="C16" s="4" t="s">
        <v>6</v>
      </c>
      <c r="D16" s="4" t="s">
        <v>26</v>
      </c>
      <c r="E16" s="4">
        <v>13.88</v>
      </c>
    </row>
    <row r="17">
      <c r="A17" s="4">
        <v>16.0</v>
      </c>
      <c r="B17" s="4" t="s">
        <v>27</v>
      </c>
      <c r="C17" s="4" t="s">
        <v>6</v>
      </c>
      <c r="D17" s="4" t="s">
        <v>26</v>
      </c>
      <c r="E17" s="4">
        <v>13.88</v>
      </c>
    </row>
    <row r="18">
      <c r="A18" s="4">
        <v>17.0</v>
      </c>
      <c r="B18" s="4" t="s">
        <v>28</v>
      </c>
      <c r="C18" s="4" t="s">
        <v>6</v>
      </c>
      <c r="D18" s="4" t="s">
        <v>26</v>
      </c>
      <c r="E18" s="4">
        <v>13.88</v>
      </c>
    </row>
    <row r="19">
      <c r="A19" s="4">
        <v>18.0</v>
      </c>
      <c r="B19" s="4" t="s">
        <v>23</v>
      </c>
      <c r="C19" s="4" t="s">
        <v>6</v>
      </c>
      <c r="D19" s="4" t="s">
        <v>29</v>
      </c>
      <c r="E19" s="4">
        <v>10.5</v>
      </c>
    </row>
    <row r="20">
      <c r="A20" s="4">
        <v>19.0</v>
      </c>
      <c r="B20" s="4" t="s">
        <v>24</v>
      </c>
      <c r="C20" s="4" t="s">
        <v>6</v>
      </c>
      <c r="D20" s="4" t="s">
        <v>29</v>
      </c>
      <c r="E20" s="4">
        <v>10.5</v>
      </c>
    </row>
    <row r="21">
      <c r="A21" s="4">
        <v>20.0</v>
      </c>
      <c r="B21" s="4" t="s">
        <v>30</v>
      </c>
      <c r="C21" s="4" t="s">
        <v>6</v>
      </c>
      <c r="D21" s="4" t="s">
        <v>31</v>
      </c>
      <c r="E21" s="4">
        <v>7.6</v>
      </c>
    </row>
    <row r="22">
      <c r="A22" s="4">
        <v>21.0</v>
      </c>
      <c r="B22" s="4" t="s">
        <v>32</v>
      </c>
      <c r="C22" s="4" t="s">
        <v>6</v>
      </c>
      <c r="D22" s="4" t="s">
        <v>31</v>
      </c>
      <c r="E22" s="4">
        <v>7.6</v>
      </c>
    </row>
    <row r="23">
      <c r="A23" s="4">
        <v>22.0</v>
      </c>
      <c r="B23" s="4" t="s">
        <v>21</v>
      </c>
      <c r="C23" s="4" t="s">
        <v>6</v>
      </c>
      <c r="D23" s="4" t="s">
        <v>31</v>
      </c>
      <c r="E23" s="4">
        <v>7.6</v>
      </c>
    </row>
    <row r="24">
      <c r="A24" s="4">
        <v>23.0</v>
      </c>
      <c r="B24" s="4" t="s">
        <v>33</v>
      </c>
      <c r="C24" s="4" t="s">
        <v>6</v>
      </c>
      <c r="D24" s="4" t="s">
        <v>31</v>
      </c>
      <c r="E24" s="4">
        <v>7.6</v>
      </c>
    </row>
    <row r="25">
      <c r="A25" s="4">
        <v>24.0</v>
      </c>
      <c r="B25" s="4" t="s">
        <v>34</v>
      </c>
      <c r="C25" s="4" t="s">
        <v>6</v>
      </c>
      <c r="D25" s="4" t="s">
        <v>31</v>
      </c>
      <c r="E25" s="4">
        <v>7.6</v>
      </c>
    </row>
    <row r="26">
      <c r="A26" s="4">
        <v>25.0</v>
      </c>
      <c r="B26" s="4" t="s">
        <v>35</v>
      </c>
      <c r="C26" s="4" t="s">
        <v>6</v>
      </c>
      <c r="D26" s="4" t="s">
        <v>31</v>
      </c>
      <c r="E26" s="4">
        <v>7.6</v>
      </c>
    </row>
    <row r="27">
      <c r="A27" s="4">
        <v>26.0</v>
      </c>
      <c r="B27" s="4" t="s">
        <v>36</v>
      </c>
      <c r="C27" s="4" t="s">
        <v>6</v>
      </c>
      <c r="D27" s="4" t="s">
        <v>31</v>
      </c>
      <c r="E27" s="4">
        <v>7.6</v>
      </c>
    </row>
    <row r="28">
      <c r="A28" s="4">
        <v>27.0</v>
      </c>
      <c r="B28" s="4" t="s">
        <v>37</v>
      </c>
      <c r="C28" s="4" t="s">
        <v>6</v>
      </c>
      <c r="D28" s="4" t="s">
        <v>31</v>
      </c>
      <c r="E28" s="4">
        <v>7.6</v>
      </c>
    </row>
    <row r="29">
      <c r="A29" s="4">
        <v>28.0</v>
      </c>
      <c r="B29" s="4" t="s">
        <v>38</v>
      </c>
      <c r="C29" s="4" t="s">
        <v>6</v>
      </c>
      <c r="D29" s="4" t="s">
        <v>31</v>
      </c>
      <c r="E29" s="4">
        <v>7.6</v>
      </c>
    </row>
    <row r="30">
      <c r="A30" s="4">
        <v>29.0</v>
      </c>
      <c r="B30" s="4" t="s">
        <v>39</v>
      </c>
      <c r="C30" s="4" t="s">
        <v>6</v>
      </c>
      <c r="D30" s="4" t="s">
        <v>31</v>
      </c>
      <c r="E30" s="4">
        <v>7.6</v>
      </c>
    </row>
    <row r="31">
      <c r="A31" s="4">
        <v>30.0</v>
      </c>
      <c r="B31" s="4" t="s">
        <v>40</v>
      </c>
      <c r="C31" s="4" t="s">
        <v>6</v>
      </c>
      <c r="D31" s="4" t="s">
        <v>31</v>
      </c>
      <c r="E31" s="4">
        <v>7.6</v>
      </c>
    </row>
    <row r="32">
      <c r="A32" s="4">
        <v>31.0</v>
      </c>
      <c r="B32" s="4" t="s">
        <v>41</v>
      </c>
      <c r="C32" s="4" t="s">
        <v>6</v>
      </c>
      <c r="D32" s="4" t="s">
        <v>31</v>
      </c>
      <c r="E32" s="4">
        <v>7.6</v>
      </c>
    </row>
    <row r="33">
      <c r="A33" s="4">
        <v>32.0</v>
      </c>
      <c r="B33" s="4" t="s">
        <v>42</v>
      </c>
      <c r="C33" s="4" t="s">
        <v>6</v>
      </c>
      <c r="D33" s="4" t="s">
        <v>31</v>
      </c>
      <c r="E33" s="4">
        <v>7.6</v>
      </c>
    </row>
    <row r="34">
      <c r="A34" s="4">
        <v>33.0</v>
      </c>
      <c r="B34" s="4" t="s">
        <v>43</v>
      </c>
      <c r="C34" s="4" t="s">
        <v>6</v>
      </c>
      <c r="D34" s="4" t="s">
        <v>31</v>
      </c>
      <c r="E34" s="4">
        <v>7.6</v>
      </c>
    </row>
    <row r="35">
      <c r="A35" s="4">
        <v>34.0</v>
      </c>
      <c r="B35" s="4" t="s">
        <v>44</v>
      </c>
      <c r="C35" s="4" t="s">
        <v>6</v>
      </c>
      <c r="D35" s="4" t="s">
        <v>31</v>
      </c>
      <c r="E35" s="4">
        <v>7.6</v>
      </c>
    </row>
    <row r="36">
      <c r="A36" s="4">
        <v>35.0</v>
      </c>
      <c r="B36" s="4" t="s">
        <v>45</v>
      </c>
      <c r="C36" s="4" t="s">
        <v>6</v>
      </c>
      <c r="D36" s="4" t="s">
        <v>31</v>
      </c>
      <c r="E36" s="4">
        <v>7.6</v>
      </c>
    </row>
    <row r="37">
      <c r="A37" s="4">
        <v>36.0</v>
      </c>
      <c r="B37" s="4" t="s">
        <v>46</v>
      </c>
      <c r="C37" s="4" t="s">
        <v>6</v>
      </c>
      <c r="D37" s="4" t="s">
        <v>31</v>
      </c>
      <c r="E37" s="4">
        <v>7.6</v>
      </c>
    </row>
    <row r="38">
      <c r="A38" s="4">
        <v>37.0</v>
      </c>
      <c r="B38" s="4" t="s">
        <v>47</v>
      </c>
      <c r="C38" s="4" t="s">
        <v>6</v>
      </c>
      <c r="D38" s="4" t="s">
        <v>31</v>
      </c>
      <c r="E38" s="4">
        <v>7.6</v>
      </c>
    </row>
    <row r="39">
      <c r="A39" s="4">
        <v>38.0</v>
      </c>
      <c r="B39" s="4" t="s">
        <v>48</v>
      </c>
      <c r="C39" s="4" t="s">
        <v>6</v>
      </c>
      <c r="D39" s="4" t="s">
        <v>31</v>
      </c>
      <c r="E39" s="4">
        <v>7.6</v>
      </c>
    </row>
    <row r="40">
      <c r="A40" s="4">
        <v>39.0</v>
      </c>
      <c r="B40" s="4" t="s">
        <v>49</v>
      </c>
      <c r="C40" s="4" t="s">
        <v>6</v>
      </c>
      <c r="D40" s="4" t="s">
        <v>31</v>
      </c>
      <c r="E40" s="4">
        <v>7.6</v>
      </c>
    </row>
    <row r="41">
      <c r="A41" s="4">
        <v>40.0</v>
      </c>
      <c r="B41" s="4" t="s">
        <v>50</v>
      </c>
      <c r="C41" s="4" t="s">
        <v>6</v>
      </c>
      <c r="D41" s="4" t="s">
        <v>51</v>
      </c>
      <c r="E41" s="4">
        <v>6.5</v>
      </c>
    </row>
    <row r="42">
      <c r="A42" s="4">
        <v>41.0</v>
      </c>
      <c r="B42" s="4" t="s">
        <v>52</v>
      </c>
      <c r="C42" s="4" t="s">
        <v>6</v>
      </c>
      <c r="D42" s="4" t="s">
        <v>53</v>
      </c>
      <c r="E42" s="4">
        <v>13.65</v>
      </c>
    </row>
    <row r="43">
      <c r="A43" s="4">
        <v>42.0</v>
      </c>
      <c r="B43" s="4" t="s">
        <v>54</v>
      </c>
      <c r="C43" s="4" t="s">
        <v>6</v>
      </c>
      <c r="D43" s="4" t="s">
        <v>53</v>
      </c>
      <c r="E43" s="4">
        <v>13.65</v>
      </c>
    </row>
    <row r="44">
      <c r="A44" s="4">
        <v>43.0</v>
      </c>
      <c r="B44" s="4" t="s">
        <v>55</v>
      </c>
      <c r="C44" s="4" t="s">
        <v>6</v>
      </c>
      <c r="D44" s="4" t="s">
        <v>56</v>
      </c>
      <c r="E44" s="4">
        <v>9.5</v>
      </c>
    </row>
    <row r="45">
      <c r="A45" s="4">
        <v>44.0</v>
      </c>
      <c r="B45" s="4" t="s">
        <v>57</v>
      </c>
      <c r="C45" s="4" t="s">
        <v>6</v>
      </c>
      <c r="D45" s="4" t="s">
        <v>56</v>
      </c>
      <c r="E45" s="4">
        <v>10.0</v>
      </c>
    </row>
    <row r="46">
      <c r="A46" s="4">
        <v>45.0</v>
      </c>
      <c r="B46" s="4" t="s">
        <v>58</v>
      </c>
      <c r="C46" s="4" t="s">
        <v>6</v>
      </c>
      <c r="D46" s="4" t="s">
        <v>59</v>
      </c>
      <c r="E46" s="4">
        <v>8.5</v>
      </c>
    </row>
    <row r="47">
      <c r="A47" s="4">
        <v>46.0</v>
      </c>
      <c r="B47" s="4" t="s">
        <v>60</v>
      </c>
      <c r="C47" s="4" t="s">
        <v>6</v>
      </c>
      <c r="D47" s="4" t="s">
        <v>59</v>
      </c>
      <c r="E47" s="4">
        <v>8.5</v>
      </c>
    </row>
    <row r="48">
      <c r="A48" s="4">
        <v>47.0</v>
      </c>
      <c r="B48" s="4" t="s">
        <v>25</v>
      </c>
      <c r="C48" s="4" t="s">
        <v>6</v>
      </c>
      <c r="D48" s="4" t="s">
        <v>61</v>
      </c>
      <c r="E48" s="4">
        <v>24.74</v>
      </c>
    </row>
    <row r="49">
      <c r="A49" s="4">
        <v>48.0</v>
      </c>
      <c r="B49" s="4" t="s">
        <v>62</v>
      </c>
      <c r="C49" s="4" t="s">
        <v>6</v>
      </c>
      <c r="D49" s="4" t="s">
        <v>63</v>
      </c>
      <c r="E49" s="4">
        <v>4.5</v>
      </c>
    </row>
    <row r="50">
      <c r="A50" s="4">
        <v>49.0</v>
      </c>
      <c r="B50" s="4" t="s">
        <v>64</v>
      </c>
      <c r="C50" s="4" t="s">
        <v>6</v>
      </c>
      <c r="D50" s="4" t="s">
        <v>65</v>
      </c>
      <c r="E50" s="4">
        <v>7.9</v>
      </c>
    </row>
    <row r="51">
      <c r="A51" s="4">
        <v>50.0</v>
      </c>
      <c r="B51" s="4" t="s">
        <v>22</v>
      </c>
      <c r="C51" s="4" t="s">
        <v>6</v>
      </c>
      <c r="D51" s="4" t="s">
        <v>66</v>
      </c>
      <c r="E51" s="4">
        <v>10.0</v>
      </c>
    </row>
    <row r="52">
      <c r="A52" s="4">
        <v>51.0</v>
      </c>
      <c r="B52" s="4" t="s">
        <v>50</v>
      </c>
      <c r="C52" s="4" t="s">
        <v>6</v>
      </c>
      <c r="D52" s="4" t="s">
        <v>67</v>
      </c>
      <c r="E52" s="4">
        <v>8.0</v>
      </c>
    </row>
    <row r="53">
      <c r="A53" s="4">
        <v>52.0</v>
      </c>
      <c r="B53" s="4" t="s">
        <v>68</v>
      </c>
      <c r="C53" s="4" t="s">
        <v>6</v>
      </c>
      <c r="D53" s="4" t="s">
        <v>69</v>
      </c>
      <c r="E53" s="4">
        <v>6.65</v>
      </c>
    </row>
    <row r="54">
      <c r="A54" s="4">
        <v>53.0</v>
      </c>
      <c r="B54" s="4" t="s">
        <v>70</v>
      </c>
      <c r="C54" s="4" t="s">
        <v>6</v>
      </c>
      <c r="D54" s="4" t="s">
        <v>69</v>
      </c>
      <c r="E54" s="4">
        <v>6.65</v>
      </c>
    </row>
    <row r="55">
      <c r="A55" s="4">
        <v>54.0</v>
      </c>
      <c r="B55" s="4" t="s">
        <v>71</v>
      </c>
      <c r="C55" s="4" t="s">
        <v>6</v>
      </c>
      <c r="D55" s="4" t="s">
        <v>69</v>
      </c>
      <c r="E55" s="4">
        <v>6.65</v>
      </c>
    </row>
    <row r="56">
      <c r="A56" s="4">
        <v>55.0</v>
      </c>
      <c r="B56" s="4" t="s">
        <v>72</v>
      </c>
      <c r="C56" s="4" t="s">
        <v>6</v>
      </c>
      <c r="D56" s="4" t="s">
        <v>69</v>
      </c>
      <c r="E56" s="4">
        <v>6.65</v>
      </c>
    </row>
    <row r="57">
      <c r="A57" s="4">
        <v>56.0</v>
      </c>
      <c r="B57" s="4" t="s">
        <v>73</v>
      </c>
      <c r="C57" s="4" t="s">
        <v>6</v>
      </c>
      <c r="D57" s="4" t="s">
        <v>69</v>
      </c>
      <c r="E57" s="4">
        <v>6.65</v>
      </c>
    </row>
    <row r="58">
      <c r="A58" s="4">
        <v>57.0</v>
      </c>
      <c r="B58" s="4" t="s">
        <v>74</v>
      </c>
      <c r="C58" s="4" t="s">
        <v>6</v>
      </c>
      <c r="D58" s="4" t="s">
        <v>69</v>
      </c>
      <c r="E58" s="4">
        <v>6.65</v>
      </c>
    </row>
    <row r="59">
      <c r="A59" s="4">
        <v>58.0</v>
      </c>
      <c r="B59" s="4" t="s">
        <v>75</v>
      </c>
      <c r="C59" s="4" t="s">
        <v>6</v>
      </c>
      <c r="D59" s="4" t="s">
        <v>69</v>
      </c>
      <c r="E59" s="4">
        <v>6.65</v>
      </c>
    </row>
    <row r="60">
      <c r="A60" s="4">
        <v>59.0</v>
      </c>
      <c r="B60" s="4" t="s">
        <v>62</v>
      </c>
      <c r="C60" s="4" t="s">
        <v>6</v>
      </c>
      <c r="D60" s="4" t="s">
        <v>69</v>
      </c>
      <c r="E60" s="4">
        <v>6.65</v>
      </c>
    </row>
    <row r="61">
      <c r="A61" s="4">
        <v>60.0</v>
      </c>
      <c r="B61" s="4" t="s">
        <v>76</v>
      </c>
      <c r="C61" s="4" t="s">
        <v>6</v>
      </c>
      <c r="D61" s="4" t="s">
        <v>69</v>
      </c>
      <c r="E61" s="4">
        <v>6.65</v>
      </c>
    </row>
    <row r="62">
      <c r="A62" s="4">
        <v>61.0</v>
      </c>
      <c r="B62" s="4" t="s">
        <v>77</v>
      </c>
      <c r="C62" s="4" t="s">
        <v>6</v>
      </c>
      <c r="D62" s="4" t="s">
        <v>78</v>
      </c>
      <c r="E62" s="4">
        <v>6.5</v>
      </c>
    </row>
    <row r="63">
      <c r="A63" s="4">
        <v>62.0</v>
      </c>
      <c r="B63" s="4" t="s">
        <v>18</v>
      </c>
      <c r="C63" s="4" t="s">
        <v>6</v>
      </c>
      <c r="D63" s="4" t="s">
        <v>79</v>
      </c>
      <c r="E63" s="4">
        <v>8.0</v>
      </c>
    </row>
    <row r="64">
      <c r="A64" s="4">
        <v>63.0</v>
      </c>
      <c r="B64" s="4" t="s">
        <v>22</v>
      </c>
      <c r="C64" s="4" t="s">
        <v>6</v>
      </c>
      <c r="D64" s="4" t="s">
        <v>80</v>
      </c>
      <c r="E64" s="4">
        <v>4.5</v>
      </c>
    </row>
    <row r="65">
      <c r="A65" s="4">
        <v>64.0</v>
      </c>
      <c r="B65" s="4" t="s">
        <v>81</v>
      </c>
      <c r="C65" s="4" t="s">
        <v>6</v>
      </c>
      <c r="D65" s="4" t="s">
        <v>80</v>
      </c>
      <c r="E65" s="4">
        <v>4.5</v>
      </c>
    </row>
    <row r="66">
      <c r="A66" s="4">
        <v>65.0</v>
      </c>
      <c r="B66" s="4" t="s">
        <v>68</v>
      </c>
      <c r="C66" s="4" t="s">
        <v>6</v>
      </c>
      <c r="D66" s="4" t="s">
        <v>80</v>
      </c>
      <c r="E66" s="4">
        <v>4.5</v>
      </c>
    </row>
    <row r="67">
      <c r="A67" s="4">
        <v>66.0</v>
      </c>
      <c r="B67" s="4" t="s">
        <v>82</v>
      </c>
      <c r="C67" s="4" t="s">
        <v>6</v>
      </c>
      <c r="D67" s="4" t="s">
        <v>80</v>
      </c>
      <c r="E67" s="4">
        <v>4.5</v>
      </c>
    </row>
    <row r="68">
      <c r="A68" s="4">
        <v>67.0</v>
      </c>
      <c r="B68" s="4" t="s">
        <v>83</v>
      </c>
      <c r="C68" s="4" t="s">
        <v>6</v>
      </c>
      <c r="D68" s="4" t="s">
        <v>80</v>
      </c>
      <c r="E68" s="4">
        <v>4.5</v>
      </c>
    </row>
    <row r="69">
      <c r="A69" s="4">
        <v>68.0</v>
      </c>
      <c r="B69" s="4" t="s">
        <v>72</v>
      </c>
      <c r="C69" s="4" t="s">
        <v>6</v>
      </c>
      <c r="D69" s="4" t="s">
        <v>80</v>
      </c>
      <c r="E69" s="4">
        <v>4.5</v>
      </c>
    </row>
    <row r="70">
      <c r="A70" s="4">
        <v>69.0</v>
      </c>
      <c r="B70" s="4" t="s">
        <v>84</v>
      </c>
      <c r="C70" s="4" t="s">
        <v>6</v>
      </c>
      <c r="D70" s="4" t="s">
        <v>80</v>
      </c>
      <c r="E70" s="4">
        <v>4.5</v>
      </c>
    </row>
    <row r="71">
      <c r="A71" s="4">
        <v>70.0</v>
      </c>
      <c r="B71" s="4" t="s">
        <v>38</v>
      </c>
      <c r="C71" s="4" t="s">
        <v>6</v>
      </c>
      <c r="D71" s="4" t="s">
        <v>80</v>
      </c>
      <c r="E71" s="4">
        <v>4.5</v>
      </c>
    </row>
    <row r="72">
      <c r="A72" s="4">
        <v>71.0</v>
      </c>
      <c r="B72" s="4" t="s">
        <v>73</v>
      </c>
      <c r="C72" s="4" t="s">
        <v>6</v>
      </c>
      <c r="D72" s="4" t="s">
        <v>80</v>
      </c>
      <c r="E72" s="4">
        <v>4.5</v>
      </c>
    </row>
    <row r="73">
      <c r="A73" s="4">
        <v>72.0</v>
      </c>
      <c r="B73" s="4" t="s">
        <v>85</v>
      </c>
      <c r="C73" s="4" t="s">
        <v>6</v>
      </c>
      <c r="D73" s="4" t="s">
        <v>80</v>
      </c>
      <c r="E73" s="4">
        <v>4.5</v>
      </c>
    </row>
    <row r="74">
      <c r="A74" s="4">
        <v>73.0</v>
      </c>
      <c r="B74" s="4" t="s">
        <v>86</v>
      </c>
      <c r="C74" s="4" t="s">
        <v>6</v>
      </c>
      <c r="D74" s="4" t="s">
        <v>87</v>
      </c>
      <c r="E74" s="4">
        <v>8.88</v>
      </c>
    </row>
    <row r="75">
      <c r="A75" s="4">
        <v>74.0</v>
      </c>
      <c r="B75" s="4" t="s">
        <v>88</v>
      </c>
      <c r="C75" s="4" t="s">
        <v>6</v>
      </c>
      <c r="D75" s="4" t="s">
        <v>87</v>
      </c>
      <c r="E75" s="4">
        <v>8.88</v>
      </c>
    </row>
    <row r="76">
      <c r="A76" s="4">
        <v>75.0</v>
      </c>
      <c r="B76" s="4" t="s">
        <v>89</v>
      </c>
      <c r="C76" s="4" t="s">
        <v>6</v>
      </c>
      <c r="D76" s="4" t="s">
        <v>90</v>
      </c>
      <c r="E76" s="4">
        <v>9.0</v>
      </c>
    </row>
    <row r="77">
      <c r="A77" s="4">
        <v>76.0</v>
      </c>
      <c r="B77" s="4" t="s">
        <v>91</v>
      </c>
      <c r="C77" s="4" t="s">
        <v>6</v>
      </c>
      <c r="D77" s="4" t="s">
        <v>90</v>
      </c>
      <c r="E77" s="4">
        <v>9.0</v>
      </c>
    </row>
    <row r="78">
      <c r="A78" s="4">
        <v>77.0</v>
      </c>
      <c r="B78" s="4" t="s">
        <v>72</v>
      </c>
      <c r="C78" s="4" t="s">
        <v>6</v>
      </c>
      <c r="D78" s="4" t="s">
        <v>92</v>
      </c>
      <c r="E78" s="4">
        <v>4.0</v>
      </c>
    </row>
    <row r="79">
      <c r="A79" s="4">
        <v>78.0</v>
      </c>
      <c r="B79" s="4" t="s">
        <v>74</v>
      </c>
      <c r="C79" s="4" t="s">
        <v>6</v>
      </c>
      <c r="D79" s="4" t="s">
        <v>92</v>
      </c>
      <c r="E79" s="4">
        <v>4.0</v>
      </c>
    </row>
    <row r="80">
      <c r="A80" s="4">
        <v>79.0</v>
      </c>
      <c r="B80" s="4" t="s">
        <v>77</v>
      </c>
      <c r="C80" s="4" t="s">
        <v>6</v>
      </c>
      <c r="D80" s="4" t="s">
        <v>92</v>
      </c>
      <c r="E80" s="4">
        <v>4.0</v>
      </c>
    </row>
    <row r="81">
      <c r="A81" s="4">
        <v>80.0</v>
      </c>
      <c r="B81" s="4" t="s">
        <v>93</v>
      </c>
      <c r="C81" s="4" t="s">
        <v>6</v>
      </c>
      <c r="D81" s="4" t="s">
        <v>94</v>
      </c>
      <c r="E81" s="4">
        <v>9.0</v>
      </c>
    </row>
    <row r="82">
      <c r="A82" s="4">
        <v>81.0</v>
      </c>
      <c r="B82" s="4" t="s">
        <v>95</v>
      </c>
      <c r="C82" s="4" t="s">
        <v>6</v>
      </c>
      <c r="D82" s="4" t="s">
        <v>96</v>
      </c>
      <c r="E82" s="4">
        <v>10.0</v>
      </c>
    </row>
    <row r="83">
      <c r="A83" s="4">
        <v>82.0</v>
      </c>
      <c r="B83" s="4" t="s">
        <v>97</v>
      </c>
      <c r="C83" s="4" t="s">
        <v>6</v>
      </c>
      <c r="D83" s="4" t="s">
        <v>98</v>
      </c>
      <c r="E83" s="4">
        <v>8.0</v>
      </c>
    </row>
    <row r="84">
      <c r="A84" s="4">
        <v>83.0</v>
      </c>
      <c r="B84" s="4" t="s">
        <v>99</v>
      </c>
      <c r="C84" s="4" t="s">
        <v>6</v>
      </c>
      <c r="D84" s="4" t="s">
        <v>100</v>
      </c>
      <c r="E84" s="4">
        <v>11.0</v>
      </c>
    </row>
    <row r="85">
      <c r="A85" s="4">
        <v>84.0</v>
      </c>
      <c r="B85" s="4" t="s">
        <v>101</v>
      </c>
      <c r="C85" s="4" t="s">
        <v>6</v>
      </c>
      <c r="D85" s="4" t="s">
        <v>102</v>
      </c>
      <c r="E85" s="4">
        <v>7.7</v>
      </c>
    </row>
    <row r="86">
      <c r="A86" s="4">
        <v>85.0</v>
      </c>
      <c r="B86" s="4" t="s">
        <v>103</v>
      </c>
      <c r="C86" s="4" t="s">
        <v>6</v>
      </c>
      <c r="D86" s="4" t="s">
        <v>102</v>
      </c>
      <c r="E86" s="4">
        <v>7.7</v>
      </c>
    </row>
    <row r="87">
      <c r="A87" s="4">
        <v>86.0</v>
      </c>
      <c r="B87" s="4" t="s">
        <v>104</v>
      </c>
      <c r="C87" s="4" t="s">
        <v>6</v>
      </c>
      <c r="D87" s="4" t="s">
        <v>105</v>
      </c>
      <c r="E87" s="4">
        <v>10.42</v>
      </c>
    </row>
    <row r="88">
      <c r="A88" s="4">
        <v>87.0</v>
      </c>
      <c r="B88" s="4" t="s">
        <v>106</v>
      </c>
      <c r="C88" s="4" t="s">
        <v>6</v>
      </c>
      <c r="D88" s="4" t="s">
        <v>107</v>
      </c>
      <c r="E88" s="4">
        <v>7.0</v>
      </c>
    </row>
    <row r="89">
      <c r="A89" s="4">
        <v>88.0</v>
      </c>
      <c r="B89" s="4" t="s">
        <v>83</v>
      </c>
      <c r="C89" s="4" t="s">
        <v>6</v>
      </c>
      <c r="D89" s="4" t="s">
        <v>107</v>
      </c>
      <c r="E89" s="4">
        <v>7.0</v>
      </c>
    </row>
    <row r="90">
      <c r="A90" s="4">
        <v>89.0</v>
      </c>
      <c r="B90" s="4" t="s">
        <v>108</v>
      </c>
      <c r="C90" s="4" t="s">
        <v>6</v>
      </c>
      <c r="D90" s="4" t="s">
        <v>109</v>
      </c>
      <c r="E90" s="4">
        <v>6.0</v>
      </c>
    </row>
    <row r="91">
      <c r="A91" s="4">
        <v>90.0</v>
      </c>
      <c r="B91" s="4" t="s">
        <v>110</v>
      </c>
      <c r="C91" s="4" t="s">
        <v>6</v>
      </c>
      <c r="D91" s="4" t="s">
        <v>111</v>
      </c>
      <c r="E91" s="4">
        <v>4.25</v>
      </c>
    </row>
    <row r="92">
      <c r="A92" s="4">
        <v>91.0</v>
      </c>
      <c r="B92" s="4" t="s">
        <v>85</v>
      </c>
      <c r="C92" s="4" t="s">
        <v>6</v>
      </c>
      <c r="D92" s="4" t="s">
        <v>111</v>
      </c>
      <c r="E92" s="4">
        <v>4.25</v>
      </c>
    </row>
    <row r="93">
      <c r="A93" s="4">
        <v>92.0</v>
      </c>
      <c r="B93" s="4" t="s">
        <v>112</v>
      </c>
      <c r="C93" s="4" t="s">
        <v>6</v>
      </c>
      <c r="D93" s="4" t="s">
        <v>113</v>
      </c>
      <c r="E93" s="4">
        <v>8.0</v>
      </c>
    </row>
    <row r="94">
      <c r="A94" s="4">
        <v>93.0</v>
      </c>
      <c r="B94" s="4" t="s">
        <v>114</v>
      </c>
      <c r="C94" s="4" t="s">
        <v>6</v>
      </c>
      <c r="D94" s="4" t="s">
        <v>113</v>
      </c>
      <c r="E94" s="4">
        <v>8.0</v>
      </c>
    </row>
    <row r="95">
      <c r="A95" s="4">
        <v>94.0</v>
      </c>
      <c r="B95" s="4" t="s">
        <v>115</v>
      </c>
      <c r="C95" s="4" t="s">
        <v>6</v>
      </c>
      <c r="D95" s="4" t="s">
        <v>116</v>
      </c>
      <c r="E95" s="4">
        <v>6.5</v>
      </c>
    </row>
    <row r="96">
      <c r="A96" s="4">
        <v>95.0</v>
      </c>
      <c r="B96" s="4" t="s">
        <v>117</v>
      </c>
      <c r="C96" s="4" t="s">
        <v>6</v>
      </c>
      <c r="D96" s="4" t="s">
        <v>118</v>
      </c>
      <c r="E96" s="4">
        <v>8.0</v>
      </c>
    </row>
    <row r="97">
      <c r="A97" s="4">
        <v>96.0</v>
      </c>
      <c r="B97" s="4" t="s">
        <v>82</v>
      </c>
      <c r="C97" s="4" t="s">
        <v>6</v>
      </c>
      <c r="D97" s="4" t="s">
        <v>119</v>
      </c>
      <c r="E97" s="4">
        <v>10.0</v>
      </c>
    </row>
    <row r="98">
      <c r="A98" s="4">
        <v>97.0</v>
      </c>
      <c r="B98" s="4" t="s">
        <v>16</v>
      </c>
      <c r="C98" s="4" t="s">
        <v>6</v>
      </c>
      <c r="D98" s="4" t="s">
        <v>119</v>
      </c>
      <c r="E98" s="4">
        <v>10.0</v>
      </c>
    </row>
    <row r="99">
      <c r="A99" s="4">
        <v>98.0</v>
      </c>
      <c r="B99" s="4" t="s">
        <v>120</v>
      </c>
      <c r="C99" s="4" t="s">
        <v>6</v>
      </c>
      <c r="D99" s="4" t="s">
        <v>121</v>
      </c>
      <c r="E99" s="4">
        <v>3.5</v>
      </c>
    </row>
    <row r="100">
      <c r="A100" s="4">
        <v>99.0</v>
      </c>
      <c r="B100" s="4" t="s">
        <v>122</v>
      </c>
      <c r="C100" s="4" t="s">
        <v>6</v>
      </c>
      <c r="D100" s="4" t="s">
        <v>121</v>
      </c>
      <c r="E100" s="4">
        <v>3.5</v>
      </c>
    </row>
    <row r="101">
      <c r="A101" s="4">
        <v>100.0</v>
      </c>
      <c r="B101" s="4" t="s">
        <v>123</v>
      </c>
      <c r="C101" s="4" t="s">
        <v>6</v>
      </c>
      <c r="D101" s="4" t="s">
        <v>121</v>
      </c>
      <c r="E101" s="4">
        <v>3.5</v>
      </c>
    </row>
    <row r="102">
      <c r="A102" s="4">
        <v>101.0</v>
      </c>
      <c r="B102" s="4" t="s">
        <v>50</v>
      </c>
      <c r="C102" s="4" t="s">
        <v>6</v>
      </c>
      <c r="D102" s="4" t="s">
        <v>121</v>
      </c>
      <c r="E102" s="4">
        <v>3.5</v>
      </c>
    </row>
    <row r="103">
      <c r="A103" s="4">
        <v>102.0</v>
      </c>
      <c r="B103" s="4" t="s">
        <v>76</v>
      </c>
      <c r="C103" s="4" t="s">
        <v>6</v>
      </c>
      <c r="D103" s="4" t="s">
        <v>121</v>
      </c>
      <c r="E103" s="4">
        <v>3.5</v>
      </c>
    </row>
    <row r="104">
      <c r="A104" s="4">
        <v>103.0</v>
      </c>
      <c r="B104" s="4" t="s">
        <v>124</v>
      </c>
      <c r="C104" s="4" t="s">
        <v>6</v>
      </c>
      <c r="D104" s="4" t="s">
        <v>125</v>
      </c>
      <c r="E104" s="4">
        <v>9.25</v>
      </c>
    </row>
    <row r="105">
      <c r="A105" s="4">
        <v>104.0</v>
      </c>
      <c r="B105" s="4" t="s">
        <v>126</v>
      </c>
      <c r="C105" s="4" t="s">
        <v>6</v>
      </c>
      <c r="D105" s="4" t="s">
        <v>127</v>
      </c>
      <c r="E105" s="4">
        <v>15.97</v>
      </c>
    </row>
    <row r="106">
      <c r="A106" s="4">
        <v>105.0</v>
      </c>
      <c r="B106" s="4" t="s">
        <v>123</v>
      </c>
      <c r="C106" s="4" t="s">
        <v>6</v>
      </c>
      <c r="D106" s="4" t="s">
        <v>128</v>
      </c>
      <c r="E106" s="4">
        <v>8.5</v>
      </c>
    </row>
    <row r="107">
      <c r="A107" s="4">
        <v>106.0</v>
      </c>
      <c r="B107" s="4" t="s">
        <v>122</v>
      </c>
      <c r="C107" s="4" t="s">
        <v>6</v>
      </c>
      <c r="D107" s="4" t="s">
        <v>128</v>
      </c>
      <c r="E107" s="4">
        <v>8.5</v>
      </c>
    </row>
    <row r="108">
      <c r="A108" s="4">
        <v>107.0</v>
      </c>
      <c r="B108" s="4" t="s">
        <v>129</v>
      </c>
      <c r="C108" s="4" t="s">
        <v>6</v>
      </c>
      <c r="D108" s="4" t="s">
        <v>130</v>
      </c>
      <c r="E108" s="4">
        <v>7.06</v>
      </c>
    </row>
    <row r="109">
      <c r="A109" s="4">
        <v>108.0</v>
      </c>
      <c r="B109" s="4" t="s">
        <v>131</v>
      </c>
      <c r="C109" s="4" t="s">
        <v>6</v>
      </c>
      <c r="D109" s="4" t="s">
        <v>132</v>
      </c>
      <c r="E109" s="4">
        <v>5.5</v>
      </c>
    </row>
    <row r="110">
      <c r="A110" s="4">
        <v>109.0</v>
      </c>
      <c r="B110" s="4" t="s">
        <v>133</v>
      </c>
      <c r="C110" s="4" t="s">
        <v>6</v>
      </c>
      <c r="D110" s="4" t="s">
        <v>134</v>
      </c>
      <c r="E110" s="4">
        <v>6.0</v>
      </c>
    </row>
    <row r="111">
      <c r="A111" s="4">
        <v>110.0</v>
      </c>
      <c r="B111" s="4" t="s">
        <v>135</v>
      </c>
      <c r="C111" s="4" t="s">
        <v>6</v>
      </c>
      <c r="D111" s="4" t="s">
        <v>134</v>
      </c>
      <c r="E111" s="4">
        <v>6.0</v>
      </c>
    </row>
    <row r="112">
      <c r="A112" s="4">
        <v>111.0</v>
      </c>
      <c r="B112" s="4" t="s">
        <v>136</v>
      </c>
      <c r="C112" s="4" t="s">
        <v>6</v>
      </c>
      <c r="D112" s="4" t="s">
        <v>134</v>
      </c>
      <c r="E112" s="4">
        <v>6.0</v>
      </c>
    </row>
    <row r="113">
      <c r="A113" s="4">
        <v>112.0</v>
      </c>
      <c r="B113" s="4" t="s">
        <v>137</v>
      </c>
      <c r="C113" s="4" t="s">
        <v>6</v>
      </c>
      <c r="D113" s="4" t="s">
        <v>134</v>
      </c>
      <c r="E113" s="4">
        <v>6.0</v>
      </c>
    </row>
    <row r="114">
      <c r="A114" s="4">
        <v>113.0</v>
      </c>
      <c r="B114" s="4" t="s">
        <v>138</v>
      </c>
      <c r="C114" s="4" t="s">
        <v>6</v>
      </c>
      <c r="D114" s="4" t="s">
        <v>139</v>
      </c>
      <c r="E114" s="4">
        <v>4.0</v>
      </c>
    </row>
    <row r="115">
      <c r="A115" s="4">
        <v>114.0</v>
      </c>
      <c r="B115" s="4" t="s">
        <v>140</v>
      </c>
      <c r="C115" s="4" t="s">
        <v>6</v>
      </c>
      <c r="D115" s="4" t="s">
        <v>141</v>
      </c>
      <c r="E115" s="4">
        <v>15.27</v>
      </c>
    </row>
    <row r="116">
      <c r="A116" s="4">
        <v>115.0</v>
      </c>
      <c r="B116" s="4" t="s">
        <v>142</v>
      </c>
      <c r="C116" s="4" t="s">
        <v>6</v>
      </c>
      <c r="D116" s="4" t="s">
        <v>143</v>
      </c>
      <c r="E116" s="4">
        <v>3.75</v>
      </c>
    </row>
    <row r="117">
      <c r="A117" s="4">
        <v>116.0</v>
      </c>
      <c r="B117" s="4" t="s">
        <v>142</v>
      </c>
      <c r="C117" s="4" t="s">
        <v>6</v>
      </c>
      <c r="D117" s="4" t="s">
        <v>144</v>
      </c>
      <c r="E117" s="4">
        <v>4.05</v>
      </c>
    </row>
    <row r="118">
      <c r="A118" s="4">
        <v>117.0</v>
      </c>
      <c r="B118" s="4" t="s">
        <v>145</v>
      </c>
      <c r="C118" s="4" t="s">
        <v>6</v>
      </c>
      <c r="D118" s="4" t="s">
        <v>146</v>
      </c>
      <c r="E118" s="4">
        <v>5.0</v>
      </c>
    </row>
    <row r="119">
      <c r="A119" s="4">
        <v>118.0</v>
      </c>
      <c r="B119" s="4" t="s">
        <v>147</v>
      </c>
      <c r="C119" s="4" t="s">
        <v>6</v>
      </c>
      <c r="D119" s="4" t="s">
        <v>148</v>
      </c>
      <c r="E119" s="4">
        <v>5.0</v>
      </c>
    </row>
    <row r="120">
      <c r="A120" s="4">
        <v>119.0</v>
      </c>
      <c r="B120" s="4" t="s">
        <v>149</v>
      </c>
      <c r="C120" s="4" t="s">
        <v>6</v>
      </c>
      <c r="D120" s="4" t="s">
        <v>92</v>
      </c>
      <c r="E120" s="4">
        <v>4.0</v>
      </c>
    </row>
    <row r="121">
      <c r="A121" s="4">
        <v>120.0</v>
      </c>
      <c r="B121" s="4" t="s">
        <v>150</v>
      </c>
      <c r="C121" s="4" t="s">
        <v>6</v>
      </c>
      <c r="D121" s="4" t="s">
        <v>92</v>
      </c>
      <c r="E121" s="4">
        <v>4.0</v>
      </c>
    </row>
    <row r="122">
      <c r="A122" s="4">
        <v>121.0</v>
      </c>
      <c r="B122" s="4" t="s">
        <v>151</v>
      </c>
      <c r="C122" s="4" t="s">
        <v>6</v>
      </c>
      <c r="D122" s="4" t="s">
        <v>92</v>
      </c>
      <c r="E122" s="4">
        <v>4.0</v>
      </c>
    </row>
    <row r="123">
      <c r="A123" s="4">
        <v>122.0</v>
      </c>
      <c r="B123" s="4" t="s">
        <v>152</v>
      </c>
      <c r="C123" s="4" t="s">
        <v>6</v>
      </c>
      <c r="D123" s="4" t="s">
        <v>92</v>
      </c>
      <c r="E123" s="4">
        <v>4.0</v>
      </c>
    </row>
    <row r="124">
      <c r="A124" s="4">
        <v>123.0</v>
      </c>
      <c r="B124" s="4" t="s">
        <v>153</v>
      </c>
      <c r="C124" s="4" t="s">
        <v>6</v>
      </c>
      <c r="D124" s="4" t="s">
        <v>92</v>
      </c>
      <c r="E124" s="4">
        <v>4.0</v>
      </c>
    </row>
    <row r="125">
      <c r="A125" s="4">
        <v>124.0</v>
      </c>
      <c r="B125" s="4" t="s">
        <v>154</v>
      </c>
      <c r="C125" s="4" t="s">
        <v>6</v>
      </c>
      <c r="D125" s="4" t="s">
        <v>92</v>
      </c>
      <c r="E125" s="4">
        <v>4.0</v>
      </c>
    </row>
    <row r="126">
      <c r="A126" s="4">
        <v>125.0</v>
      </c>
      <c r="B126" s="4" t="s">
        <v>155</v>
      </c>
      <c r="C126" s="4" t="s">
        <v>6</v>
      </c>
      <c r="D126" s="4" t="s">
        <v>119</v>
      </c>
      <c r="E126" s="4">
        <v>10.0</v>
      </c>
    </row>
    <row r="127">
      <c r="A127" s="4">
        <v>126.0</v>
      </c>
      <c r="B127" s="4" t="s">
        <v>156</v>
      </c>
      <c r="C127" s="4" t="s">
        <v>6</v>
      </c>
      <c r="D127" s="4" t="s">
        <v>119</v>
      </c>
      <c r="E127" s="4">
        <v>10.0</v>
      </c>
    </row>
    <row r="128">
      <c r="A128" s="4">
        <v>127.0</v>
      </c>
      <c r="B128" s="4" t="s">
        <v>157</v>
      </c>
      <c r="C128" s="4" t="s">
        <v>6</v>
      </c>
      <c r="D128" s="4" t="s">
        <v>158</v>
      </c>
      <c r="E128" s="4">
        <v>7.0</v>
      </c>
    </row>
    <row r="129">
      <c r="A129" s="4">
        <v>128.0</v>
      </c>
      <c r="B129" s="4" t="s">
        <v>159</v>
      </c>
      <c r="C129" s="4" t="s">
        <v>6</v>
      </c>
      <c r="D129" s="4" t="s">
        <v>160</v>
      </c>
      <c r="E129" s="4">
        <v>12.0</v>
      </c>
    </row>
    <row r="130">
      <c r="A130" s="4">
        <v>129.0</v>
      </c>
      <c r="B130" s="4" t="s">
        <v>161</v>
      </c>
      <c r="C130" s="4" t="s">
        <v>6</v>
      </c>
      <c r="D130" s="4" t="s">
        <v>160</v>
      </c>
      <c r="E130" s="4">
        <v>12.0</v>
      </c>
    </row>
    <row r="131">
      <c r="A131" s="4">
        <v>130.0</v>
      </c>
      <c r="B131" s="4" t="s">
        <v>162</v>
      </c>
      <c r="C131" s="4" t="s">
        <v>6</v>
      </c>
      <c r="D131" s="4" t="s">
        <v>160</v>
      </c>
      <c r="E131" s="4">
        <v>12.0</v>
      </c>
    </row>
    <row r="132">
      <c r="A132" s="4">
        <v>131.0</v>
      </c>
      <c r="B132" s="4" t="s">
        <v>152</v>
      </c>
      <c r="C132" s="4" t="s">
        <v>6</v>
      </c>
      <c r="D132" s="4" t="s">
        <v>163</v>
      </c>
      <c r="E132" s="4">
        <v>9.0</v>
      </c>
    </row>
    <row r="133">
      <c r="A133" s="4">
        <v>132.0</v>
      </c>
      <c r="B133" s="4" t="s">
        <v>150</v>
      </c>
      <c r="C133" s="4" t="s">
        <v>6</v>
      </c>
      <c r="D133" s="4" t="s">
        <v>121</v>
      </c>
      <c r="E133" s="4">
        <v>5.5</v>
      </c>
    </row>
    <row r="134">
      <c r="A134" s="4">
        <v>133.0</v>
      </c>
      <c r="B134" s="4" t="s">
        <v>152</v>
      </c>
      <c r="C134" s="4" t="s">
        <v>6</v>
      </c>
      <c r="D134" s="4" t="s">
        <v>128</v>
      </c>
      <c r="E134" s="4">
        <v>8.5</v>
      </c>
    </row>
    <row r="135">
      <c r="A135" s="4">
        <v>134.0</v>
      </c>
      <c r="B135" s="4" t="s">
        <v>149</v>
      </c>
      <c r="C135" s="4" t="s">
        <v>6</v>
      </c>
      <c r="D135" s="4" t="s">
        <v>164</v>
      </c>
      <c r="E135" s="4">
        <v>3.5</v>
      </c>
    </row>
    <row r="136">
      <c r="A136" s="4">
        <v>135.0</v>
      </c>
      <c r="B136" s="4" t="s">
        <v>165</v>
      </c>
      <c r="C136" s="4" t="s">
        <v>166</v>
      </c>
      <c r="D136" s="4" t="s">
        <v>7</v>
      </c>
      <c r="E136" s="4">
        <v>15.97</v>
      </c>
    </row>
    <row r="137">
      <c r="A137" s="4">
        <v>136.0</v>
      </c>
      <c r="B137" s="4" t="s">
        <v>167</v>
      </c>
      <c r="C137" s="4" t="s">
        <v>166</v>
      </c>
      <c r="D137" s="4" t="s">
        <v>9</v>
      </c>
      <c r="E137" s="4">
        <v>12.0</v>
      </c>
    </row>
    <row r="138">
      <c r="A138" s="4">
        <v>137.0</v>
      </c>
      <c r="B138" s="4" t="s">
        <v>168</v>
      </c>
      <c r="C138" s="4" t="s">
        <v>166</v>
      </c>
      <c r="D138" s="4" t="s">
        <v>11</v>
      </c>
      <c r="E138" s="4">
        <v>12.5</v>
      </c>
    </row>
    <row r="139">
      <c r="A139" s="4">
        <v>138.0</v>
      </c>
      <c r="B139" s="4" t="s">
        <v>169</v>
      </c>
      <c r="C139" s="4" t="s">
        <v>166</v>
      </c>
      <c r="D139" s="4" t="s">
        <v>148</v>
      </c>
      <c r="E139" s="4">
        <v>5.0</v>
      </c>
    </row>
    <row r="140">
      <c r="A140" s="4">
        <v>139.0</v>
      </c>
      <c r="B140" s="4" t="s">
        <v>170</v>
      </c>
      <c r="C140" s="4" t="s">
        <v>166</v>
      </c>
      <c r="D140" s="4" t="s">
        <v>20</v>
      </c>
      <c r="E140" s="4">
        <v>3.6</v>
      </c>
    </row>
    <row r="141">
      <c r="A141" s="4">
        <v>140.0</v>
      </c>
      <c r="B141" s="4" t="s">
        <v>171</v>
      </c>
      <c r="C141" s="4" t="s">
        <v>166</v>
      </c>
      <c r="D141" s="4" t="s">
        <v>20</v>
      </c>
      <c r="E141" s="4">
        <v>3.6</v>
      </c>
    </row>
    <row r="142">
      <c r="A142" s="4">
        <v>141.0</v>
      </c>
      <c r="B142" s="4" t="s">
        <v>168</v>
      </c>
      <c r="C142" s="4" t="s">
        <v>166</v>
      </c>
      <c r="D142" s="4" t="s">
        <v>61</v>
      </c>
      <c r="E142" s="4">
        <v>17.39</v>
      </c>
    </row>
    <row r="143">
      <c r="A143" s="4">
        <v>142.0</v>
      </c>
      <c r="B143" s="4" t="s">
        <v>172</v>
      </c>
      <c r="C143" s="4" t="s">
        <v>166</v>
      </c>
      <c r="D143" s="4" t="s">
        <v>26</v>
      </c>
      <c r="E143" s="4">
        <v>13.88</v>
      </c>
    </row>
    <row r="144">
      <c r="A144" s="4">
        <v>143.0</v>
      </c>
      <c r="B144" s="4" t="s">
        <v>173</v>
      </c>
      <c r="C144" s="4" t="s">
        <v>166</v>
      </c>
      <c r="D144" s="4" t="s">
        <v>29</v>
      </c>
      <c r="E144" s="4">
        <v>10.5</v>
      </c>
    </row>
    <row r="145">
      <c r="A145" s="4">
        <v>144.0</v>
      </c>
      <c r="B145" s="4" t="s">
        <v>174</v>
      </c>
      <c r="C145" s="4" t="s">
        <v>166</v>
      </c>
      <c r="D145" s="4" t="s">
        <v>31</v>
      </c>
      <c r="E145" s="4">
        <v>7.6</v>
      </c>
    </row>
    <row r="146">
      <c r="A146" s="4">
        <v>145.0</v>
      </c>
      <c r="B146" s="4" t="s">
        <v>175</v>
      </c>
      <c r="C146" s="4" t="s">
        <v>166</v>
      </c>
      <c r="D146" s="4" t="s">
        <v>31</v>
      </c>
      <c r="E146" s="4">
        <v>7.6</v>
      </c>
    </row>
    <row r="147">
      <c r="A147" s="4">
        <v>146.0</v>
      </c>
      <c r="B147" s="4" t="s">
        <v>176</v>
      </c>
      <c r="C147" s="4" t="s">
        <v>166</v>
      </c>
      <c r="D147" s="4" t="s">
        <v>31</v>
      </c>
      <c r="E147" s="4">
        <v>7.6</v>
      </c>
    </row>
    <row r="148">
      <c r="A148" s="4">
        <v>147.0</v>
      </c>
      <c r="B148" s="4" t="s">
        <v>177</v>
      </c>
      <c r="C148" s="4" t="s">
        <v>166</v>
      </c>
      <c r="D148" s="4" t="s">
        <v>31</v>
      </c>
      <c r="E148" s="4">
        <v>7.6</v>
      </c>
    </row>
    <row r="149">
      <c r="A149" s="4">
        <v>148.0</v>
      </c>
      <c r="B149" s="4" t="s">
        <v>178</v>
      </c>
      <c r="C149" s="4" t="s">
        <v>166</v>
      </c>
      <c r="D149" s="4" t="s">
        <v>53</v>
      </c>
      <c r="E149" s="4">
        <v>13.65</v>
      </c>
    </row>
    <row r="150">
      <c r="A150" s="4">
        <v>149.0</v>
      </c>
      <c r="B150" s="4" t="s">
        <v>179</v>
      </c>
      <c r="C150" s="4" t="s">
        <v>166</v>
      </c>
      <c r="D150" s="4" t="s">
        <v>53</v>
      </c>
      <c r="E150" s="4">
        <v>13.65</v>
      </c>
    </row>
    <row r="151">
      <c r="A151" s="4">
        <v>150.0</v>
      </c>
      <c r="B151" s="4" t="s">
        <v>171</v>
      </c>
      <c r="C151" s="4" t="s">
        <v>166</v>
      </c>
      <c r="D151" s="4" t="s">
        <v>53</v>
      </c>
      <c r="E151" s="4">
        <v>13.65</v>
      </c>
    </row>
    <row r="152">
      <c r="A152" s="4">
        <v>151.0</v>
      </c>
      <c r="B152" s="4" t="s">
        <v>180</v>
      </c>
      <c r="C152" s="4" t="s">
        <v>166</v>
      </c>
      <c r="D152" s="4" t="s">
        <v>53</v>
      </c>
      <c r="E152" s="4">
        <v>13.65</v>
      </c>
    </row>
    <row r="153">
      <c r="A153" s="4">
        <v>152.0</v>
      </c>
      <c r="B153" s="4" t="s">
        <v>181</v>
      </c>
      <c r="C153" s="4" t="s">
        <v>166</v>
      </c>
      <c r="D153" s="4" t="s">
        <v>56</v>
      </c>
      <c r="E153" s="4">
        <v>9.5</v>
      </c>
    </row>
    <row r="154">
      <c r="A154" s="4">
        <v>153.0</v>
      </c>
      <c r="B154" s="4" t="s">
        <v>182</v>
      </c>
      <c r="C154" s="4" t="s">
        <v>166</v>
      </c>
      <c r="D154" s="4" t="s">
        <v>56</v>
      </c>
      <c r="E154" s="4">
        <v>9.5</v>
      </c>
    </row>
    <row r="155">
      <c r="A155" s="4">
        <v>154.0</v>
      </c>
      <c r="B155" s="4" t="s">
        <v>183</v>
      </c>
      <c r="C155" s="4" t="s">
        <v>166</v>
      </c>
      <c r="D155" s="4" t="s">
        <v>59</v>
      </c>
      <c r="E155" s="4">
        <v>8.5</v>
      </c>
    </row>
    <row r="156">
      <c r="A156" s="4">
        <v>155.0</v>
      </c>
      <c r="B156" s="4" t="s">
        <v>184</v>
      </c>
      <c r="C156" s="4" t="s">
        <v>166</v>
      </c>
      <c r="D156" s="4" t="s">
        <v>185</v>
      </c>
      <c r="E156" s="4">
        <v>5.5</v>
      </c>
    </row>
    <row r="157">
      <c r="A157" s="4">
        <v>156.0</v>
      </c>
      <c r="B157" s="4" t="s">
        <v>186</v>
      </c>
      <c r="C157" s="4" t="s">
        <v>166</v>
      </c>
      <c r="D157" s="4" t="s">
        <v>67</v>
      </c>
      <c r="E157" s="4">
        <v>8.0</v>
      </c>
    </row>
    <row r="158">
      <c r="A158" s="4">
        <v>157.0</v>
      </c>
      <c r="B158" s="4" t="s">
        <v>187</v>
      </c>
      <c r="C158" s="4" t="s">
        <v>166</v>
      </c>
      <c r="D158" s="4" t="s">
        <v>67</v>
      </c>
      <c r="E158" s="4">
        <v>8.0</v>
      </c>
    </row>
    <row r="159">
      <c r="A159" s="4">
        <v>158.0</v>
      </c>
      <c r="B159" s="4" t="s">
        <v>188</v>
      </c>
      <c r="C159" s="4" t="s">
        <v>166</v>
      </c>
      <c r="D159" s="4" t="s">
        <v>67</v>
      </c>
      <c r="E159" s="4">
        <v>8.0</v>
      </c>
    </row>
    <row r="160">
      <c r="A160" s="4">
        <v>159.0</v>
      </c>
      <c r="B160" s="4" t="s">
        <v>189</v>
      </c>
      <c r="C160" s="4" t="s">
        <v>166</v>
      </c>
      <c r="D160" s="4" t="s">
        <v>69</v>
      </c>
      <c r="E160" s="4">
        <v>6.65</v>
      </c>
    </row>
    <row r="161">
      <c r="A161" s="4">
        <v>160.0</v>
      </c>
      <c r="B161" s="4" t="s">
        <v>190</v>
      </c>
      <c r="C161" s="4" t="s">
        <v>166</v>
      </c>
      <c r="D161" s="4" t="s">
        <v>69</v>
      </c>
      <c r="E161" s="4">
        <v>6.65</v>
      </c>
    </row>
    <row r="162">
      <c r="A162" s="4">
        <v>161.0</v>
      </c>
      <c r="B162" s="4" t="s">
        <v>191</v>
      </c>
      <c r="C162" s="4" t="s">
        <v>166</v>
      </c>
      <c r="D162" s="4" t="s">
        <v>69</v>
      </c>
      <c r="E162" s="4">
        <v>6.65</v>
      </c>
    </row>
    <row r="163">
      <c r="A163" s="4">
        <v>162.0</v>
      </c>
      <c r="B163" s="4" t="s">
        <v>192</v>
      </c>
      <c r="C163" s="4" t="s">
        <v>166</v>
      </c>
      <c r="D163" s="4" t="s">
        <v>69</v>
      </c>
      <c r="E163" s="4">
        <v>6.65</v>
      </c>
    </row>
    <row r="164">
      <c r="A164" s="4">
        <v>163.0</v>
      </c>
      <c r="B164" s="4" t="s">
        <v>193</v>
      </c>
      <c r="C164" s="4" t="s">
        <v>166</v>
      </c>
      <c r="D164" s="4" t="s">
        <v>69</v>
      </c>
      <c r="E164" s="4">
        <v>6.65</v>
      </c>
    </row>
    <row r="165">
      <c r="A165" s="4">
        <v>164.0</v>
      </c>
      <c r="B165" s="4" t="s">
        <v>194</v>
      </c>
      <c r="C165" s="4" t="s">
        <v>166</v>
      </c>
      <c r="D165" s="4" t="s">
        <v>69</v>
      </c>
      <c r="E165" s="4">
        <v>6.65</v>
      </c>
    </row>
    <row r="166">
      <c r="A166" s="4">
        <v>165.0</v>
      </c>
      <c r="B166" s="4" t="s">
        <v>195</v>
      </c>
      <c r="C166" s="4" t="s">
        <v>166</v>
      </c>
      <c r="D166" s="4" t="s">
        <v>78</v>
      </c>
      <c r="E166" s="4">
        <v>6.5</v>
      </c>
    </row>
    <row r="167">
      <c r="A167" s="4">
        <v>166.0</v>
      </c>
      <c r="B167" s="4" t="s">
        <v>190</v>
      </c>
      <c r="C167" s="4" t="s">
        <v>166</v>
      </c>
      <c r="D167" s="4" t="s">
        <v>80</v>
      </c>
      <c r="E167" s="4">
        <v>4.5</v>
      </c>
    </row>
    <row r="168">
      <c r="A168" s="4">
        <v>167.0</v>
      </c>
      <c r="B168" s="4" t="s">
        <v>196</v>
      </c>
      <c r="C168" s="4" t="s">
        <v>166</v>
      </c>
      <c r="D168" s="4" t="s">
        <v>80</v>
      </c>
      <c r="E168" s="4">
        <v>4.5</v>
      </c>
    </row>
    <row r="169">
      <c r="A169" s="4">
        <v>168.0</v>
      </c>
      <c r="B169" s="4" t="s">
        <v>197</v>
      </c>
      <c r="C169" s="4" t="s">
        <v>166</v>
      </c>
      <c r="D169" s="4" t="s">
        <v>92</v>
      </c>
      <c r="E169" s="4">
        <v>4.0</v>
      </c>
    </row>
    <row r="170">
      <c r="A170" s="4">
        <v>169.0</v>
      </c>
      <c r="B170" s="4" t="s">
        <v>198</v>
      </c>
      <c r="C170" s="4" t="s">
        <v>166</v>
      </c>
      <c r="D170" s="4" t="s">
        <v>92</v>
      </c>
      <c r="E170" s="4">
        <v>4.0</v>
      </c>
    </row>
    <row r="171">
      <c r="A171" s="4">
        <v>170.0</v>
      </c>
      <c r="B171" s="4" t="s">
        <v>199</v>
      </c>
      <c r="C171" s="4" t="s">
        <v>166</v>
      </c>
      <c r="D171" s="4" t="s">
        <v>92</v>
      </c>
      <c r="E171" s="4">
        <v>4.0</v>
      </c>
    </row>
    <row r="172">
      <c r="A172" s="4">
        <v>171.0</v>
      </c>
      <c r="B172" s="4" t="s">
        <v>200</v>
      </c>
      <c r="C172" s="4" t="s">
        <v>166</v>
      </c>
      <c r="D172" s="4" t="s">
        <v>98</v>
      </c>
      <c r="E172" s="4">
        <v>8.0</v>
      </c>
    </row>
    <row r="173">
      <c r="A173" s="4">
        <v>172.0</v>
      </c>
      <c r="B173" s="4" t="s">
        <v>201</v>
      </c>
      <c r="C173" s="4" t="s">
        <v>166</v>
      </c>
      <c r="D173" s="4" t="s">
        <v>111</v>
      </c>
      <c r="E173" s="4">
        <v>4.25</v>
      </c>
    </row>
    <row r="174">
      <c r="A174" s="4">
        <v>173.0</v>
      </c>
      <c r="B174" s="4" t="s">
        <v>202</v>
      </c>
      <c r="C174" s="4" t="s">
        <v>166</v>
      </c>
      <c r="D174" s="4" t="s">
        <v>111</v>
      </c>
      <c r="E174" s="4">
        <v>4.25</v>
      </c>
    </row>
    <row r="175">
      <c r="A175" s="4">
        <v>174.0</v>
      </c>
      <c r="B175" s="4" t="s">
        <v>198</v>
      </c>
      <c r="C175" s="4" t="s">
        <v>166</v>
      </c>
      <c r="D175" s="4" t="s">
        <v>111</v>
      </c>
      <c r="E175" s="4">
        <v>4.25</v>
      </c>
    </row>
    <row r="176">
      <c r="A176" s="4">
        <v>175.0</v>
      </c>
      <c r="B176" s="4" t="s">
        <v>203</v>
      </c>
      <c r="C176" s="4" t="s">
        <v>166</v>
      </c>
      <c r="D176" s="4" t="s">
        <v>111</v>
      </c>
      <c r="E176" s="4">
        <v>4.25</v>
      </c>
    </row>
    <row r="177">
      <c r="A177" s="4">
        <v>176.0</v>
      </c>
      <c r="B177" s="4" t="s">
        <v>201</v>
      </c>
      <c r="C177" s="4" t="s">
        <v>166</v>
      </c>
      <c r="D177" s="4" t="s">
        <v>116</v>
      </c>
      <c r="E177" s="4">
        <v>6.5</v>
      </c>
    </row>
    <row r="178">
      <c r="A178" s="4">
        <v>177.0</v>
      </c>
      <c r="B178" s="4" t="s">
        <v>204</v>
      </c>
      <c r="C178" s="4" t="s">
        <v>166</v>
      </c>
      <c r="D178" s="4" t="s">
        <v>205</v>
      </c>
      <c r="E178" s="4">
        <v>7.0</v>
      </c>
    </row>
    <row r="179">
      <c r="A179" s="4">
        <v>178.0</v>
      </c>
      <c r="B179" s="4" t="s">
        <v>197</v>
      </c>
      <c r="C179" s="4" t="s">
        <v>166</v>
      </c>
      <c r="D179" s="4" t="s">
        <v>205</v>
      </c>
      <c r="E179" s="4">
        <v>7.0</v>
      </c>
    </row>
    <row r="180">
      <c r="A180" s="4">
        <v>179.0</v>
      </c>
      <c r="B180" s="4" t="s">
        <v>206</v>
      </c>
      <c r="C180" s="4" t="s">
        <v>166</v>
      </c>
      <c r="D180" s="4" t="s">
        <v>118</v>
      </c>
      <c r="E180" s="4">
        <v>8.0</v>
      </c>
    </row>
    <row r="181">
      <c r="A181" s="4">
        <v>180.0</v>
      </c>
      <c r="B181" s="4" t="s">
        <v>203</v>
      </c>
      <c r="C181" s="4" t="s">
        <v>166</v>
      </c>
      <c r="D181" s="4" t="s">
        <v>207</v>
      </c>
      <c r="E181" s="4">
        <v>4.0</v>
      </c>
    </row>
    <row r="182">
      <c r="A182" s="4">
        <v>181.0</v>
      </c>
      <c r="B182" s="4" t="s">
        <v>208</v>
      </c>
      <c r="C182" s="4" t="s">
        <v>166</v>
      </c>
      <c r="D182" s="4" t="s">
        <v>207</v>
      </c>
      <c r="E182" s="4">
        <v>4.0</v>
      </c>
    </row>
    <row r="183">
      <c r="A183" s="4">
        <v>182.0</v>
      </c>
      <c r="B183" s="4" t="s">
        <v>209</v>
      </c>
      <c r="C183" s="4" t="s">
        <v>166</v>
      </c>
      <c r="D183" s="4" t="s">
        <v>119</v>
      </c>
      <c r="E183" s="4">
        <v>10.0</v>
      </c>
    </row>
    <row r="184">
      <c r="A184" s="4">
        <v>183.0</v>
      </c>
      <c r="B184" s="4" t="s">
        <v>210</v>
      </c>
      <c r="C184" s="4" t="s">
        <v>166</v>
      </c>
      <c r="D184" s="4" t="s">
        <v>119</v>
      </c>
      <c r="E184" s="4">
        <v>10.0</v>
      </c>
    </row>
    <row r="185">
      <c r="A185" s="4">
        <v>184.0</v>
      </c>
      <c r="B185" s="4" t="s">
        <v>196</v>
      </c>
      <c r="C185" s="4" t="s">
        <v>166</v>
      </c>
      <c r="D185" s="4" t="s">
        <v>119</v>
      </c>
      <c r="E185" s="4">
        <v>10.0</v>
      </c>
    </row>
    <row r="186">
      <c r="A186" s="4">
        <v>185.0</v>
      </c>
      <c r="B186" s="4" t="s">
        <v>203</v>
      </c>
      <c r="C186" s="4" t="s">
        <v>166</v>
      </c>
      <c r="D186" s="4" t="s">
        <v>80</v>
      </c>
      <c r="E186" s="4">
        <v>4.5</v>
      </c>
    </row>
    <row r="187">
      <c r="A187" s="4">
        <v>186.0</v>
      </c>
      <c r="B187" s="4" t="s">
        <v>211</v>
      </c>
      <c r="C187" s="4" t="s">
        <v>166</v>
      </c>
      <c r="D187" s="4" t="s">
        <v>80</v>
      </c>
      <c r="E187" s="4">
        <v>4.5</v>
      </c>
    </row>
    <row r="188">
      <c r="A188" s="4">
        <v>187.0</v>
      </c>
      <c r="B188" s="4" t="s">
        <v>212</v>
      </c>
      <c r="C188" s="4" t="s">
        <v>166</v>
      </c>
      <c r="D188" s="4" t="s">
        <v>213</v>
      </c>
      <c r="E188" s="4">
        <v>8.0</v>
      </c>
    </row>
    <row r="189">
      <c r="A189" s="4">
        <v>188.0</v>
      </c>
      <c r="B189" s="4" t="s">
        <v>170</v>
      </c>
      <c r="C189" s="4" t="s">
        <v>166</v>
      </c>
      <c r="D189" s="4" t="s">
        <v>214</v>
      </c>
      <c r="E189" s="4">
        <v>12.0</v>
      </c>
    </row>
    <row r="190">
      <c r="A190" s="4">
        <v>189.0</v>
      </c>
      <c r="B190" s="4" t="s">
        <v>215</v>
      </c>
      <c r="C190" s="4" t="s">
        <v>166</v>
      </c>
      <c r="D190" s="4" t="s">
        <v>214</v>
      </c>
      <c r="E190" s="4">
        <v>12.0</v>
      </c>
    </row>
    <row r="191">
      <c r="A191" s="4">
        <v>190.0</v>
      </c>
      <c r="B191" s="4" t="s">
        <v>216</v>
      </c>
      <c r="C191" s="4" t="s">
        <v>166</v>
      </c>
      <c r="D191" s="4" t="s">
        <v>121</v>
      </c>
      <c r="E191" s="4">
        <v>3.5</v>
      </c>
    </row>
    <row r="192">
      <c r="A192" s="4">
        <v>191.0</v>
      </c>
      <c r="B192" s="4" t="s">
        <v>187</v>
      </c>
      <c r="C192" s="4" t="s">
        <v>166</v>
      </c>
      <c r="D192" s="4" t="s">
        <v>132</v>
      </c>
      <c r="E192" s="4">
        <v>5.5</v>
      </c>
    </row>
    <row r="193">
      <c r="A193" s="4">
        <v>192.0</v>
      </c>
      <c r="B193" s="4" t="s">
        <v>217</v>
      </c>
      <c r="C193" s="4" t="s">
        <v>166</v>
      </c>
      <c r="D193" s="4" t="s">
        <v>218</v>
      </c>
      <c r="E193" s="4">
        <v>5.0</v>
      </c>
    </row>
    <row r="194">
      <c r="A194" s="4">
        <v>193.0</v>
      </c>
      <c r="B194" s="4" t="s">
        <v>219</v>
      </c>
      <c r="C194" s="4" t="s">
        <v>166</v>
      </c>
      <c r="D194" s="4" t="s">
        <v>218</v>
      </c>
      <c r="E194" s="4">
        <v>5.0</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tr">
        <f>IFERROR(__xludf.DUMMYFUNCTION("QUERY(MasterData, ""SELECT B, C, E, G, Q WHERE BQ='#N/A' LABEL C 'PRN'"", 1)"),"Email Address")</f>
        <v>Email Address</v>
      </c>
      <c r="B1" s="6" t="str">
        <f>IFERROR(__xludf.DUMMYFUNCTION("""COMPUTED_VALUE"""),"PRN")</f>
        <v>PRN</v>
      </c>
      <c r="C1" s="6" t="str">
        <f>IFERROR(__xludf.DUMMYFUNCTION("""COMPUTED_VALUE"""),"First Name")</f>
        <v>First Name</v>
      </c>
      <c r="D1" s="6" t="str">
        <f>IFERROR(__xludf.DUMMYFUNCTION("""COMPUTED_VALUE"""),"Last Name")</f>
        <v>Last Name</v>
      </c>
      <c r="E1" s="6" t="str">
        <f>IFERROR(__xludf.DUMMYFUNCTION("""COMPUTED_VALUE"""),"Mobile Number")</f>
        <v>Mobile Number</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47.43"/>
    <col customWidth="1" min="3" max="3" width="30.57"/>
    <col customWidth="1" min="4" max="4" width="13.29"/>
    <col customWidth="1" min="5" max="5" width="13.57"/>
  </cols>
  <sheetData>
    <row r="1">
      <c r="A1" s="7" t="s">
        <v>220</v>
      </c>
      <c r="B1" s="8" t="s">
        <v>221</v>
      </c>
      <c r="C1" s="8" t="s">
        <v>222</v>
      </c>
      <c r="D1" s="8" t="s">
        <v>223</v>
      </c>
      <c r="E1" s="8" t="s">
        <v>224</v>
      </c>
      <c r="F1" s="9"/>
      <c r="G1" s="9"/>
      <c r="H1" s="9"/>
      <c r="I1" s="9"/>
      <c r="J1" s="9"/>
      <c r="K1" s="9"/>
      <c r="L1" s="9"/>
      <c r="M1" s="9"/>
      <c r="N1" s="9"/>
      <c r="O1" s="9"/>
      <c r="P1" s="9"/>
      <c r="Q1" s="9"/>
      <c r="R1" s="9"/>
      <c r="S1" s="9"/>
      <c r="T1" s="9"/>
      <c r="U1" s="9"/>
      <c r="V1" s="9"/>
      <c r="W1" s="9"/>
      <c r="X1" s="9"/>
    </row>
    <row r="2">
      <c r="A2" s="5">
        <v>1.0</v>
      </c>
      <c r="B2" s="5" t="s">
        <v>225</v>
      </c>
      <c r="C2" s="5" t="s">
        <v>226</v>
      </c>
      <c r="D2" s="5" t="s">
        <v>227</v>
      </c>
      <c r="E2" s="5" t="s">
        <v>228</v>
      </c>
    </row>
    <row r="3">
      <c r="A3" s="5">
        <v>2.0</v>
      </c>
      <c r="B3" s="5" t="s">
        <v>229</v>
      </c>
      <c r="C3" s="5" t="s">
        <v>230</v>
      </c>
      <c r="D3" s="5" t="s">
        <v>231</v>
      </c>
      <c r="E3" s="5" t="s">
        <v>228</v>
      </c>
    </row>
    <row r="4">
      <c r="A4" s="5">
        <v>3.0</v>
      </c>
      <c r="B4" s="5" t="s">
        <v>232</v>
      </c>
      <c r="C4" s="5" t="s">
        <v>233</v>
      </c>
      <c r="D4" s="5" t="s">
        <v>234</v>
      </c>
      <c r="E4" s="5" t="s">
        <v>228</v>
      </c>
    </row>
    <row r="5">
      <c r="A5" s="5">
        <v>4.0</v>
      </c>
      <c r="B5" s="5" t="s">
        <v>235</v>
      </c>
      <c r="C5" s="5" t="s">
        <v>236</v>
      </c>
      <c r="D5" s="5" t="s">
        <v>237</v>
      </c>
      <c r="E5" s="5" t="s">
        <v>228</v>
      </c>
    </row>
    <row r="6">
      <c r="A6" s="5">
        <v>5.0</v>
      </c>
      <c r="B6" s="5" t="s">
        <v>238</v>
      </c>
      <c r="C6" s="5" t="s">
        <v>239</v>
      </c>
      <c r="D6" s="5" t="s">
        <v>240</v>
      </c>
      <c r="E6" s="5" t="s">
        <v>228</v>
      </c>
    </row>
    <row r="7">
      <c r="A7" s="5">
        <v>6.0</v>
      </c>
      <c r="B7" s="5" t="s">
        <v>241</v>
      </c>
      <c r="C7" s="5" t="s">
        <v>242</v>
      </c>
      <c r="D7" s="5" t="s">
        <v>243</v>
      </c>
      <c r="E7" s="5" t="s">
        <v>228</v>
      </c>
    </row>
    <row r="8">
      <c r="A8" s="5">
        <v>7.0</v>
      </c>
      <c r="B8" s="5" t="s">
        <v>244</v>
      </c>
      <c r="C8" s="5" t="s">
        <v>245</v>
      </c>
      <c r="D8" s="5" t="s">
        <v>246</v>
      </c>
      <c r="E8" s="5" t="s">
        <v>228</v>
      </c>
    </row>
    <row r="9">
      <c r="A9" s="5">
        <v>8.0</v>
      </c>
      <c r="B9" s="5" t="s">
        <v>247</v>
      </c>
      <c r="C9" s="5" t="s">
        <v>248</v>
      </c>
      <c r="D9" s="5" t="s">
        <v>249</v>
      </c>
      <c r="E9" s="5" t="s">
        <v>228</v>
      </c>
    </row>
    <row r="10">
      <c r="A10" s="5">
        <v>9.0</v>
      </c>
      <c r="B10" s="5" t="s">
        <v>250</v>
      </c>
      <c r="C10" s="5" t="s">
        <v>251</v>
      </c>
      <c r="D10" s="5" t="s">
        <v>252</v>
      </c>
      <c r="E10" s="5" t="s">
        <v>228</v>
      </c>
    </row>
    <row r="11">
      <c r="A11" s="5">
        <v>10.0</v>
      </c>
      <c r="B11" s="5" t="s">
        <v>253</v>
      </c>
      <c r="C11" s="5" t="s">
        <v>254</v>
      </c>
      <c r="D11" s="5" t="s">
        <v>255</v>
      </c>
      <c r="E11" s="5" t="s">
        <v>228</v>
      </c>
    </row>
    <row r="12">
      <c r="A12" s="5">
        <v>11.0</v>
      </c>
      <c r="B12" s="5" t="s">
        <v>256</v>
      </c>
      <c r="C12" s="5" t="s">
        <v>257</v>
      </c>
      <c r="D12" s="5" t="s">
        <v>258</v>
      </c>
      <c r="E12" s="5" t="s">
        <v>228</v>
      </c>
    </row>
    <row r="13">
      <c r="A13" s="5">
        <v>12.0</v>
      </c>
      <c r="B13" s="5" t="s">
        <v>259</v>
      </c>
      <c r="C13" s="5" t="s">
        <v>260</v>
      </c>
      <c r="D13" s="5" t="s">
        <v>261</v>
      </c>
      <c r="E13" s="5" t="s">
        <v>228</v>
      </c>
    </row>
    <row r="14">
      <c r="A14" s="5">
        <v>13.0</v>
      </c>
      <c r="B14" s="5" t="s">
        <v>262</v>
      </c>
      <c r="C14" s="5" t="s">
        <v>263</v>
      </c>
      <c r="D14" s="5" t="s">
        <v>264</v>
      </c>
      <c r="E14" s="5" t="s">
        <v>228</v>
      </c>
    </row>
    <row r="15">
      <c r="A15" s="5">
        <v>14.0</v>
      </c>
      <c r="B15" s="5" t="s">
        <v>265</v>
      </c>
      <c r="C15" s="5" t="s">
        <v>266</v>
      </c>
      <c r="D15" s="5" t="s">
        <v>267</v>
      </c>
      <c r="E15" s="5" t="s">
        <v>228</v>
      </c>
    </row>
    <row r="16">
      <c r="A16" s="5">
        <v>15.0</v>
      </c>
      <c r="B16" s="5" t="s">
        <v>268</v>
      </c>
      <c r="C16" s="5" t="s">
        <v>269</v>
      </c>
      <c r="D16" s="5" t="s">
        <v>270</v>
      </c>
      <c r="E16" s="5" t="s">
        <v>228</v>
      </c>
    </row>
    <row r="17">
      <c r="A17" s="5">
        <v>16.0</v>
      </c>
      <c r="B17" s="5" t="s">
        <v>271</v>
      </c>
      <c r="C17" s="5" t="s">
        <v>272</v>
      </c>
      <c r="D17" s="5" t="s">
        <v>273</v>
      </c>
      <c r="E17" s="5" t="s">
        <v>228</v>
      </c>
    </row>
    <row r="18">
      <c r="A18" s="5">
        <v>17.0</v>
      </c>
      <c r="B18" s="5" t="s">
        <v>274</v>
      </c>
      <c r="C18" s="5" t="s">
        <v>275</v>
      </c>
      <c r="D18" s="5" t="s">
        <v>276</v>
      </c>
      <c r="E18" s="5" t="s">
        <v>228</v>
      </c>
    </row>
    <row r="19">
      <c r="A19" s="5">
        <v>18.0</v>
      </c>
      <c r="B19" s="5" t="s">
        <v>277</v>
      </c>
      <c r="C19" s="5" t="s">
        <v>278</v>
      </c>
      <c r="D19" s="5" t="s">
        <v>279</v>
      </c>
      <c r="E19" s="5" t="s">
        <v>228</v>
      </c>
    </row>
    <row r="20">
      <c r="A20" s="5">
        <v>19.0</v>
      </c>
      <c r="B20" s="5" t="s">
        <v>280</v>
      </c>
      <c r="C20" s="5" t="s">
        <v>281</v>
      </c>
      <c r="D20" s="5" t="s">
        <v>282</v>
      </c>
      <c r="E20" s="5" t="s">
        <v>228</v>
      </c>
    </row>
    <row r="21">
      <c r="A21" s="5">
        <v>20.0</v>
      </c>
      <c r="B21" s="5" t="s">
        <v>283</v>
      </c>
      <c r="C21" s="5" t="s">
        <v>284</v>
      </c>
      <c r="D21" s="5" t="s">
        <v>285</v>
      </c>
      <c r="E21" s="5" t="s">
        <v>228</v>
      </c>
    </row>
    <row r="22">
      <c r="A22" s="5">
        <v>21.0</v>
      </c>
      <c r="B22" s="5" t="s">
        <v>286</v>
      </c>
      <c r="C22" s="5" t="s">
        <v>287</v>
      </c>
      <c r="D22" s="5" t="s">
        <v>288</v>
      </c>
      <c r="E22" s="5" t="s">
        <v>228</v>
      </c>
    </row>
    <row r="23">
      <c r="A23" s="5">
        <v>22.0</v>
      </c>
      <c r="B23" s="5" t="s">
        <v>289</v>
      </c>
      <c r="C23" s="5" t="s">
        <v>290</v>
      </c>
      <c r="D23" s="5" t="s">
        <v>291</v>
      </c>
      <c r="E23" s="5" t="s">
        <v>228</v>
      </c>
    </row>
    <row r="24">
      <c r="A24" s="5">
        <v>23.0</v>
      </c>
      <c r="B24" s="5" t="s">
        <v>292</v>
      </c>
      <c r="C24" s="5" t="s">
        <v>293</v>
      </c>
      <c r="D24" s="5" t="s">
        <v>294</v>
      </c>
      <c r="E24" s="5" t="s">
        <v>228</v>
      </c>
    </row>
    <row r="25">
      <c r="A25" s="5">
        <v>24.0</v>
      </c>
      <c r="B25" s="5" t="s">
        <v>295</v>
      </c>
      <c r="C25" s="5" t="s">
        <v>296</v>
      </c>
      <c r="D25" s="5" t="s">
        <v>297</v>
      </c>
      <c r="E25" s="5" t="s">
        <v>228</v>
      </c>
    </row>
    <row r="26">
      <c r="A26" s="5">
        <v>25.0</v>
      </c>
      <c r="B26" s="5" t="s">
        <v>298</v>
      </c>
      <c r="C26" s="5" t="s">
        <v>299</v>
      </c>
      <c r="D26" s="5" t="s">
        <v>300</v>
      </c>
      <c r="E26" s="5" t="s">
        <v>228</v>
      </c>
    </row>
    <row r="27">
      <c r="A27" s="5">
        <v>26.0</v>
      </c>
      <c r="B27" s="5" t="s">
        <v>301</v>
      </c>
      <c r="C27" s="5" t="s">
        <v>302</v>
      </c>
      <c r="D27" s="5" t="s">
        <v>303</v>
      </c>
      <c r="E27" s="5" t="s">
        <v>228</v>
      </c>
    </row>
    <row r="28">
      <c r="A28" s="5">
        <v>27.0</v>
      </c>
      <c r="B28" s="5" t="s">
        <v>304</v>
      </c>
      <c r="C28" s="5" t="s">
        <v>305</v>
      </c>
      <c r="D28" s="5" t="s">
        <v>306</v>
      </c>
      <c r="E28" s="5" t="s">
        <v>228</v>
      </c>
    </row>
    <row r="29">
      <c r="A29" s="5">
        <v>28.0</v>
      </c>
      <c r="B29" s="5" t="s">
        <v>307</v>
      </c>
      <c r="C29" s="5" t="s">
        <v>308</v>
      </c>
      <c r="D29" s="5" t="s">
        <v>309</v>
      </c>
      <c r="E29" s="5" t="s">
        <v>228</v>
      </c>
    </row>
    <row r="30">
      <c r="A30" s="5">
        <v>29.0</v>
      </c>
      <c r="B30" s="5" t="s">
        <v>310</v>
      </c>
      <c r="C30" s="5" t="s">
        <v>311</v>
      </c>
      <c r="D30" s="5" t="s">
        <v>312</v>
      </c>
      <c r="E30" s="5" t="s">
        <v>228</v>
      </c>
    </row>
    <row r="31">
      <c r="A31" s="5">
        <v>30.0</v>
      </c>
      <c r="B31" s="5" t="s">
        <v>313</v>
      </c>
      <c r="C31" s="5" t="s">
        <v>314</v>
      </c>
      <c r="D31" s="5" t="s">
        <v>315</v>
      </c>
      <c r="E31" s="5" t="s">
        <v>228</v>
      </c>
    </row>
    <row r="32">
      <c r="A32" s="5">
        <v>31.0</v>
      </c>
      <c r="B32" s="5" t="s">
        <v>316</v>
      </c>
      <c r="C32" s="5" t="s">
        <v>317</v>
      </c>
      <c r="D32" s="5" t="s">
        <v>318</v>
      </c>
      <c r="E32" s="5" t="s">
        <v>228</v>
      </c>
    </row>
    <row r="33">
      <c r="A33" s="5">
        <v>32.0</v>
      </c>
      <c r="B33" s="5" t="s">
        <v>319</v>
      </c>
      <c r="C33" s="5" t="s">
        <v>320</v>
      </c>
      <c r="D33" s="5" t="s">
        <v>321</v>
      </c>
      <c r="E33" s="5" t="s">
        <v>228</v>
      </c>
    </row>
    <row r="34">
      <c r="A34" s="5">
        <v>33.0</v>
      </c>
      <c r="B34" s="5" t="s">
        <v>322</v>
      </c>
      <c r="C34" s="5" t="s">
        <v>323</v>
      </c>
      <c r="D34" s="5" t="s">
        <v>324</v>
      </c>
      <c r="E34" s="5" t="s">
        <v>228</v>
      </c>
    </row>
    <row r="35">
      <c r="A35" s="5">
        <v>34.0</v>
      </c>
      <c r="B35" s="5" t="s">
        <v>325</v>
      </c>
      <c r="C35" s="5" t="s">
        <v>326</v>
      </c>
      <c r="D35" s="5" t="s">
        <v>327</v>
      </c>
      <c r="E35" s="5" t="s">
        <v>228</v>
      </c>
    </row>
    <row r="36">
      <c r="A36" s="5">
        <v>35.0</v>
      </c>
      <c r="B36" s="5" t="s">
        <v>328</v>
      </c>
      <c r="C36" s="5" t="s">
        <v>329</v>
      </c>
      <c r="D36" s="5" t="s">
        <v>330</v>
      </c>
      <c r="E36" s="5" t="s">
        <v>228</v>
      </c>
    </row>
    <row r="37">
      <c r="A37" s="5">
        <v>36.0</v>
      </c>
      <c r="B37" s="5" t="s">
        <v>331</v>
      </c>
      <c r="C37" s="5" t="s">
        <v>332</v>
      </c>
      <c r="D37" s="5" t="s">
        <v>333</v>
      </c>
      <c r="E37" s="5" t="s">
        <v>228</v>
      </c>
    </row>
    <row r="38">
      <c r="A38" s="5">
        <v>37.0</v>
      </c>
      <c r="B38" s="5" t="s">
        <v>334</v>
      </c>
      <c r="C38" s="5" t="s">
        <v>335</v>
      </c>
      <c r="D38" s="5" t="s">
        <v>336</v>
      </c>
      <c r="E38" s="5" t="s">
        <v>228</v>
      </c>
    </row>
    <row r="39">
      <c r="A39" s="5">
        <v>38.0</v>
      </c>
      <c r="B39" s="5" t="s">
        <v>337</v>
      </c>
      <c r="C39" s="5" t="s">
        <v>338</v>
      </c>
      <c r="D39" s="5" t="s">
        <v>339</v>
      </c>
      <c r="E39" s="5" t="s">
        <v>228</v>
      </c>
    </row>
    <row r="40">
      <c r="A40" s="5">
        <v>39.0</v>
      </c>
      <c r="B40" s="5" t="s">
        <v>340</v>
      </c>
      <c r="C40" s="5" t="s">
        <v>341</v>
      </c>
      <c r="D40" s="5" t="s">
        <v>342</v>
      </c>
      <c r="E40" s="5" t="s">
        <v>228</v>
      </c>
    </row>
    <row r="41">
      <c r="A41" s="5">
        <v>40.0</v>
      </c>
      <c r="B41" s="5" t="s">
        <v>343</v>
      </c>
      <c r="C41" s="5" t="s">
        <v>344</v>
      </c>
      <c r="D41" s="5" t="s">
        <v>345</v>
      </c>
      <c r="E41" s="5" t="s">
        <v>228</v>
      </c>
    </row>
    <row r="42">
      <c r="A42" s="5">
        <v>41.0</v>
      </c>
      <c r="B42" s="5" t="s">
        <v>346</v>
      </c>
      <c r="C42" s="5" t="s">
        <v>347</v>
      </c>
      <c r="D42" s="5" t="s">
        <v>348</v>
      </c>
      <c r="E42" s="5" t="s">
        <v>228</v>
      </c>
    </row>
    <row r="43">
      <c r="A43" s="5">
        <v>42.0</v>
      </c>
      <c r="B43" s="5" t="s">
        <v>349</v>
      </c>
      <c r="C43" s="5" t="s">
        <v>350</v>
      </c>
      <c r="D43" s="5" t="s">
        <v>351</v>
      </c>
      <c r="E43" s="5" t="s">
        <v>228</v>
      </c>
    </row>
    <row r="44">
      <c r="A44" s="5">
        <v>43.0</v>
      </c>
      <c r="B44" s="5" t="s">
        <v>352</v>
      </c>
      <c r="C44" s="5" t="s">
        <v>353</v>
      </c>
      <c r="D44" s="5" t="s">
        <v>354</v>
      </c>
      <c r="E44" s="5" t="s">
        <v>228</v>
      </c>
    </row>
    <row r="45">
      <c r="A45" s="5">
        <v>44.0</v>
      </c>
      <c r="B45" s="5" t="s">
        <v>355</v>
      </c>
      <c r="C45" s="5" t="s">
        <v>356</v>
      </c>
      <c r="D45" s="5" t="s">
        <v>357</v>
      </c>
      <c r="E45" s="5" t="s">
        <v>228</v>
      </c>
    </row>
    <row r="46">
      <c r="A46" s="5">
        <v>45.0</v>
      </c>
      <c r="B46" s="5" t="s">
        <v>358</v>
      </c>
      <c r="C46" s="5" t="s">
        <v>359</v>
      </c>
      <c r="D46" s="5" t="s">
        <v>360</v>
      </c>
      <c r="E46" s="5" t="s">
        <v>228</v>
      </c>
    </row>
    <row r="47">
      <c r="A47" s="5">
        <v>46.0</v>
      </c>
      <c r="B47" s="5" t="s">
        <v>361</v>
      </c>
      <c r="C47" s="5" t="s">
        <v>362</v>
      </c>
      <c r="D47" s="5" t="s">
        <v>363</v>
      </c>
      <c r="E47" s="5" t="s">
        <v>364</v>
      </c>
    </row>
    <row r="48">
      <c r="A48" s="5">
        <v>47.0</v>
      </c>
      <c r="B48" s="5" t="s">
        <v>365</v>
      </c>
      <c r="C48" s="5" t="s">
        <v>366</v>
      </c>
      <c r="D48" s="5" t="s">
        <v>367</v>
      </c>
      <c r="E48" s="5" t="s">
        <v>364</v>
      </c>
    </row>
    <row r="49">
      <c r="A49" s="5">
        <v>48.0</v>
      </c>
      <c r="B49" s="5" t="s">
        <v>368</v>
      </c>
      <c r="C49" s="5" t="s">
        <v>369</v>
      </c>
      <c r="D49" s="5" t="s">
        <v>370</v>
      </c>
      <c r="E49" s="5" t="s">
        <v>364</v>
      </c>
    </row>
    <row r="50">
      <c r="A50" s="5">
        <v>49.0</v>
      </c>
      <c r="B50" s="5" t="s">
        <v>371</v>
      </c>
      <c r="C50" s="5" t="s">
        <v>372</v>
      </c>
      <c r="D50" s="5" t="s">
        <v>373</v>
      </c>
      <c r="E50" s="5" t="s">
        <v>364</v>
      </c>
    </row>
    <row r="51">
      <c r="A51" s="5">
        <v>50.0</v>
      </c>
      <c r="B51" s="5" t="s">
        <v>374</v>
      </c>
      <c r="C51" s="5" t="s">
        <v>375</v>
      </c>
      <c r="D51" s="5" t="s">
        <v>376</v>
      </c>
      <c r="E51" s="5" t="s">
        <v>364</v>
      </c>
    </row>
    <row r="52">
      <c r="A52" s="5">
        <v>51.0</v>
      </c>
      <c r="B52" s="5" t="s">
        <v>377</v>
      </c>
      <c r="C52" s="5" t="s">
        <v>378</v>
      </c>
      <c r="D52" s="5" t="s">
        <v>379</v>
      </c>
      <c r="E52" s="5" t="s">
        <v>364</v>
      </c>
    </row>
    <row r="53">
      <c r="A53" s="5">
        <v>52.0</v>
      </c>
      <c r="B53" s="5" t="s">
        <v>380</v>
      </c>
      <c r="C53" s="5" t="s">
        <v>381</v>
      </c>
      <c r="D53" s="5" t="s">
        <v>382</v>
      </c>
      <c r="E53" s="5" t="s">
        <v>364</v>
      </c>
    </row>
    <row r="54">
      <c r="A54" s="5">
        <v>53.0</v>
      </c>
      <c r="B54" s="5" t="s">
        <v>383</v>
      </c>
      <c r="C54" s="5" t="s">
        <v>384</v>
      </c>
      <c r="D54" s="5" t="s">
        <v>385</v>
      </c>
      <c r="E54" s="5" t="s">
        <v>364</v>
      </c>
    </row>
    <row r="55">
      <c r="A55" s="5">
        <v>54.0</v>
      </c>
      <c r="B55" s="5" t="s">
        <v>386</v>
      </c>
      <c r="C55" s="5" t="s">
        <v>387</v>
      </c>
      <c r="D55" s="5" t="s">
        <v>388</v>
      </c>
      <c r="E55" s="5" t="s">
        <v>364</v>
      </c>
    </row>
    <row r="56">
      <c r="A56" s="5">
        <v>55.0</v>
      </c>
      <c r="B56" s="5" t="s">
        <v>389</v>
      </c>
      <c r="C56" s="5" t="s">
        <v>390</v>
      </c>
      <c r="D56" s="5" t="s">
        <v>391</v>
      </c>
      <c r="E56" s="5" t="s">
        <v>364</v>
      </c>
    </row>
    <row r="57">
      <c r="A57" s="5">
        <v>56.0</v>
      </c>
      <c r="B57" s="5" t="s">
        <v>72</v>
      </c>
      <c r="C57" s="5" t="s">
        <v>392</v>
      </c>
      <c r="D57" s="5" t="s">
        <v>393</v>
      </c>
      <c r="E57" s="5" t="s">
        <v>364</v>
      </c>
    </row>
    <row r="58">
      <c r="A58" s="5">
        <v>57.0</v>
      </c>
      <c r="B58" s="5" t="s">
        <v>36</v>
      </c>
      <c r="C58" s="5" t="s">
        <v>394</v>
      </c>
      <c r="D58" s="5" t="s">
        <v>395</v>
      </c>
      <c r="E58" s="5" t="s">
        <v>364</v>
      </c>
    </row>
    <row r="59">
      <c r="A59" s="5">
        <v>58.0</v>
      </c>
      <c r="B59" s="5" t="s">
        <v>396</v>
      </c>
      <c r="C59" s="5" t="s">
        <v>397</v>
      </c>
      <c r="D59" s="5" t="s">
        <v>398</v>
      </c>
      <c r="E59" s="5" t="s">
        <v>364</v>
      </c>
    </row>
    <row r="60">
      <c r="A60" s="5">
        <v>59.0</v>
      </c>
      <c r="B60" s="5" t="s">
        <v>399</v>
      </c>
      <c r="C60" s="5" t="s">
        <v>400</v>
      </c>
      <c r="D60" s="5" t="s">
        <v>401</v>
      </c>
      <c r="E60" s="5" t="s">
        <v>364</v>
      </c>
    </row>
    <row r="61">
      <c r="A61" s="5">
        <v>60.0</v>
      </c>
      <c r="B61" s="5" t="s">
        <v>402</v>
      </c>
      <c r="C61" s="5" t="s">
        <v>403</v>
      </c>
      <c r="D61" s="5" t="s">
        <v>404</v>
      </c>
      <c r="E61" s="5" t="s">
        <v>364</v>
      </c>
    </row>
    <row r="62">
      <c r="A62" s="5">
        <v>61.0</v>
      </c>
      <c r="B62" s="5" t="s">
        <v>405</v>
      </c>
      <c r="C62" s="5" t="s">
        <v>406</v>
      </c>
      <c r="D62" s="5" t="s">
        <v>407</v>
      </c>
      <c r="E62" s="5" t="s">
        <v>364</v>
      </c>
    </row>
    <row r="63">
      <c r="A63" s="5">
        <v>62.0</v>
      </c>
      <c r="B63" s="5" t="s">
        <v>408</v>
      </c>
      <c r="C63" s="5" t="s">
        <v>409</v>
      </c>
      <c r="D63" s="5" t="s">
        <v>410</v>
      </c>
      <c r="E63" s="5" t="s">
        <v>364</v>
      </c>
    </row>
    <row r="64">
      <c r="A64" s="5">
        <v>63.0</v>
      </c>
      <c r="B64" s="5" t="s">
        <v>411</v>
      </c>
      <c r="C64" s="5" t="s">
        <v>412</v>
      </c>
      <c r="D64" s="5" t="s">
        <v>413</v>
      </c>
      <c r="E64" s="5" t="s">
        <v>364</v>
      </c>
    </row>
    <row r="65">
      <c r="A65" s="5">
        <v>64.0</v>
      </c>
      <c r="B65" s="5" t="s">
        <v>414</v>
      </c>
      <c r="C65" s="5" t="s">
        <v>415</v>
      </c>
      <c r="D65" s="5" t="s">
        <v>416</v>
      </c>
      <c r="E65" s="5" t="s">
        <v>364</v>
      </c>
    </row>
    <row r="66">
      <c r="A66" s="5">
        <v>65.0</v>
      </c>
      <c r="B66" s="5" t="s">
        <v>417</v>
      </c>
      <c r="C66" s="5" t="s">
        <v>418</v>
      </c>
      <c r="D66" s="5" t="s">
        <v>419</v>
      </c>
      <c r="E66" s="5" t="s">
        <v>364</v>
      </c>
    </row>
    <row r="67">
      <c r="A67" s="5">
        <v>66.0</v>
      </c>
      <c r="B67" s="5" t="s">
        <v>420</v>
      </c>
      <c r="C67" s="5" t="s">
        <v>421</v>
      </c>
      <c r="D67" s="5" t="s">
        <v>422</v>
      </c>
      <c r="E67" s="5" t="s">
        <v>364</v>
      </c>
    </row>
    <row r="68">
      <c r="A68" s="5">
        <v>67.0</v>
      </c>
      <c r="B68" s="5" t="s">
        <v>423</v>
      </c>
      <c r="C68" s="5" t="s">
        <v>424</v>
      </c>
      <c r="D68" s="5" t="s">
        <v>425</v>
      </c>
      <c r="E68" s="5" t="s">
        <v>364</v>
      </c>
    </row>
    <row r="69">
      <c r="A69" s="5">
        <v>68.0</v>
      </c>
      <c r="B69" s="5" t="s">
        <v>426</v>
      </c>
      <c r="C69" s="5" t="s">
        <v>427</v>
      </c>
      <c r="D69" s="5" t="s">
        <v>428</v>
      </c>
      <c r="E69" s="5" t="s">
        <v>364</v>
      </c>
    </row>
    <row r="70">
      <c r="A70" s="5">
        <v>69.0</v>
      </c>
      <c r="B70" s="5" t="s">
        <v>429</v>
      </c>
      <c r="C70" s="5" t="s">
        <v>430</v>
      </c>
      <c r="D70" s="5" t="s">
        <v>431</v>
      </c>
      <c r="E70" s="5" t="s">
        <v>364</v>
      </c>
    </row>
    <row r="71">
      <c r="A71" s="5">
        <v>70.0</v>
      </c>
      <c r="B71" s="5" t="s">
        <v>432</v>
      </c>
      <c r="C71" s="5" t="s">
        <v>433</v>
      </c>
      <c r="D71" s="5" t="s">
        <v>434</v>
      </c>
      <c r="E71" s="5" t="s">
        <v>364</v>
      </c>
    </row>
    <row r="72">
      <c r="A72" s="5">
        <v>71.0</v>
      </c>
      <c r="B72" s="5" t="s">
        <v>435</v>
      </c>
      <c r="C72" s="5" t="s">
        <v>436</v>
      </c>
      <c r="D72" s="5" t="s">
        <v>437</v>
      </c>
      <c r="E72" s="5" t="s">
        <v>438</v>
      </c>
    </row>
    <row r="73">
      <c r="A73" s="5">
        <v>72.0</v>
      </c>
      <c r="B73" s="5" t="s">
        <v>439</v>
      </c>
      <c r="C73" s="5" t="s">
        <v>440</v>
      </c>
      <c r="D73" s="5" t="s">
        <v>441</v>
      </c>
      <c r="E73" s="5" t="s">
        <v>438</v>
      </c>
    </row>
    <row r="74">
      <c r="A74" s="5">
        <v>73.0</v>
      </c>
      <c r="B74" s="5" t="s">
        <v>442</v>
      </c>
      <c r="C74" s="5" t="s">
        <v>443</v>
      </c>
      <c r="D74" s="5" t="s">
        <v>444</v>
      </c>
      <c r="E74" s="5" t="s">
        <v>438</v>
      </c>
    </row>
    <row r="75">
      <c r="A75" s="5">
        <v>74.0</v>
      </c>
      <c r="B75" s="5" t="s">
        <v>445</v>
      </c>
      <c r="C75" s="5" t="s">
        <v>446</v>
      </c>
      <c r="D75" s="5" t="s">
        <v>447</v>
      </c>
      <c r="E75" s="5" t="s">
        <v>438</v>
      </c>
    </row>
    <row r="76">
      <c r="A76" s="5">
        <v>75.0</v>
      </c>
      <c r="B76" s="5" t="s">
        <v>448</v>
      </c>
      <c r="C76" s="5" t="s">
        <v>449</v>
      </c>
      <c r="D76" s="5" t="s">
        <v>450</v>
      </c>
      <c r="E76" s="5" t="s">
        <v>451</v>
      </c>
    </row>
    <row r="77">
      <c r="A77" s="5">
        <v>76.0</v>
      </c>
      <c r="B77" s="5" t="s">
        <v>452</v>
      </c>
      <c r="C77" s="5" t="s">
        <v>453</v>
      </c>
      <c r="D77" s="5" t="s">
        <v>454</v>
      </c>
      <c r="E77" s="5" t="s">
        <v>451</v>
      </c>
    </row>
    <row r="78">
      <c r="A78" s="5">
        <v>77.0</v>
      </c>
      <c r="B78" s="5" t="s">
        <v>455</v>
      </c>
      <c r="C78" s="5" t="s">
        <v>456</v>
      </c>
      <c r="D78" s="5" t="s">
        <v>457</v>
      </c>
      <c r="E78" s="5" t="s">
        <v>451</v>
      </c>
    </row>
    <row r="79">
      <c r="A79" s="5">
        <v>78.0</v>
      </c>
      <c r="B79" s="5" t="s">
        <v>458</v>
      </c>
      <c r="C79" s="5" t="s">
        <v>459</v>
      </c>
      <c r="D79" s="5" t="s">
        <v>460</v>
      </c>
      <c r="E79" s="5" t="s">
        <v>451</v>
      </c>
    </row>
    <row r="80">
      <c r="A80" s="5">
        <v>79.0</v>
      </c>
      <c r="B80" s="5" t="s">
        <v>461</v>
      </c>
      <c r="C80" s="5" t="s">
        <v>462</v>
      </c>
      <c r="D80" s="5" t="s">
        <v>463</v>
      </c>
      <c r="E80" s="5" t="s">
        <v>451</v>
      </c>
    </row>
    <row r="81">
      <c r="A81" s="5">
        <v>80.0</v>
      </c>
      <c r="B81" s="5" t="s">
        <v>464</v>
      </c>
      <c r="C81" s="5" t="s">
        <v>465</v>
      </c>
      <c r="D81" s="5" t="s">
        <v>466</v>
      </c>
      <c r="E81" s="5" t="s">
        <v>451</v>
      </c>
    </row>
    <row r="82">
      <c r="A82" s="5">
        <v>81.0</v>
      </c>
      <c r="B82" s="5" t="s">
        <v>467</v>
      </c>
      <c r="C82" s="5" t="s">
        <v>468</v>
      </c>
      <c r="D82" s="5" t="s">
        <v>469</v>
      </c>
      <c r="E82" s="5" t="s">
        <v>451</v>
      </c>
    </row>
    <row r="83">
      <c r="A83" s="5">
        <v>82.0</v>
      </c>
      <c r="B83" s="5" t="s">
        <v>470</v>
      </c>
      <c r="C83" s="5" t="s">
        <v>471</v>
      </c>
      <c r="D83" s="5" t="s">
        <v>472</v>
      </c>
      <c r="E83" s="5" t="s">
        <v>451</v>
      </c>
    </row>
    <row r="84">
      <c r="A84" s="5">
        <v>83.0</v>
      </c>
      <c r="B84" s="5" t="s">
        <v>473</v>
      </c>
      <c r="C84" s="5" t="s">
        <v>474</v>
      </c>
      <c r="D84" s="5" t="s">
        <v>475</v>
      </c>
      <c r="E84" s="5" t="s">
        <v>451</v>
      </c>
    </row>
    <row r="85">
      <c r="A85" s="5">
        <v>84.0</v>
      </c>
      <c r="B85" s="5" t="s">
        <v>476</v>
      </c>
      <c r="C85" s="5" t="s">
        <v>477</v>
      </c>
      <c r="D85" s="5" t="s">
        <v>478</v>
      </c>
      <c r="E85" s="5" t="s">
        <v>451</v>
      </c>
    </row>
    <row r="86">
      <c r="A86" s="5">
        <v>85.0</v>
      </c>
      <c r="B86" s="5" t="s">
        <v>479</v>
      </c>
      <c r="C86" s="5" t="s">
        <v>480</v>
      </c>
      <c r="D86" s="5" t="s">
        <v>481</v>
      </c>
      <c r="E86" s="5" t="s">
        <v>451</v>
      </c>
    </row>
    <row r="87">
      <c r="A87" s="5">
        <v>86.0</v>
      </c>
      <c r="B87" s="5" t="s">
        <v>482</v>
      </c>
      <c r="C87" s="5" t="s">
        <v>483</v>
      </c>
      <c r="D87" s="5" t="s">
        <v>484</v>
      </c>
      <c r="E87" s="5" t="s">
        <v>451</v>
      </c>
    </row>
    <row r="88">
      <c r="A88" s="5">
        <v>87.0</v>
      </c>
      <c r="B88" s="5" t="s">
        <v>485</v>
      </c>
      <c r="C88" s="5" t="s">
        <v>486</v>
      </c>
      <c r="D88" s="5" t="s">
        <v>487</v>
      </c>
      <c r="E88" s="5" t="s">
        <v>451</v>
      </c>
    </row>
    <row r="89">
      <c r="A89" s="5">
        <v>88.0</v>
      </c>
      <c r="B89" s="5" t="s">
        <v>488</v>
      </c>
      <c r="C89" s="5" t="s">
        <v>489</v>
      </c>
      <c r="D89" s="5" t="s">
        <v>490</v>
      </c>
      <c r="E89" s="5" t="s">
        <v>451</v>
      </c>
    </row>
    <row r="90">
      <c r="A90" s="5">
        <v>89.0</v>
      </c>
      <c r="B90" s="5" t="s">
        <v>491</v>
      </c>
      <c r="C90" s="5" t="s">
        <v>492</v>
      </c>
      <c r="D90" s="5" t="s">
        <v>493</v>
      </c>
      <c r="E90" s="5" t="s">
        <v>451</v>
      </c>
    </row>
    <row r="91">
      <c r="A91" s="5">
        <v>90.0</v>
      </c>
      <c r="B91" s="5" t="s">
        <v>494</v>
      </c>
      <c r="C91" s="5" t="s">
        <v>495</v>
      </c>
      <c r="D91" s="5" t="s">
        <v>496</v>
      </c>
      <c r="E91" s="5" t="s">
        <v>451</v>
      </c>
    </row>
    <row r="92">
      <c r="A92" s="5">
        <v>91.0</v>
      </c>
      <c r="B92" s="5" t="s">
        <v>497</v>
      </c>
      <c r="C92" s="5" t="s">
        <v>498</v>
      </c>
      <c r="D92" s="5" t="s">
        <v>499</v>
      </c>
      <c r="E92" s="5" t="s">
        <v>451</v>
      </c>
    </row>
    <row r="93">
      <c r="A93" s="5">
        <v>92.0</v>
      </c>
      <c r="B93" s="5" t="s">
        <v>500</v>
      </c>
      <c r="C93" s="5" t="s">
        <v>501</v>
      </c>
      <c r="D93" s="5" t="s">
        <v>502</v>
      </c>
      <c r="E93" s="5" t="s">
        <v>451</v>
      </c>
    </row>
    <row r="94">
      <c r="A94" s="5">
        <v>93.0</v>
      </c>
      <c r="B94" s="5" t="s">
        <v>503</v>
      </c>
      <c r="C94" s="5" t="s">
        <v>504</v>
      </c>
      <c r="D94" s="5" t="s">
        <v>505</v>
      </c>
      <c r="E94" s="5" t="s">
        <v>451</v>
      </c>
    </row>
    <row r="95">
      <c r="A95" s="5">
        <v>94.0</v>
      </c>
      <c r="B95" s="5" t="s">
        <v>506</v>
      </c>
      <c r="C95" s="5" t="s">
        <v>507</v>
      </c>
      <c r="D95" s="5" t="s">
        <v>508</v>
      </c>
      <c r="E95" s="5" t="s">
        <v>451</v>
      </c>
    </row>
    <row r="96">
      <c r="A96" s="5">
        <v>95.0</v>
      </c>
      <c r="B96" s="5" t="s">
        <v>509</v>
      </c>
      <c r="C96" s="5" t="s">
        <v>510</v>
      </c>
      <c r="D96" s="5" t="s">
        <v>511</v>
      </c>
      <c r="E96" s="5" t="s">
        <v>451</v>
      </c>
    </row>
    <row r="97">
      <c r="A97" s="5">
        <v>96.0</v>
      </c>
      <c r="B97" s="5" t="s">
        <v>512</v>
      </c>
      <c r="C97" s="5" t="s">
        <v>513</v>
      </c>
      <c r="D97" s="5" t="s">
        <v>514</v>
      </c>
      <c r="E97" s="5" t="s">
        <v>451</v>
      </c>
    </row>
    <row r="98">
      <c r="A98" s="5">
        <v>97.0</v>
      </c>
      <c r="B98" s="5" t="s">
        <v>515</v>
      </c>
      <c r="C98" s="5" t="s">
        <v>516</v>
      </c>
      <c r="D98" s="5" t="s">
        <v>517</v>
      </c>
      <c r="E98" s="5" t="s">
        <v>451</v>
      </c>
    </row>
    <row r="99">
      <c r="A99" s="5">
        <v>98.0</v>
      </c>
      <c r="B99" s="5" t="s">
        <v>518</v>
      </c>
      <c r="C99" s="5" t="s">
        <v>519</v>
      </c>
      <c r="D99" s="5" t="s">
        <v>520</v>
      </c>
      <c r="E99" s="5" t="s">
        <v>451</v>
      </c>
    </row>
    <row r="100">
      <c r="A100" s="5">
        <v>99.0</v>
      </c>
      <c r="B100" s="5" t="s">
        <v>521</v>
      </c>
      <c r="C100" s="5" t="s">
        <v>522</v>
      </c>
      <c r="D100" s="5" t="s">
        <v>523</v>
      </c>
      <c r="E100" s="5" t="s">
        <v>451</v>
      </c>
    </row>
    <row r="101">
      <c r="A101" s="5">
        <v>100.0</v>
      </c>
      <c r="B101" s="5" t="s">
        <v>524</v>
      </c>
      <c r="C101" s="5" t="s">
        <v>525</v>
      </c>
      <c r="D101" s="5" t="s">
        <v>526</v>
      </c>
      <c r="E101" s="5" t="s">
        <v>451</v>
      </c>
    </row>
    <row r="102">
      <c r="A102" s="5">
        <v>101.0</v>
      </c>
      <c r="B102" s="5" t="s">
        <v>527</v>
      </c>
      <c r="C102" s="5" t="s">
        <v>528</v>
      </c>
      <c r="D102" s="5" t="s">
        <v>529</v>
      </c>
      <c r="E102" s="5" t="s">
        <v>451</v>
      </c>
    </row>
    <row r="103">
      <c r="A103" s="5">
        <v>102.0</v>
      </c>
      <c r="B103" s="5" t="s">
        <v>530</v>
      </c>
      <c r="C103" s="5" t="s">
        <v>531</v>
      </c>
      <c r="D103" s="5" t="s">
        <v>532</v>
      </c>
      <c r="E103" s="5" t="s">
        <v>451</v>
      </c>
    </row>
    <row r="104">
      <c r="A104" s="5">
        <v>103.0</v>
      </c>
      <c r="B104" s="5" t="s">
        <v>533</v>
      </c>
      <c r="C104" s="5" t="s">
        <v>534</v>
      </c>
      <c r="D104" s="5" t="s">
        <v>535</v>
      </c>
      <c r="E104" s="5" t="s">
        <v>451</v>
      </c>
    </row>
    <row r="105">
      <c r="A105" s="5">
        <v>104.0</v>
      </c>
      <c r="B105" s="5" t="s">
        <v>536</v>
      </c>
      <c r="C105" s="5" t="s">
        <v>537</v>
      </c>
      <c r="D105" s="5" t="s">
        <v>538</v>
      </c>
      <c r="E105" s="5" t="s">
        <v>451</v>
      </c>
    </row>
    <row r="106">
      <c r="A106" s="5">
        <v>105.0</v>
      </c>
      <c r="B106" s="5" t="s">
        <v>539</v>
      </c>
      <c r="C106" s="5" t="s">
        <v>540</v>
      </c>
      <c r="D106" s="5" t="s">
        <v>541</v>
      </c>
      <c r="E106" s="5" t="s">
        <v>451</v>
      </c>
    </row>
    <row r="107">
      <c r="A107" s="5">
        <v>106.0</v>
      </c>
      <c r="B107" s="5" t="s">
        <v>542</v>
      </c>
      <c r="C107" s="5" t="s">
        <v>543</v>
      </c>
      <c r="D107" s="5" t="s">
        <v>544</v>
      </c>
      <c r="E107" s="5" t="s">
        <v>451</v>
      </c>
    </row>
    <row r="108">
      <c r="A108" s="5">
        <v>107.0</v>
      </c>
      <c r="B108" s="5" t="s">
        <v>545</v>
      </c>
      <c r="C108" s="5" t="s">
        <v>546</v>
      </c>
      <c r="D108" s="5" t="s">
        <v>547</v>
      </c>
      <c r="E108" s="5" t="s">
        <v>451</v>
      </c>
    </row>
    <row r="109">
      <c r="A109" s="5">
        <v>108.0</v>
      </c>
      <c r="B109" s="5" t="s">
        <v>548</v>
      </c>
      <c r="C109" s="5" t="s">
        <v>549</v>
      </c>
      <c r="D109" s="5" t="s">
        <v>550</v>
      </c>
      <c r="E109" s="5" t="s">
        <v>451</v>
      </c>
    </row>
    <row r="110">
      <c r="A110" s="5">
        <v>109.0</v>
      </c>
      <c r="B110" s="5" t="s">
        <v>551</v>
      </c>
      <c r="C110" s="5" t="s">
        <v>552</v>
      </c>
      <c r="D110" s="5" t="s">
        <v>553</v>
      </c>
      <c r="E110" s="5" t="s">
        <v>364</v>
      </c>
    </row>
    <row r="111">
      <c r="A111" s="5">
        <v>110.0</v>
      </c>
      <c r="B111" s="5" t="s">
        <v>554</v>
      </c>
      <c r="C111" s="5" t="s">
        <v>555</v>
      </c>
      <c r="D111" s="5" t="s">
        <v>556</v>
      </c>
      <c r="E111" s="5" t="s">
        <v>364</v>
      </c>
    </row>
    <row r="112">
      <c r="A112" s="5">
        <v>111.0</v>
      </c>
      <c r="B112" s="5" t="s">
        <v>557</v>
      </c>
      <c r="C112" s="5" t="s">
        <v>558</v>
      </c>
      <c r="D112" s="5" t="s">
        <v>559</v>
      </c>
      <c r="E112" s="5" t="s">
        <v>364</v>
      </c>
    </row>
    <row r="113">
      <c r="A113" s="5">
        <v>112.0</v>
      </c>
      <c r="B113" s="5" t="s">
        <v>560</v>
      </c>
      <c r="C113" s="5" t="s">
        <v>561</v>
      </c>
      <c r="D113" s="5" t="s">
        <v>562</v>
      </c>
      <c r="E113" s="5" t="s">
        <v>364</v>
      </c>
    </row>
    <row r="114">
      <c r="A114" s="5">
        <v>113.0</v>
      </c>
      <c r="B114" s="5" t="s">
        <v>563</v>
      </c>
      <c r="C114" s="5" t="s">
        <v>564</v>
      </c>
      <c r="D114" s="5" t="s">
        <v>565</v>
      </c>
      <c r="E114" s="5" t="s">
        <v>364</v>
      </c>
    </row>
    <row r="115">
      <c r="A115" s="5">
        <v>114.0</v>
      </c>
      <c r="B115" s="5" t="s">
        <v>566</v>
      </c>
      <c r="C115" s="5" t="s">
        <v>567</v>
      </c>
      <c r="D115" s="5" t="s">
        <v>568</v>
      </c>
      <c r="E115" s="5" t="s">
        <v>364</v>
      </c>
    </row>
    <row r="116">
      <c r="A116" s="5">
        <v>115.0</v>
      </c>
      <c r="B116" s="5" t="s">
        <v>569</v>
      </c>
      <c r="C116" s="5" t="s">
        <v>570</v>
      </c>
      <c r="D116" s="5" t="s">
        <v>571</v>
      </c>
      <c r="E116" s="5" t="s">
        <v>364</v>
      </c>
    </row>
    <row r="117">
      <c r="A117" s="5">
        <v>116.0</v>
      </c>
      <c r="B117" s="5" t="s">
        <v>572</v>
      </c>
      <c r="C117" s="5" t="s">
        <v>573</v>
      </c>
      <c r="D117" s="5" t="s">
        <v>574</v>
      </c>
      <c r="E117" s="5" t="s">
        <v>364</v>
      </c>
    </row>
    <row r="118">
      <c r="A118" s="5">
        <v>117.0</v>
      </c>
      <c r="B118" s="5" t="s">
        <v>575</v>
      </c>
      <c r="C118" s="5" t="s">
        <v>576</v>
      </c>
      <c r="D118" s="5" t="s">
        <v>577</v>
      </c>
      <c r="E118" s="5" t="s">
        <v>364</v>
      </c>
    </row>
    <row r="119">
      <c r="A119" s="5">
        <v>118.0</v>
      </c>
      <c r="B119" s="5" t="s">
        <v>578</v>
      </c>
      <c r="C119" s="5" t="s">
        <v>579</v>
      </c>
      <c r="D119" s="5" t="s">
        <v>580</v>
      </c>
      <c r="E119" s="5" t="s">
        <v>364</v>
      </c>
    </row>
    <row r="120">
      <c r="A120" s="5">
        <v>119.0</v>
      </c>
      <c r="B120" s="5" t="s">
        <v>581</v>
      </c>
      <c r="C120" s="5" t="s">
        <v>582</v>
      </c>
      <c r="D120" s="5" t="s">
        <v>583</v>
      </c>
      <c r="E120" s="5" t="s">
        <v>364</v>
      </c>
    </row>
    <row r="121">
      <c r="A121" s="5">
        <v>120.0</v>
      </c>
      <c r="B121" s="5" t="s">
        <v>584</v>
      </c>
      <c r="C121" s="5" t="s">
        <v>585</v>
      </c>
      <c r="D121" s="5" t="s">
        <v>586</v>
      </c>
      <c r="E121" s="5" t="s">
        <v>364</v>
      </c>
    </row>
    <row r="122">
      <c r="A122" s="5">
        <v>121.0</v>
      </c>
      <c r="B122" s="5" t="s">
        <v>587</v>
      </c>
      <c r="C122" s="5" t="s">
        <v>588</v>
      </c>
      <c r="D122" s="5" t="s">
        <v>589</v>
      </c>
      <c r="E122" s="5" t="s">
        <v>364</v>
      </c>
    </row>
    <row r="123">
      <c r="A123" s="5">
        <v>122.0</v>
      </c>
      <c r="B123" s="5" t="s">
        <v>590</v>
      </c>
      <c r="C123" s="5" t="s">
        <v>591</v>
      </c>
      <c r="D123" s="5" t="s">
        <v>592</v>
      </c>
      <c r="E123" s="5" t="s">
        <v>364</v>
      </c>
    </row>
    <row r="124">
      <c r="A124" s="5">
        <v>123.0</v>
      </c>
      <c r="B124" s="5" t="s">
        <v>593</v>
      </c>
      <c r="C124" s="5" t="s">
        <v>594</v>
      </c>
      <c r="D124" s="5" t="s">
        <v>595</v>
      </c>
      <c r="E124" s="5" t="s">
        <v>364</v>
      </c>
    </row>
    <row r="125">
      <c r="A125" s="5">
        <v>124.0</v>
      </c>
      <c r="B125" s="5" t="s">
        <v>596</v>
      </c>
      <c r="C125" s="5" t="s">
        <v>597</v>
      </c>
      <c r="D125" s="5" t="s">
        <v>598</v>
      </c>
      <c r="E125" s="5" t="s">
        <v>364</v>
      </c>
    </row>
    <row r="126">
      <c r="A126" s="5">
        <v>125.0</v>
      </c>
      <c r="B126" s="5" t="s">
        <v>599</v>
      </c>
      <c r="C126" s="5" t="s">
        <v>600</v>
      </c>
      <c r="D126" s="5" t="s">
        <v>601</v>
      </c>
      <c r="E126" s="5" t="s">
        <v>364</v>
      </c>
    </row>
    <row r="127">
      <c r="A127" s="5">
        <v>126.0</v>
      </c>
      <c r="B127" s="5" t="s">
        <v>602</v>
      </c>
      <c r="C127" s="5" t="s">
        <v>603</v>
      </c>
      <c r="D127" s="5" t="s">
        <v>604</v>
      </c>
      <c r="E127" s="5" t="s">
        <v>364</v>
      </c>
    </row>
    <row r="128">
      <c r="A128" s="5">
        <v>127.0</v>
      </c>
      <c r="B128" s="5" t="s">
        <v>605</v>
      </c>
      <c r="C128" s="5" t="s">
        <v>606</v>
      </c>
      <c r="D128" s="5" t="s">
        <v>607</v>
      </c>
      <c r="E128" s="5" t="s">
        <v>364</v>
      </c>
    </row>
    <row r="129">
      <c r="A129" s="5">
        <v>128.0</v>
      </c>
      <c r="B129" s="5" t="s">
        <v>608</v>
      </c>
      <c r="C129" s="5" t="s">
        <v>609</v>
      </c>
      <c r="D129" s="5" t="s">
        <v>610</v>
      </c>
      <c r="E129" s="5" t="s">
        <v>364</v>
      </c>
    </row>
    <row r="130">
      <c r="A130" s="5">
        <v>129.0</v>
      </c>
      <c r="B130" s="5" t="s">
        <v>611</v>
      </c>
      <c r="C130" s="5" t="s">
        <v>612</v>
      </c>
      <c r="D130" s="5" t="s">
        <v>613</v>
      </c>
      <c r="E130" s="5" t="s">
        <v>364</v>
      </c>
    </row>
    <row r="131">
      <c r="A131" s="5">
        <v>130.0</v>
      </c>
      <c r="B131" s="5" t="s">
        <v>614</v>
      </c>
      <c r="C131" s="5" t="s">
        <v>615</v>
      </c>
      <c r="D131" s="5" t="s">
        <v>616</v>
      </c>
      <c r="E131" s="5" t="s">
        <v>364</v>
      </c>
    </row>
    <row r="132">
      <c r="A132" s="5">
        <v>131.0</v>
      </c>
      <c r="B132" s="5" t="s">
        <v>617</v>
      </c>
      <c r="C132" s="5" t="s">
        <v>618</v>
      </c>
      <c r="D132" s="5" t="s">
        <v>619</v>
      </c>
      <c r="E132" s="5" t="s">
        <v>364</v>
      </c>
    </row>
    <row r="133">
      <c r="A133" s="5">
        <v>132.0</v>
      </c>
      <c r="B133" s="5" t="s">
        <v>620</v>
      </c>
      <c r="C133" s="5" t="s">
        <v>621</v>
      </c>
      <c r="D133" s="5" t="s">
        <v>622</v>
      </c>
      <c r="E133" s="5" t="s">
        <v>364</v>
      </c>
    </row>
    <row r="134">
      <c r="A134" s="5">
        <v>133.0</v>
      </c>
      <c r="B134" s="5" t="s">
        <v>623</v>
      </c>
      <c r="C134" s="5" t="s">
        <v>624</v>
      </c>
      <c r="D134" s="5" t="s">
        <v>625</v>
      </c>
      <c r="E134" s="5" t="s">
        <v>364</v>
      </c>
    </row>
    <row r="135">
      <c r="A135" s="5">
        <v>134.0</v>
      </c>
      <c r="B135" s="5" t="s">
        <v>626</v>
      </c>
      <c r="C135" s="5" t="s">
        <v>627</v>
      </c>
      <c r="D135" s="5" t="s">
        <v>628</v>
      </c>
      <c r="E135" s="5" t="s">
        <v>364</v>
      </c>
    </row>
    <row r="136">
      <c r="A136" s="5">
        <v>135.0</v>
      </c>
      <c r="B136" s="5" t="s">
        <v>629</v>
      </c>
      <c r="C136" s="5" t="s">
        <v>630</v>
      </c>
      <c r="D136" s="5" t="s">
        <v>631</v>
      </c>
      <c r="E136" s="5" t="s">
        <v>364</v>
      </c>
    </row>
    <row r="137">
      <c r="A137" s="5">
        <v>136.0</v>
      </c>
      <c r="B137" s="5" t="s">
        <v>632</v>
      </c>
      <c r="C137" s="5" t="s">
        <v>633</v>
      </c>
      <c r="D137" s="5" t="s">
        <v>634</v>
      </c>
      <c r="E137" s="5" t="s">
        <v>364</v>
      </c>
    </row>
    <row r="138">
      <c r="A138" s="5">
        <v>137.0</v>
      </c>
      <c r="B138" s="5" t="s">
        <v>635</v>
      </c>
      <c r="C138" s="5" t="s">
        <v>636</v>
      </c>
      <c r="D138" s="5" t="s">
        <v>637</v>
      </c>
      <c r="E138" s="5" t="s">
        <v>364</v>
      </c>
    </row>
    <row r="139">
      <c r="A139" s="5">
        <v>138.0</v>
      </c>
      <c r="B139" s="5" t="s">
        <v>638</v>
      </c>
      <c r="C139" s="5" t="s">
        <v>639</v>
      </c>
      <c r="D139" s="5" t="s">
        <v>640</v>
      </c>
      <c r="E139" s="5" t="s">
        <v>364</v>
      </c>
    </row>
    <row r="140">
      <c r="A140" s="5">
        <v>139.0</v>
      </c>
      <c r="B140" s="5" t="s">
        <v>641</v>
      </c>
      <c r="C140" s="5" t="s">
        <v>642</v>
      </c>
      <c r="D140" s="5" t="s">
        <v>643</v>
      </c>
      <c r="E140" s="5" t="s">
        <v>364</v>
      </c>
    </row>
    <row r="141">
      <c r="A141" s="5">
        <v>140.0</v>
      </c>
      <c r="B141" s="5" t="s">
        <v>644</v>
      </c>
      <c r="C141" s="5" t="s">
        <v>645</v>
      </c>
      <c r="D141" s="5" t="s">
        <v>646</v>
      </c>
      <c r="E141" s="5" t="s">
        <v>364</v>
      </c>
    </row>
    <row r="142">
      <c r="A142" s="5">
        <v>141.0</v>
      </c>
      <c r="B142" s="5" t="s">
        <v>647</v>
      </c>
      <c r="C142" s="5" t="s">
        <v>648</v>
      </c>
      <c r="D142" s="5" t="s">
        <v>649</v>
      </c>
      <c r="E142" s="5" t="s">
        <v>364</v>
      </c>
    </row>
    <row r="143">
      <c r="A143" s="5">
        <v>142.0</v>
      </c>
      <c r="B143" s="5" t="s">
        <v>650</v>
      </c>
      <c r="C143" s="5" t="s">
        <v>651</v>
      </c>
      <c r="D143" s="5" t="s">
        <v>652</v>
      </c>
      <c r="E143" s="5" t="s">
        <v>364</v>
      </c>
    </row>
    <row r="144">
      <c r="A144" s="5">
        <v>143.0</v>
      </c>
      <c r="B144" s="5" t="s">
        <v>653</v>
      </c>
      <c r="C144" s="5" t="s">
        <v>654</v>
      </c>
      <c r="D144" s="5" t="s">
        <v>655</v>
      </c>
      <c r="E144" s="5" t="s">
        <v>364</v>
      </c>
    </row>
    <row r="145">
      <c r="A145" s="5">
        <v>144.0</v>
      </c>
      <c r="B145" s="5" t="s">
        <v>656</v>
      </c>
      <c r="C145" s="5" t="s">
        <v>657</v>
      </c>
      <c r="D145" s="5" t="s">
        <v>658</v>
      </c>
      <c r="E145" s="5" t="s">
        <v>364</v>
      </c>
    </row>
    <row r="146">
      <c r="A146" s="5">
        <v>145.0</v>
      </c>
      <c r="B146" s="5" t="s">
        <v>659</v>
      </c>
      <c r="C146" s="5" t="s">
        <v>660</v>
      </c>
      <c r="D146" s="5" t="s">
        <v>661</v>
      </c>
      <c r="E146" s="5" t="s">
        <v>364</v>
      </c>
    </row>
    <row r="147">
      <c r="A147" s="5">
        <v>146.0</v>
      </c>
      <c r="B147" s="5" t="s">
        <v>662</v>
      </c>
      <c r="C147" s="5" t="s">
        <v>663</v>
      </c>
      <c r="D147" s="5" t="s">
        <v>664</v>
      </c>
      <c r="E147" s="5" t="s">
        <v>364</v>
      </c>
    </row>
    <row r="148">
      <c r="A148" s="5">
        <v>147.0</v>
      </c>
      <c r="B148" s="5" t="s">
        <v>665</v>
      </c>
      <c r="C148" s="5" t="s">
        <v>666</v>
      </c>
      <c r="D148" s="5" t="s">
        <v>667</v>
      </c>
      <c r="E148" s="5" t="s">
        <v>364</v>
      </c>
    </row>
    <row r="149">
      <c r="A149" s="5">
        <v>148.0</v>
      </c>
      <c r="B149" s="5" t="s">
        <v>668</v>
      </c>
      <c r="C149" s="5" t="s">
        <v>669</v>
      </c>
      <c r="D149" s="5" t="s">
        <v>670</v>
      </c>
      <c r="E149" s="5" t="s">
        <v>364</v>
      </c>
    </row>
    <row r="150">
      <c r="A150" s="5">
        <v>149.0</v>
      </c>
      <c r="B150" s="5" t="s">
        <v>671</v>
      </c>
      <c r="C150" s="5" t="s">
        <v>672</v>
      </c>
      <c r="D150" s="5" t="s">
        <v>673</v>
      </c>
      <c r="E150" s="5" t="s">
        <v>364</v>
      </c>
    </row>
    <row r="151">
      <c r="A151" s="5">
        <v>150.0</v>
      </c>
      <c r="B151" s="5" t="s">
        <v>674</v>
      </c>
      <c r="C151" s="5" t="s">
        <v>675</v>
      </c>
      <c r="D151" s="5" t="s">
        <v>676</v>
      </c>
      <c r="E151" s="5" t="s">
        <v>364</v>
      </c>
    </row>
    <row r="152">
      <c r="A152" s="5">
        <v>151.0</v>
      </c>
      <c r="B152" s="5" t="s">
        <v>677</v>
      </c>
      <c r="C152" s="5" t="s">
        <v>678</v>
      </c>
      <c r="D152" s="5" t="s">
        <v>679</v>
      </c>
      <c r="E152" s="5" t="s">
        <v>364</v>
      </c>
    </row>
    <row r="153">
      <c r="A153" s="5">
        <v>152.0</v>
      </c>
      <c r="B153" s="5" t="s">
        <v>680</v>
      </c>
      <c r="C153" s="5" t="s">
        <v>681</v>
      </c>
      <c r="D153" s="5" t="s">
        <v>682</v>
      </c>
      <c r="E153" s="5" t="s">
        <v>364</v>
      </c>
    </row>
    <row r="154">
      <c r="A154" s="5">
        <v>153.0</v>
      </c>
      <c r="B154" s="5" t="s">
        <v>683</v>
      </c>
      <c r="C154" s="5" t="s">
        <v>684</v>
      </c>
      <c r="D154" s="5" t="s">
        <v>685</v>
      </c>
      <c r="E154" s="5" t="s">
        <v>364</v>
      </c>
    </row>
    <row r="155">
      <c r="A155" s="5">
        <v>154.0</v>
      </c>
      <c r="B155" s="5" t="s">
        <v>686</v>
      </c>
      <c r="C155" s="5" t="s">
        <v>687</v>
      </c>
      <c r="D155" s="5" t="s">
        <v>688</v>
      </c>
      <c r="E155" s="5" t="s">
        <v>364</v>
      </c>
    </row>
    <row r="156">
      <c r="A156" s="5">
        <v>155.0</v>
      </c>
      <c r="B156" s="5" t="s">
        <v>689</v>
      </c>
      <c r="C156" s="5" t="s">
        <v>690</v>
      </c>
      <c r="D156" s="5" t="s">
        <v>691</v>
      </c>
      <c r="E156" s="5" t="s">
        <v>364</v>
      </c>
    </row>
    <row r="157">
      <c r="A157" s="5">
        <v>156.0</v>
      </c>
      <c r="B157" s="5" t="s">
        <v>692</v>
      </c>
      <c r="C157" s="5" t="s">
        <v>693</v>
      </c>
      <c r="D157" s="5" t="s">
        <v>694</v>
      </c>
      <c r="E157" s="5" t="s">
        <v>364</v>
      </c>
    </row>
    <row r="158">
      <c r="A158" s="5">
        <v>157.0</v>
      </c>
      <c r="B158" s="5" t="s">
        <v>695</v>
      </c>
      <c r="C158" s="5" t="s">
        <v>696</v>
      </c>
      <c r="D158" s="5" t="s">
        <v>697</v>
      </c>
      <c r="E158" s="5" t="s">
        <v>364</v>
      </c>
    </row>
    <row r="159">
      <c r="A159" s="5">
        <v>158.0</v>
      </c>
      <c r="B159" s="5" t="s">
        <v>698</v>
      </c>
      <c r="C159" s="5" t="s">
        <v>699</v>
      </c>
      <c r="D159" s="5" t="s">
        <v>700</v>
      </c>
      <c r="E159" s="5" t="s">
        <v>364</v>
      </c>
    </row>
    <row r="160">
      <c r="A160" s="5">
        <v>159.0</v>
      </c>
      <c r="B160" s="5" t="s">
        <v>701</v>
      </c>
      <c r="C160" s="5" t="s">
        <v>702</v>
      </c>
      <c r="D160" s="5" t="s">
        <v>703</v>
      </c>
      <c r="E160" s="5" t="s">
        <v>364</v>
      </c>
    </row>
    <row r="161">
      <c r="A161" s="5">
        <v>160.0</v>
      </c>
      <c r="B161" s="5" t="s">
        <v>704</v>
      </c>
      <c r="C161" s="5" t="s">
        <v>705</v>
      </c>
      <c r="D161" s="5" t="s">
        <v>706</v>
      </c>
      <c r="E161" s="5" t="s">
        <v>364</v>
      </c>
    </row>
    <row r="162">
      <c r="A162" s="5">
        <v>161.0</v>
      </c>
      <c r="B162" s="5" t="s">
        <v>707</v>
      </c>
      <c r="C162" s="5" t="s">
        <v>708</v>
      </c>
      <c r="D162" s="5" t="s">
        <v>709</v>
      </c>
      <c r="E162" s="5" t="s">
        <v>364</v>
      </c>
    </row>
    <row r="163">
      <c r="A163" s="5">
        <v>162.0</v>
      </c>
      <c r="B163" s="5" t="s">
        <v>710</v>
      </c>
      <c r="C163" s="5" t="s">
        <v>711</v>
      </c>
      <c r="D163" s="5" t="s">
        <v>712</v>
      </c>
      <c r="E163" s="5" t="s">
        <v>364</v>
      </c>
    </row>
    <row r="164">
      <c r="A164" s="5">
        <v>163.0</v>
      </c>
      <c r="B164" s="5" t="s">
        <v>713</v>
      </c>
      <c r="C164" s="5" t="s">
        <v>714</v>
      </c>
      <c r="D164" s="5" t="s">
        <v>715</v>
      </c>
      <c r="E164" s="5" t="s">
        <v>364</v>
      </c>
    </row>
    <row r="165">
      <c r="A165" s="5">
        <v>164.0</v>
      </c>
      <c r="B165" s="5" t="s">
        <v>716</v>
      </c>
      <c r="C165" s="5" t="s">
        <v>717</v>
      </c>
      <c r="D165" s="5" t="s">
        <v>718</v>
      </c>
      <c r="E165" s="5" t="s">
        <v>364</v>
      </c>
    </row>
    <row r="166">
      <c r="A166" s="5">
        <v>165.0</v>
      </c>
      <c r="B166" s="5" t="s">
        <v>719</v>
      </c>
      <c r="C166" s="5" t="s">
        <v>720</v>
      </c>
      <c r="D166" s="5" t="s">
        <v>721</v>
      </c>
      <c r="E166" s="5" t="s">
        <v>364</v>
      </c>
    </row>
    <row r="167">
      <c r="A167" s="5">
        <v>166.0</v>
      </c>
      <c r="B167" s="5" t="s">
        <v>722</v>
      </c>
      <c r="C167" s="5" t="s">
        <v>723</v>
      </c>
      <c r="D167" s="5" t="s">
        <v>724</v>
      </c>
      <c r="E167" s="5" t="s">
        <v>364</v>
      </c>
    </row>
    <row r="168">
      <c r="A168" s="5">
        <v>167.0</v>
      </c>
      <c r="B168" s="5" t="s">
        <v>725</v>
      </c>
      <c r="C168" s="5" t="s">
        <v>726</v>
      </c>
      <c r="D168" s="5" t="s">
        <v>727</v>
      </c>
      <c r="E168" s="5" t="s">
        <v>364</v>
      </c>
    </row>
    <row r="169">
      <c r="A169" s="5">
        <v>168.0</v>
      </c>
      <c r="B169" s="5" t="s">
        <v>728</v>
      </c>
      <c r="C169" s="5" t="s">
        <v>729</v>
      </c>
      <c r="D169" s="5" t="s">
        <v>730</v>
      </c>
      <c r="E169" s="5" t="s">
        <v>364</v>
      </c>
    </row>
    <row r="170">
      <c r="A170" s="5">
        <v>169.0</v>
      </c>
      <c r="B170" s="5" t="s">
        <v>731</v>
      </c>
      <c r="C170" s="5" t="s">
        <v>732</v>
      </c>
      <c r="D170" s="5" t="s">
        <v>733</v>
      </c>
      <c r="E170" s="5" t="s">
        <v>364</v>
      </c>
    </row>
    <row r="171">
      <c r="A171" s="5">
        <v>170.0</v>
      </c>
      <c r="B171" s="5" t="s">
        <v>734</v>
      </c>
      <c r="C171" s="5" t="s">
        <v>735</v>
      </c>
      <c r="D171" s="5" t="s">
        <v>736</v>
      </c>
      <c r="E171" s="5" t="s">
        <v>364</v>
      </c>
    </row>
    <row r="172">
      <c r="A172" s="5">
        <v>171.0</v>
      </c>
      <c r="B172" s="5" t="s">
        <v>737</v>
      </c>
      <c r="C172" s="5" t="s">
        <v>738</v>
      </c>
      <c r="D172" s="5" t="s">
        <v>739</v>
      </c>
      <c r="E172" s="5" t="s">
        <v>364</v>
      </c>
    </row>
    <row r="173">
      <c r="A173" s="5">
        <v>172.0</v>
      </c>
      <c r="B173" s="5" t="s">
        <v>740</v>
      </c>
      <c r="C173" s="5" t="s">
        <v>741</v>
      </c>
      <c r="D173" s="5" t="s">
        <v>742</v>
      </c>
      <c r="E173" s="5" t="s">
        <v>364</v>
      </c>
    </row>
    <row r="174">
      <c r="A174" s="5">
        <v>173.0</v>
      </c>
      <c r="B174" s="5" t="s">
        <v>743</v>
      </c>
      <c r="C174" s="5" t="s">
        <v>744</v>
      </c>
      <c r="D174" s="5" t="s">
        <v>745</v>
      </c>
      <c r="E174" s="5" t="s">
        <v>364</v>
      </c>
    </row>
    <row r="175">
      <c r="A175" s="5">
        <v>174.0</v>
      </c>
      <c r="B175" s="5" t="s">
        <v>746</v>
      </c>
      <c r="C175" s="5" t="s">
        <v>747</v>
      </c>
      <c r="D175" s="5" t="s">
        <v>748</v>
      </c>
      <c r="E175" s="5" t="s">
        <v>364</v>
      </c>
    </row>
    <row r="176">
      <c r="A176" s="5">
        <v>175.0</v>
      </c>
      <c r="B176" s="5" t="s">
        <v>749</v>
      </c>
      <c r="C176" s="5" t="s">
        <v>750</v>
      </c>
      <c r="D176" s="5" t="s">
        <v>751</v>
      </c>
      <c r="E176" s="5" t="s">
        <v>364</v>
      </c>
    </row>
    <row r="177">
      <c r="A177" s="5">
        <v>176.0</v>
      </c>
      <c r="B177" s="5" t="s">
        <v>752</v>
      </c>
      <c r="C177" s="5" t="s">
        <v>753</v>
      </c>
      <c r="D177" s="5" t="s">
        <v>754</v>
      </c>
      <c r="E177" s="5" t="s">
        <v>364</v>
      </c>
    </row>
    <row r="178">
      <c r="A178" s="5">
        <v>177.0</v>
      </c>
      <c r="B178" s="5" t="s">
        <v>755</v>
      </c>
      <c r="C178" s="5" t="s">
        <v>756</v>
      </c>
      <c r="D178" s="5" t="s">
        <v>757</v>
      </c>
      <c r="E178" s="5" t="s">
        <v>364</v>
      </c>
    </row>
    <row r="179">
      <c r="A179" s="5">
        <v>178.0</v>
      </c>
      <c r="B179" s="5" t="s">
        <v>758</v>
      </c>
      <c r="C179" s="5" t="s">
        <v>759</v>
      </c>
      <c r="D179" s="5" t="s">
        <v>760</v>
      </c>
      <c r="E179" s="5" t="s">
        <v>364</v>
      </c>
    </row>
    <row r="180">
      <c r="A180" s="5">
        <v>179.0</v>
      </c>
      <c r="B180" s="5" t="s">
        <v>761</v>
      </c>
      <c r="C180" s="5" t="s">
        <v>762</v>
      </c>
      <c r="D180" s="5" t="s">
        <v>763</v>
      </c>
      <c r="E180" s="5" t="s">
        <v>364</v>
      </c>
    </row>
    <row r="181">
      <c r="A181" s="5">
        <v>180.0</v>
      </c>
      <c r="B181" s="5" t="s">
        <v>764</v>
      </c>
      <c r="C181" s="5" t="s">
        <v>765</v>
      </c>
      <c r="D181" s="5" t="s">
        <v>766</v>
      </c>
      <c r="E181" s="5" t="s">
        <v>364</v>
      </c>
    </row>
    <row r="182">
      <c r="A182" s="5">
        <v>181.0</v>
      </c>
      <c r="B182" s="5" t="s">
        <v>767</v>
      </c>
      <c r="C182" s="5" t="s">
        <v>768</v>
      </c>
      <c r="D182" s="5" t="s">
        <v>769</v>
      </c>
      <c r="E182" s="5" t="s">
        <v>364</v>
      </c>
    </row>
    <row r="183">
      <c r="A183" s="5">
        <v>182.0</v>
      </c>
      <c r="B183" s="5" t="s">
        <v>770</v>
      </c>
      <c r="C183" s="5" t="s">
        <v>771</v>
      </c>
      <c r="D183" s="5" t="s">
        <v>772</v>
      </c>
      <c r="E183" s="5" t="s">
        <v>364</v>
      </c>
    </row>
    <row r="184">
      <c r="A184" s="5">
        <v>183.0</v>
      </c>
      <c r="B184" s="5" t="s">
        <v>773</v>
      </c>
      <c r="C184" s="5" t="s">
        <v>774</v>
      </c>
      <c r="D184" s="5" t="s">
        <v>775</v>
      </c>
      <c r="E184" s="5" t="s">
        <v>364</v>
      </c>
    </row>
    <row r="185">
      <c r="A185" s="5">
        <v>184.0</v>
      </c>
      <c r="B185" s="5" t="s">
        <v>776</v>
      </c>
      <c r="C185" s="5" t="s">
        <v>777</v>
      </c>
      <c r="D185" s="5" t="s">
        <v>778</v>
      </c>
      <c r="E185" s="5" t="s">
        <v>364</v>
      </c>
    </row>
    <row r="186">
      <c r="A186" s="5">
        <v>185.0</v>
      </c>
      <c r="B186" s="5" t="s">
        <v>779</v>
      </c>
      <c r="C186" s="5" t="s">
        <v>780</v>
      </c>
      <c r="D186" s="5" t="s">
        <v>781</v>
      </c>
      <c r="E186" s="5" t="s">
        <v>364</v>
      </c>
    </row>
    <row r="187">
      <c r="A187" s="5">
        <v>186.0</v>
      </c>
      <c r="B187" s="5" t="s">
        <v>782</v>
      </c>
      <c r="C187" s="5" t="s">
        <v>783</v>
      </c>
      <c r="D187" s="5" t="s">
        <v>784</v>
      </c>
      <c r="E187" s="5" t="s">
        <v>364</v>
      </c>
    </row>
    <row r="188">
      <c r="A188" s="5">
        <v>187.0</v>
      </c>
      <c r="B188" s="5" t="s">
        <v>785</v>
      </c>
      <c r="C188" s="5" t="s">
        <v>786</v>
      </c>
      <c r="D188" s="5" t="s">
        <v>787</v>
      </c>
      <c r="E188" s="5" t="s">
        <v>364</v>
      </c>
    </row>
    <row r="189">
      <c r="A189" s="5">
        <v>188.0</v>
      </c>
      <c r="B189" s="5" t="s">
        <v>788</v>
      </c>
      <c r="C189" s="5" t="s">
        <v>789</v>
      </c>
      <c r="D189" s="5" t="s">
        <v>790</v>
      </c>
      <c r="E189" s="5" t="s">
        <v>364</v>
      </c>
    </row>
    <row r="190">
      <c r="A190" s="5">
        <v>189.0</v>
      </c>
      <c r="B190" s="5" t="s">
        <v>791</v>
      </c>
      <c r="C190" s="5" t="s">
        <v>792</v>
      </c>
      <c r="D190" s="5" t="s">
        <v>793</v>
      </c>
      <c r="E190" s="5" t="s">
        <v>364</v>
      </c>
    </row>
    <row r="191">
      <c r="A191" s="5">
        <v>190.0</v>
      </c>
      <c r="B191" s="5" t="s">
        <v>794</v>
      </c>
      <c r="C191" s="5" t="s">
        <v>795</v>
      </c>
      <c r="D191" s="5" t="s">
        <v>796</v>
      </c>
      <c r="E191" s="5" t="s">
        <v>364</v>
      </c>
    </row>
    <row r="192">
      <c r="A192" s="5">
        <v>191.0</v>
      </c>
      <c r="B192" s="5" t="s">
        <v>797</v>
      </c>
      <c r="C192" s="5" t="s">
        <v>798</v>
      </c>
      <c r="D192" s="5" t="s">
        <v>799</v>
      </c>
      <c r="E192" s="5" t="s">
        <v>364</v>
      </c>
    </row>
    <row r="193">
      <c r="A193" s="5">
        <v>192.0</v>
      </c>
      <c r="B193" s="5" t="s">
        <v>800</v>
      </c>
      <c r="C193" s="5" t="s">
        <v>801</v>
      </c>
      <c r="D193" s="5" t="s">
        <v>802</v>
      </c>
      <c r="E193" s="5" t="s">
        <v>364</v>
      </c>
    </row>
    <row r="194">
      <c r="A194" s="5">
        <v>193.0</v>
      </c>
      <c r="B194" s="5" t="s">
        <v>803</v>
      </c>
      <c r="C194" s="5" t="s">
        <v>804</v>
      </c>
      <c r="D194" s="5" t="s">
        <v>805</v>
      </c>
      <c r="E194" s="5" t="s">
        <v>364</v>
      </c>
    </row>
    <row r="195">
      <c r="A195" s="5">
        <v>194.0</v>
      </c>
      <c r="B195" s="5" t="s">
        <v>806</v>
      </c>
      <c r="C195" s="5" t="s">
        <v>807</v>
      </c>
      <c r="D195" s="5" t="s">
        <v>808</v>
      </c>
      <c r="E195" s="5" t="s">
        <v>364</v>
      </c>
    </row>
    <row r="196">
      <c r="A196" s="5">
        <v>195.0</v>
      </c>
      <c r="B196" s="5" t="s">
        <v>809</v>
      </c>
      <c r="C196" s="5" t="s">
        <v>810</v>
      </c>
      <c r="D196" s="5" t="s">
        <v>811</v>
      </c>
      <c r="E196" s="5" t="s">
        <v>364</v>
      </c>
    </row>
    <row r="197">
      <c r="A197" s="5">
        <v>196.0</v>
      </c>
      <c r="B197" s="5" t="s">
        <v>812</v>
      </c>
      <c r="C197" s="5" t="s">
        <v>813</v>
      </c>
      <c r="D197" s="5" t="s">
        <v>814</v>
      </c>
      <c r="E197" s="5" t="s">
        <v>364</v>
      </c>
    </row>
    <row r="198">
      <c r="A198" s="5">
        <v>197.0</v>
      </c>
      <c r="B198" s="5" t="s">
        <v>815</v>
      </c>
      <c r="C198" s="5" t="s">
        <v>816</v>
      </c>
      <c r="D198" s="5" t="s">
        <v>817</v>
      </c>
      <c r="E198" s="5" t="s">
        <v>364</v>
      </c>
    </row>
    <row r="199">
      <c r="A199" s="5">
        <v>198.0</v>
      </c>
      <c r="B199" s="5" t="s">
        <v>818</v>
      </c>
      <c r="C199" s="5" t="s">
        <v>819</v>
      </c>
      <c r="D199" s="5" t="s">
        <v>820</v>
      </c>
      <c r="E199" s="5" t="s">
        <v>364</v>
      </c>
    </row>
    <row r="200">
      <c r="A200" s="5">
        <v>199.0</v>
      </c>
      <c r="B200" s="5" t="s">
        <v>821</v>
      </c>
      <c r="C200" s="5" t="s">
        <v>822</v>
      </c>
      <c r="D200" s="5" t="s">
        <v>823</v>
      </c>
      <c r="E200" s="5" t="s">
        <v>364</v>
      </c>
    </row>
    <row r="201">
      <c r="A201" s="5">
        <v>200.0</v>
      </c>
      <c r="B201" s="5" t="s">
        <v>824</v>
      </c>
      <c r="C201" s="5" t="s">
        <v>825</v>
      </c>
      <c r="D201" s="5" t="s">
        <v>826</v>
      </c>
      <c r="E201" s="5" t="s">
        <v>364</v>
      </c>
    </row>
    <row r="202">
      <c r="A202" s="5">
        <v>201.0</v>
      </c>
      <c r="B202" s="5" t="s">
        <v>827</v>
      </c>
      <c r="C202" s="5" t="s">
        <v>828</v>
      </c>
      <c r="D202" s="5" t="s">
        <v>829</v>
      </c>
      <c r="E202" s="5" t="s">
        <v>364</v>
      </c>
    </row>
    <row r="203">
      <c r="A203" s="5">
        <v>202.0</v>
      </c>
      <c r="B203" s="5" t="s">
        <v>830</v>
      </c>
      <c r="C203" s="5" t="s">
        <v>831</v>
      </c>
      <c r="D203" s="5" t="s">
        <v>832</v>
      </c>
      <c r="E203" s="5" t="s">
        <v>364</v>
      </c>
    </row>
    <row r="204">
      <c r="A204" s="5">
        <v>203.0</v>
      </c>
      <c r="B204" s="5" t="s">
        <v>833</v>
      </c>
      <c r="C204" s="5" t="s">
        <v>834</v>
      </c>
      <c r="D204" s="5" t="s">
        <v>835</v>
      </c>
      <c r="E204" s="5" t="s">
        <v>364</v>
      </c>
    </row>
    <row r="205">
      <c r="A205" s="5">
        <v>204.0</v>
      </c>
      <c r="B205" s="5" t="s">
        <v>836</v>
      </c>
      <c r="C205" s="5" t="s">
        <v>837</v>
      </c>
      <c r="D205" s="5" t="s">
        <v>838</v>
      </c>
      <c r="E205" s="5" t="s">
        <v>364</v>
      </c>
    </row>
    <row r="206">
      <c r="A206" s="5">
        <v>205.0</v>
      </c>
      <c r="B206" s="5" t="s">
        <v>839</v>
      </c>
      <c r="C206" s="5" t="s">
        <v>840</v>
      </c>
      <c r="D206" s="5" t="s">
        <v>841</v>
      </c>
      <c r="E206" s="5" t="s">
        <v>364</v>
      </c>
    </row>
    <row r="207">
      <c r="A207" s="5">
        <v>206.0</v>
      </c>
      <c r="B207" s="5" t="s">
        <v>842</v>
      </c>
      <c r="C207" s="5" t="s">
        <v>843</v>
      </c>
      <c r="D207" s="5" t="s">
        <v>844</v>
      </c>
      <c r="E207" s="5" t="s">
        <v>364</v>
      </c>
    </row>
    <row r="208">
      <c r="A208" s="5">
        <v>207.0</v>
      </c>
      <c r="B208" s="5" t="s">
        <v>845</v>
      </c>
      <c r="C208" s="5" t="s">
        <v>846</v>
      </c>
      <c r="D208" s="5" t="s">
        <v>847</v>
      </c>
      <c r="E208" s="5" t="s">
        <v>364</v>
      </c>
    </row>
    <row r="209">
      <c r="A209" s="5">
        <v>208.0</v>
      </c>
      <c r="B209" s="5" t="s">
        <v>848</v>
      </c>
      <c r="C209" s="5" t="s">
        <v>849</v>
      </c>
      <c r="D209" s="5" t="s">
        <v>850</v>
      </c>
      <c r="E209" s="5" t="s">
        <v>364</v>
      </c>
    </row>
    <row r="210">
      <c r="A210" s="5">
        <v>209.0</v>
      </c>
      <c r="B210" s="5" t="s">
        <v>851</v>
      </c>
      <c r="C210" s="5" t="s">
        <v>852</v>
      </c>
      <c r="D210" s="5" t="s">
        <v>853</v>
      </c>
      <c r="E210" s="5" t="s">
        <v>364</v>
      </c>
    </row>
    <row r="211">
      <c r="A211" s="5">
        <v>210.0</v>
      </c>
      <c r="B211" s="5" t="s">
        <v>854</v>
      </c>
      <c r="C211" s="5" t="s">
        <v>855</v>
      </c>
      <c r="D211" s="5" t="s">
        <v>856</v>
      </c>
      <c r="E211" s="5" t="s">
        <v>364</v>
      </c>
    </row>
    <row r="212">
      <c r="A212" s="5">
        <v>211.0</v>
      </c>
      <c r="B212" s="5" t="s">
        <v>857</v>
      </c>
      <c r="C212" s="5" t="s">
        <v>858</v>
      </c>
      <c r="D212" s="5" t="s">
        <v>859</v>
      </c>
      <c r="E212" s="5" t="s">
        <v>364</v>
      </c>
    </row>
    <row r="213">
      <c r="A213" s="5">
        <v>212.0</v>
      </c>
      <c r="B213" s="5" t="s">
        <v>860</v>
      </c>
      <c r="C213" s="5" t="s">
        <v>861</v>
      </c>
      <c r="D213" s="5" t="s">
        <v>862</v>
      </c>
      <c r="E213" s="5" t="s">
        <v>364</v>
      </c>
    </row>
    <row r="214">
      <c r="A214" s="5">
        <v>213.0</v>
      </c>
      <c r="B214" s="5" t="s">
        <v>863</v>
      </c>
      <c r="C214" s="5" t="s">
        <v>864</v>
      </c>
      <c r="D214" s="5" t="s">
        <v>865</v>
      </c>
      <c r="E214" s="5" t="s">
        <v>364</v>
      </c>
    </row>
    <row r="215">
      <c r="A215" s="5">
        <v>214.0</v>
      </c>
      <c r="B215" s="5" t="s">
        <v>866</v>
      </c>
      <c r="C215" s="5" t="s">
        <v>867</v>
      </c>
      <c r="D215" s="5" t="s">
        <v>868</v>
      </c>
      <c r="E215" s="5" t="s">
        <v>364</v>
      </c>
    </row>
    <row r="216">
      <c r="A216" s="5">
        <v>215.0</v>
      </c>
      <c r="B216" s="5" t="s">
        <v>869</v>
      </c>
      <c r="C216" s="5" t="s">
        <v>870</v>
      </c>
      <c r="D216" s="5" t="s">
        <v>871</v>
      </c>
      <c r="E216" s="5" t="s">
        <v>364</v>
      </c>
    </row>
    <row r="217">
      <c r="A217" s="5">
        <v>216.0</v>
      </c>
      <c r="B217" s="5" t="s">
        <v>872</v>
      </c>
      <c r="C217" s="5" t="s">
        <v>873</v>
      </c>
      <c r="D217" s="5" t="s">
        <v>874</v>
      </c>
      <c r="E217" s="5" t="s">
        <v>364</v>
      </c>
    </row>
    <row r="218">
      <c r="A218" s="5">
        <v>217.0</v>
      </c>
      <c r="B218" s="5" t="s">
        <v>875</v>
      </c>
      <c r="C218" s="5" t="s">
        <v>876</v>
      </c>
      <c r="D218" s="5" t="s">
        <v>877</v>
      </c>
      <c r="E218" s="5" t="s">
        <v>364</v>
      </c>
    </row>
    <row r="219">
      <c r="A219" s="5">
        <v>218.0</v>
      </c>
      <c r="B219" s="5" t="s">
        <v>878</v>
      </c>
      <c r="C219" s="5" t="s">
        <v>879</v>
      </c>
      <c r="D219" s="5" t="s">
        <v>880</v>
      </c>
      <c r="E219" s="5" t="s">
        <v>364</v>
      </c>
    </row>
    <row r="220">
      <c r="A220" s="5">
        <v>219.0</v>
      </c>
      <c r="B220" s="5" t="s">
        <v>881</v>
      </c>
      <c r="C220" s="5" t="s">
        <v>882</v>
      </c>
      <c r="D220" s="5" t="s">
        <v>883</v>
      </c>
      <c r="E220" s="5" t="s">
        <v>364</v>
      </c>
    </row>
    <row r="221">
      <c r="A221" s="5">
        <v>220.0</v>
      </c>
      <c r="B221" s="5" t="s">
        <v>884</v>
      </c>
      <c r="C221" s="5" t="s">
        <v>885</v>
      </c>
      <c r="D221" s="5" t="s">
        <v>886</v>
      </c>
      <c r="E221" s="5" t="s">
        <v>364</v>
      </c>
    </row>
    <row r="222">
      <c r="A222" s="5">
        <v>221.0</v>
      </c>
      <c r="B222" s="5" t="s">
        <v>887</v>
      </c>
      <c r="C222" s="5" t="s">
        <v>888</v>
      </c>
      <c r="D222" s="5" t="s">
        <v>889</v>
      </c>
      <c r="E222" s="5" t="s">
        <v>364</v>
      </c>
    </row>
    <row r="223">
      <c r="A223" s="5">
        <v>222.0</v>
      </c>
      <c r="B223" s="5" t="s">
        <v>890</v>
      </c>
      <c r="C223" s="5" t="s">
        <v>891</v>
      </c>
      <c r="D223" s="5" t="s">
        <v>892</v>
      </c>
      <c r="E223" s="5" t="s">
        <v>364</v>
      </c>
    </row>
    <row r="224">
      <c r="A224" s="5">
        <v>223.0</v>
      </c>
      <c r="B224" s="5" t="s">
        <v>893</v>
      </c>
      <c r="C224" s="5" t="s">
        <v>894</v>
      </c>
      <c r="D224" s="5" t="s">
        <v>895</v>
      </c>
      <c r="E224" s="5" t="s">
        <v>364</v>
      </c>
    </row>
    <row r="225">
      <c r="A225" s="5">
        <v>224.0</v>
      </c>
      <c r="B225" s="5" t="s">
        <v>896</v>
      </c>
      <c r="C225" s="5" t="s">
        <v>897</v>
      </c>
      <c r="D225" s="5" t="s">
        <v>898</v>
      </c>
      <c r="E225" s="5" t="s">
        <v>364</v>
      </c>
    </row>
    <row r="226">
      <c r="A226" s="5">
        <v>225.0</v>
      </c>
      <c r="B226" s="5" t="s">
        <v>899</v>
      </c>
      <c r="C226" s="5" t="s">
        <v>900</v>
      </c>
      <c r="D226" s="5" t="s">
        <v>901</v>
      </c>
      <c r="E226" s="5" t="s">
        <v>364</v>
      </c>
    </row>
    <row r="227">
      <c r="A227" s="5">
        <v>226.0</v>
      </c>
      <c r="B227" s="5" t="s">
        <v>902</v>
      </c>
      <c r="C227" s="5" t="s">
        <v>903</v>
      </c>
      <c r="D227" s="5" t="s">
        <v>904</v>
      </c>
      <c r="E227" s="5" t="s">
        <v>364</v>
      </c>
    </row>
    <row r="228">
      <c r="A228" s="5">
        <v>227.0</v>
      </c>
      <c r="B228" s="5" t="s">
        <v>905</v>
      </c>
      <c r="C228" s="5" t="s">
        <v>906</v>
      </c>
      <c r="D228" s="5" t="s">
        <v>907</v>
      </c>
      <c r="E228" s="5" t="s">
        <v>364</v>
      </c>
    </row>
    <row r="229">
      <c r="A229" s="5">
        <v>228.0</v>
      </c>
      <c r="B229" s="5" t="s">
        <v>908</v>
      </c>
      <c r="C229" s="5" t="s">
        <v>909</v>
      </c>
      <c r="D229" s="5" t="s">
        <v>910</v>
      </c>
      <c r="E229" s="5" t="s">
        <v>364</v>
      </c>
    </row>
    <row r="230">
      <c r="A230" s="5">
        <v>229.0</v>
      </c>
      <c r="B230" s="5" t="s">
        <v>911</v>
      </c>
      <c r="C230" s="5" t="s">
        <v>912</v>
      </c>
      <c r="D230" s="5" t="s">
        <v>913</v>
      </c>
      <c r="E230" s="5" t="s">
        <v>364</v>
      </c>
    </row>
    <row r="231">
      <c r="A231" s="5">
        <v>230.0</v>
      </c>
      <c r="B231" s="5" t="s">
        <v>914</v>
      </c>
      <c r="C231" s="5" t="s">
        <v>915</v>
      </c>
      <c r="D231" s="5" t="s">
        <v>916</v>
      </c>
      <c r="E231" s="5" t="s">
        <v>364</v>
      </c>
    </row>
    <row r="232">
      <c r="A232" s="5">
        <v>231.0</v>
      </c>
      <c r="B232" s="5" t="s">
        <v>917</v>
      </c>
      <c r="C232" s="5" t="s">
        <v>918</v>
      </c>
      <c r="D232" s="5" t="s">
        <v>919</v>
      </c>
      <c r="E232" s="5" t="s">
        <v>364</v>
      </c>
    </row>
    <row r="233">
      <c r="A233" s="5">
        <v>232.0</v>
      </c>
      <c r="B233" s="5" t="s">
        <v>920</v>
      </c>
      <c r="C233" s="5" t="s">
        <v>921</v>
      </c>
      <c r="D233" s="5" t="s">
        <v>922</v>
      </c>
      <c r="E233" s="5" t="s">
        <v>364</v>
      </c>
    </row>
    <row r="234">
      <c r="A234" s="5">
        <v>233.0</v>
      </c>
      <c r="B234" s="5" t="s">
        <v>923</v>
      </c>
      <c r="C234" s="5" t="s">
        <v>924</v>
      </c>
      <c r="D234" s="5" t="s">
        <v>925</v>
      </c>
      <c r="E234" s="5" t="s">
        <v>364</v>
      </c>
    </row>
    <row r="235">
      <c r="A235" s="5">
        <v>234.0</v>
      </c>
      <c r="B235" s="5" t="s">
        <v>926</v>
      </c>
      <c r="C235" s="5" t="s">
        <v>927</v>
      </c>
      <c r="D235" s="5" t="s">
        <v>928</v>
      </c>
      <c r="E235" s="5" t="s">
        <v>364</v>
      </c>
    </row>
    <row r="236">
      <c r="A236" s="5">
        <v>235.0</v>
      </c>
      <c r="B236" s="5" t="s">
        <v>929</v>
      </c>
      <c r="C236" s="5" t="s">
        <v>930</v>
      </c>
      <c r="D236" s="5" t="s">
        <v>931</v>
      </c>
      <c r="E236" s="5" t="s">
        <v>364</v>
      </c>
    </row>
    <row r="237">
      <c r="A237" s="5">
        <v>236.0</v>
      </c>
      <c r="B237" s="5" t="s">
        <v>932</v>
      </c>
      <c r="C237" s="5" t="s">
        <v>933</v>
      </c>
      <c r="D237" s="5" t="s">
        <v>934</v>
      </c>
      <c r="E237" s="5" t="s">
        <v>364</v>
      </c>
    </row>
    <row r="238">
      <c r="A238" s="5">
        <v>237.0</v>
      </c>
      <c r="B238" s="5" t="s">
        <v>935</v>
      </c>
      <c r="C238" s="5" t="s">
        <v>936</v>
      </c>
      <c r="D238" s="5" t="s">
        <v>937</v>
      </c>
      <c r="E238" s="5" t="s">
        <v>364</v>
      </c>
    </row>
    <row r="239">
      <c r="A239" s="5">
        <v>238.0</v>
      </c>
      <c r="B239" s="5" t="s">
        <v>938</v>
      </c>
      <c r="C239" s="5" t="s">
        <v>939</v>
      </c>
      <c r="D239" s="5" t="s">
        <v>940</v>
      </c>
      <c r="E239" s="5" t="s">
        <v>364</v>
      </c>
    </row>
    <row r="240">
      <c r="A240" s="5">
        <v>239.0</v>
      </c>
      <c r="B240" s="5" t="s">
        <v>941</v>
      </c>
      <c r="C240" s="5" t="s">
        <v>942</v>
      </c>
      <c r="D240" s="5" t="s">
        <v>943</v>
      </c>
      <c r="E240" s="5" t="s">
        <v>364</v>
      </c>
    </row>
    <row r="241">
      <c r="A241" s="5">
        <v>240.0</v>
      </c>
      <c r="B241" s="5" t="s">
        <v>944</v>
      </c>
      <c r="C241" s="5" t="s">
        <v>945</v>
      </c>
      <c r="D241" s="5" t="s">
        <v>946</v>
      </c>
      <c r="E241" s="5" t="s">
        <v>364</v>
      </c>
    </row>
    <row r="242">
      <c r="A242" s="5">
        <v>241.0</v>
      </c>
      <c r="B242" s="5" t="s">
        <v>947</v>
      </c>
      <c r="C242" s="5" t="s">
        <v>948</v>
      </c>
      <c r="D242" s="5" t="s">
        <v>949</v>
      </c>
      <c r="E242" s="5" t="s">
        <v>364</v>
      </c>
    </row>
    <row r="243">
      <c r="A243" s="5">
        <v>242.0</v>
      </c>
      <c r="B243" s="5" t="s">
        <v>950</v>
      </c>
      <c r="C243" s="5" t="s">
        <v>951</v>
      </c>
      <c r="D243" s="5" t="s">
        <v>952</v>
      </c>
      <c r="E243" s="5" t="s">
        <v>364</v>
      </c>
    </row>
    <row r="244">
      <c r="A244" s="5">
        <v>243.0</v>
      </c>
      <c r="B244" s="5" t="s">
        <v>953</v>
      </c>
      <c r="C244" s="5" t="s">
        <v>954</v>
      </c>
      <c r="D244" s="5" t="s">
        <v>955</v>
      </c>
      <c r="E244" s="5" t="s">
        <v>364</v>
      </c>
    </row>
    <row r="245">
      <c r="A245" s="5">
        <v>244.0</v>
      </c>
      <c r="B245" s="5" t="s">
        <v>956</v>
      </c>
      <c r="C245" s="5" t="s">
        <v>957</v>
      </c>
      <c r="D245" s="5" t="s">
        <v>958</v>
      </c>
      <c r="E245" s="5" t="s">
        <v>364</v>
      </c>
    </row>
    <row r="246">
      <c r="A246" s="5">
        <v>245.0</v>
      </c>
      <c r="B246" s="5" t="s">
        <v>959</v>
      </c>
      <c r="C246" s="5" t="s">
        <v>960</v>
      </c>
      <c r="D246" s="5" t="s">
        <v>961</v>
      </c>
      <c r="E246" s="5" t="s">
        <v>364</v>
      </c>
    </row>
    <row r="247">
      <c r="A247" s="5">
        <v>246.0</v>
      </c>
      <c r="B247" s="5" t="s">
        <v>962</v>
      </c>
      <c r="C247" s="5" t="s">
        <v>963</v>
      </c>
      <c r="D247" s="5" t="s">
        <v>964</v>
      </c>
      <c r="E247" s="5" t="s">
        <v>364</v>
      </c>
    </row>
    <row r="248">
      <c r="A248" s="5">
        <v>247.0</v>
      </c>
      <c r="B248" s="5" t="s">
        <v>965</v>
      </c>
      <c r="C248" s="5" t="s">
        <v>966</v>
      </c>
      <c r="D248" s="5" t="s">
        <v>967</v>
      </c>
      <c r="E248" s="5" t="s">
        <v>364</v>
      </c>
    </row>
    <row r="249">
      <c r="A249" s="5">
        <v>248.0</v>
      </c>
      <c r="B249" s="5" t="s">
        <v>968</v>
      </c>
      <c r="C249" s="5" t="s">
        <v>969</v>
      </c>
      <c r="D249" s="5" t="s">
        <v>970</v>
      </c>
      <c r="E249" s="5" t="s">
        <v>364</v>
      </c>
    </row>
    <row r="250">
      <c r="A250" s="5">
        <v>249.0</v>
      </c>
      <c r="B250" s="5" t="s">
        <v>971</v>
      </c>
      <c r="C250" s="5" t="s">
        <v>972</v>
      </c>
      <c r="D250" s="5" t="s">
        <v>973</v>
      </c>
      <c r="E250" s="5" t="s">
        <v>364</v>
      </c>
    </row>
    <row r="251">
      <c r="A251" s="5">
        <v>250.0</v>
      </c>
      <c r="B251" s="5" t="s">
        <v>974</v>
      </c>
      <c r="C251" s="5" t="s">
        <v>975</v>
      </c>
      <c r="D251" s="5" t="s">
        <v>976</v>
      </c>
      <c r="E251" s="5" t="s">
        <v>364</v>
      </c>
    </row>
    <row r="252">
      <c r="A252" s="5">
        <v>251.0</v>
      </c>
      <c r="B252" s="5" t="s">
        <v>977</v>
      </c>
      <c r="C252" s="5" t="s">
        <v>978</v>
      </c>
      <c r="D252" s="5" t="s">
        <v>979</v>
      </c>
      <c r="E252" s="5" t="s">
        <v>364</v>
      </c>
    </row>
    <row r="253">
      <c r="A253" s="5">
        <v>252.0</v>
      </c>
      <c r="B253" s="5" t="s">
        <v>980</v>
      </c>
      <c r="C253" s="5" t="s">
        <v>981</v>
      </c>
      <c r="D253" s="5" t="s">
        <v>982</v>
      </c>
      <c r="E253" s="5" t="s">
        <v>451</v>
      </c>
    </row>
    <row r="254">
      <c r="A254" s="5">
        <v>253.0</v>
      </c>
      <c r="B254" s="5" t="s">
        <v>983</v>
      </c>
      <c r="C254" s="5" t="s">
        <v>984</v>
      </c>
      <c r="D254" s="5" t="s">
        <v>985</v>
      </c>
      <c r="E254" s="5" t="s">
        <v>451</v>
      </c>
    </row>
    <row r="255">
      <c r="A255" s="5">
        <v>254.0</v>
      </c>
      <c r="B255" s="5" t="s">
        <v>986</v>
      </c>
      <c r="C255" s="5" t="s">
        <v>987</v>
      </c>
      <c r="D255" s="5" t="s">
        <v>988</v>
      </c>
      <c r="E255" s="5" t="s">
        <v>451</v>
      </c>
    </row>
    <row r="256">
      <c r="A256" s="5">
        <v>255.0</v>
      </c>
      <c r="B256" s="5" t="s">
        <v>989</v>
      </c>
      <c r="C256" s="5" t="s">
        <v>990</v>
      </c>
      <c r="D256" s="5" t="s">
        <v>991</v>
      </c>
      <c r="E256" s="5" t="s">
        <v>451</v>
      </c>
    </row>
    <row r="257">
      <c r="A257" s="5">
        <v>256.0</v>
      </c>
      <c r="B257" s="5" t="s">
        <v>992</v>
      </c>
      <c r="C257" s="5" t="s">
        <v>993</v>
      </c>
      <c r="D257" s="5" t="s">
        <v>994</v>
      </c>
      <c r="E257" s="5" t="s">
        <v>451</v>
      </c>
    </row>
    <row r="258">
      <c r="A258" s="5">
        <v>257.0</v>
      </c>
      <c r="B258" s="5" t="s">
        <v>995</v>
      </c>
      <c r="C258" s="5" t="s">
        <v>996</v>
      </c>
      <c r="D258" s="5" t="s">
        <v>997</v>
      </c>
      <c r="E258" s="5" t="s">
        <v>451</v>
      </c>
    </row>
    <row r="259">
      <c r="A259" s="5">
        <v>258.0</v>
      </c>
      <c r="B259" s="5" t="s">
        <v>998</v>
      </c>
      <c r="C259" s="5" t="s">
        <v>999</v>
      </c>
      <c r="D259" s="5" t="s">
        <v>1000</v>
      </c>
      <c r="E259" s="5" t="s">
        <v>451</v>
      </c>
    </row>
    <row r="260">
      <c r="A260" s="5">
        <v>259.0</v>
      </c>
      <c r="B260" s="5" t="s">
        <v>1001</v>
      </c>
      <c r="C260" s="5" t="s">
        <v>1002</v>
      </c>
      <c r="D260" s="5" t="s">
        <v>1003</v>
      </c>
      <c r="E260" s="5" t="s">
        <v>451</v>
      </c>
    </row>
    <row r="261">
      <c r="A261" s="5">
        <v>260.0</v>
      </c>
      <c r="B261" s="5" t="s">
        <v>1004</v>
      </c>
      <c r="C261" s="5" t="s">
        <v>1005</v>
      </c>
      <c r="D261" s="5" t="s">
        <v>1006</v>
      </c>
      <c r="E261" s="5" t="s">
        <v>451</v>
      </c>
    </row>
    <row r="262">
      <c r="A262" s="5">
        <v>261.0</v>
      </c>
      <c r="B262" s="5" t="s">
        <v>1007</v>
      </c>
      <c r="C262" s="5" t="s">
        <v>1008</v>
      </c>
      <c r="D262" s="5" t="s">
        <v>1009</v>
      </c>
      <c r="E262" s="5" t="s">
        <v>451</v>
      </c>
    </row>
    <row r="263">
      <c r="A263" s="5">
        <v>262.0</v>
      </c>
      <c r="B263" s="5" t="s">
        <v>1010</v>
      </c>
      <c r="C263" s="5" t="s">
        <v>1011</v>
      </c>
      <c r="D263" s="5" t="s">
        <v>1012</v>
      </c>
      <c r="E263" s="5" t="s">
        <v>451</v>
      </c>
    </row>
    <row r="264">
      <c r="A264" s="5">
        <v>263.0</v>
      </c>
      <c r="B264" s="5" t="s">
        <v>1013</v>
      </c>
      <c r="C264" s="5" t="s">
        <v>1014</v>
      </c>
      <c r="D264" s="5" t="s">
        <v>1015</v>
      </c>
      <c r="E264" s="5" t="s">
        <v>451</v>
      </c>
    </row>
    <row r="265">
      <c r="A265" s="5">
        <v>264.0</v>
      </c>
      <c r="B265" s="5" t="s">
        <v>1016</v>
      </c>
      <c r="C265" s="5" t="s">
        <v>1017</v>
      </c>
      <c r="D265" s="5" t="s">
        <v>1018</v>
      </c>
      <c r="E265" s="5" t="s">
        <v>451</v>
      </c>
    </row>
    <row r="266">
      <c r="A266" s="5">
        <v>265.0</v>
      </c>
      <c r="B266" s="5" t="s">
        <v>1019</v>
      </c>
      <c r="C266" s="5" t="s">
        <v>1020</v>
      </c>
      <c r="D266" s="5" t="s">
        <v>1021</v>
      </c>
      <c r="E266" s="5" t="s">
        <v>451</v>
      </c>
    </row>
    <row r="267">
      <c r="A267" s="5">
        <v>266.0</v>
      </c>
      <c r="B267" s="5" t="s">
        <v>1022</v>
      </c>
      <c r="C267" s="5" t="s">
        <v>1023</v>
      </c>
      <c r="D267" s="5" t="s">
        <v>1024</v>
      </c>
      <c r="E267" s="5" t="s">
        <v>451</v>
      </c>
    </row>
    <row r="268">
      <c r="A268" s="5">
        <v>267.0</v>
      </c>
      <c r="B268" s="5" t="s">
        <v>1025</v>
      </c>
      <c r="C268" s="5" t="s">
        <v>1026</v>
      </c>
      <c r="D268" s="5" t="s">
        <v>1027</v>
      </c>
      <c r="E268" s="5" t="s">
        <v>451</v>
      </c>
    </row>
    <row r="269">
      <c r="A269" s="5">
        <v>268.0</v>
      </c>
      <c r="B269" s="5" t="s">
        <v>1028</v>
      </c>
      <c r="C269" s="5" t="s">
        <v>1029</v>
      </c>
      <c r="D269" s="5" t="s">
        <v>1030</v>
      </c>
      <c r="E269" s="5" t="s">
        <v>451</v>
      </c>
    </row>
    <row r="270">
      <c r="A270" s="5">
        <v>269.0</v>
      </c>
      <c r="B270" s="5" t="s">
        <v>1031</v>
      </c>
      <c r="C270" s="5" t="s">
        <v>1032</v>
      </c>
      <c r="D270" s="5" t="s">
        <v>1033</v>
      </c>
      <c r="E270" s="5" t="s">
        <v>451</v>
      </c>
    </row>
    <row r="271">
      <c r="A271" s="5">
        <v>270.0</v>
      </c>
      <c r="B271" s="5" t="s">
        <v>1034</v>
      </c>
      <c r="C271" s="5" t="s">
        <v>1035</v>
      </c>
      <c r="D271" s="5" t="s">
        <v>1036</v>
      </c>
      <c r="E271" s="5" t="s">
        <v>451</v>
      </c>
    </row>
    <row r="272">
      <c r="A272" s="5">
        <v>271.0</v>
      </c>
      <c r="B272" s="5" t="s">
        <v>1037</v>
      </c>
      <c r="C272" s="5" t="s">
        <v>1038</v>
      </c>
      <c r="D272" s="5" t="s">
        <v>1039</v>
      </c>
      <c r="E272" s="5" t="s">
        <v>451</v>
      </c>
    </row>
    <row r="273">
      <c r="A273" s="5">
        <v>272.0</v>
      </c>
      <c r="B273" s="5" t="s">
        <v>1040</v>
      </c>
      <c r="C273" s="5" t="s">
        <v>1041</v>
      </c>
      <c r="D273" s="5" t="s">
        <v>1042</v>
      </c>
      <c r="E273" s="5" t="s">
        <v>451</v>
      </c>
    </row>
    <row r="274">
      <c r="A274" s="5">
        <v>273.0</v>
      </c>
      <c r="B274" s="5" t="s">
        <v>1043</v>
      </c>
      <c r="C274" s="5" t="s">
        <v>1044</v>
      </c>
      <c r="D274" s="5" t="s">
        <v>1045</v>
      </c>
      <c r="E274" s="5" t="s">
        <v>451</v>
      </c>
    </row>
    <row r="275">
      <c r="A275" s="5">
        <v>274.0</v>
      </c>
      <c r="B275" s="5" t="s">
        <v>1046</v>
      </c>
      <c r="C275" s="5" t="s">
        <v>1047</v>
      </c>
      <c r="D275" s="5" t="s">
        <v>1048</v>
      </c>
      <c r="E275" s="5" t="s">
        <v>451</v>
      </c>
    </row>
    <row r="276">
      <c r="A276" s="5">
        <v>275.0</v>
      </c>
      <c r="B276" s="5" t="s">
        <v>1049</v>
      </c>
      <c r="C276" s="5" t="s">
        <v>1050</v>
      </c>
      <c r="D276" s="5" t="s">
        <v>1051</v>
      </c>
      <c r="E276" s="5" t="s">
        <v>451</v>
      </c>
    </row>
    <row r="277">
      <c r="A277" s="5">
        <v>276.0</v>
      </c>
      <c r="B277" s="5" t="s">
        <v>1052</v>
      </c>
      <c r="C277" s="5" t="s">
        <v>1053</v>
      </c>
      <c r="D277" s="5" t="s">
        <v>1054</v>
      </c>
      <c r="E277" s="5" t="s">
        <v>451</v>
      </c>
    </row>
    <row r="278">
      <c r="A278" s="5">
        <v>277.0</v>
      </c>
      <c r="B278" s="5" t="s">
        <v>1055</v>
      </c>
      <c r="C278" s="5" t="s">
        <v>1056</v>
      </c>
      <c r="D278" s="5" t="s">
        <v>1057</v>
      </c>
      <c r="E278" s="5" t="s">
        <v>451</v>
      </c>
    </row>
    <row r="279">
      <c r="A279" s="5">
        <v>278.0</v>
      </c>
      <c r="B279" s="5" t="s">
        <v>1058</v>
      </c>
      <c r="C279" s="5" t="s">
        <v>1059</v>
      </c>
      <c r="D279" s="5" t="s">
        <v>1060</v>
      </c>
      <c r="E279" s="5" t="s">
        <v>451</v>
      </c>
    </row>
    <row r="280">
      <c r="A280" s="5">
        <v>279.0</v>
      </c>
      <c r="B280" s="5" t="s">
        <v>1061</v>
      </c>
      <c r="C280" s="5" t="s">
        <v>1062</v>
      </c>
      <c r="D280" s="5" t="s">
        <v>1063</v>
      </c>
      <c r="E280" s="5" t="s">
        <v>451</v>
      </c>
    </row>
    <row r="281">
      <c r="A281" s="5">
        <v>280.0</v>
      </c>
      <c r="B281" s="5" t="s">
        <v>1064</v>
      </c>
      <c r="C281" s="5" t="s">
        <v>1065</v>
      </c>
      <c r="D281" s="5" t="s">
        <v>1066</v>
      </c>
      <c r="E281" s="5" t="s">
        <v>451</v>
      </c>
    </row>
    <row r="282">
      <c r="A282" s="5">
        <v>281.0</v>
      </c>
      <c r="B282" s="5" t="s">
        <v>1067</v>
      </c>
      <c r="C282" s="5" t="s">
        <v>1068</v>
      </c>
      <c r="D282" s="5" t="s">
        <v>1069</v>
      </c>
      <c r="E282" s="5" t="s">
        <v>451</v>
      </c>
    </row>
    <row r="283">
      <c r="A283" s="5">
        <v>282.0</v>
      </c>
      <c r="B283" s="5" t="s">
        <v>1070</v>
      </c>
      <c r="C283" s="5" t="s">
        <v>1071</v>
      </c>
      <c r="D283" s="5" t="s">
        <v>1072</v>
      </c>
      <c r="E283" s="5" t="s">
        <v>451</v>
      </c>
    </row>
    <row r="284">
      <c r="A284" s="5">
        <v>283.0</v>
      </c>
      <c r="B284" s="5" t="s">
        <v>1073</v>
      </c>
      <c r="C284" s="5" t="s">
        <v>1074</v>
      </c>
      <c r="D284" s="5" t="s">
        <v>1075</v>
      </c>
      <c r="E284" s="5" t="s">
        <v>451</v>
      </c>
    </row>
    <row r="285">
      <c r="A285" s="5">
        <v>284.0</v>
      </c>
      <c r="B285" s="5" t="s">
        <v>1076</v>
      </c>
      <c r="C285" s="5" t="s">
        <v>1077</v>
      </c>
      <c r="D285" s="5" t="s">
        <v>1078</v>
      </c>
      <c r="E285" s="5" t="s">
        <v>451</v>
      </c>
    </row>
    <row r="286">
      <c r="A286" s="5">
        <v>285.0</v>
      </c>
      <c r="B286" s="5" t="s">
        <v>1079</v>
      </c>
      <c r="C286" s="5" t="s">
        <v>1080</v>
      </c>
      <c r="D286" s="5" t="s">
        <v>1081</v>
      </c>
      <c r="E286" s="5" t="s">
        <v>451</v>
      </c>
    </row>
    <row r="287">
      <c r="A287" s="5">
        <v>286.0</v>
      </c>
      <c r="B287" s="5" t="s">
        <v>1082</v>
      </c>
      <c r="C287" s="5" t="s">
        <v>1083</v>
      </c>
      <c r="D287" s="5" t="s">
        <v>1084</v>
      </c>
      <c r="E287" s="5" t="s">
        <v>451</v>
      </c>
    </row>
    <row r="288">
      <c r="A288" s="5">
        <v>287.0</v>
      </c>
      <c r="B288" s="5" t="s">
        <v>1085</v>
      </c>
      <c r="C288" s="5" t="s">
        <v>1086</v>
      </c>
      <c r="D288" s="5" t="s">
        <v>1087</v>
      </c>
      <c r="E288" s="5" t="s">
        <v>451</v>
      </c>
    </row>
    <row r="289">
      <c r="A289" s="5">
        <v>288.0</v>
      </c>
      <c r="B289" s="5" t="s">
        <v>1088</v>
      </c>
      <c r="C289" s="5" t="s">
        <v>1089</v>
      </c>
      <c r="D289" s="5" t="s">
        <v>1090</v>
      </c>
      <c r="E289" s="5" t="s">
        <v>451</v>
      </c>
    </row>
    <row r="290">
      <c r="A290" s="5">
        <v>289.0</v>
      </c>
      <c r="B290" s="5" t="s">
        <v>1091</v>
      </c>
      <c r="C290" s="5" t="s">
        <v>1092</v>
      </c>
      <c r="D290" s="5" t="s">
        <v>1093</v>
      </c>
      <c r="E290" s="5" t="s">
        <v>451</v>
      </c>
    </row>
    <row r="291">
      <c r="A291" s="5">
        <v>290.0</v>
      </c>
      <c r="B291" s="5" t="s">
        <v>1094</v>
      </c>
      <c r="C291" s="5" t="s">
        <v>1095</v>
      </c>
      <c r="D291" s="5" t="s">
        <v>1096</v>
      </c>
      <c r="E291" s="5" t="s">
        <v>228</v>
      </c>
    </row>
    <row r="292">
      <c r="A292" s="5">
        <v>291.0</v>
      </c>
      <c r="B292" s="5" t="s">
        <v>1097</v>
      </c>
      <c r="C292" s="5" t="s">
        <v>1098</v>
      </c>
      <c r="D292" s="5" t="s">
        <v>1099</v>
      </c>
      <c r="E292" s="5" t="s">
        <v>228</v>
      </c>
    </row>
    <row r="293">
      <c r="A293" s="5">
        <v>292.0</v>
      </c>
      <c r="B293" s="5" t="s">
        <v>1100</v>
      </c>
      <c r="C293" s="5" t="s">
        <v>1101</v>
      </c>
      <c r="D293" s="5" t="s">
        <v>1102</v>
      </c>
      <c r="E293" s="5" t="s">
        <v>228</v>
      </c>
    </row>
    <row r="294">
      <c r="A294" s="5">
        <v>293.0</v>
      </c>
      <c r="B294" s="5" t="s">
        <v>1103</v>
      </c>
      <c r="C294" s="5" t="s">
        <v>1104</v>
      </c>
      <c r="D294" s="5" t="s">
        <v>1105</v>
      </c>
      <c r="E294" s="5" t="s">
        <v>228</v>
      </c>
    </row>
    <row r="295">
      <c r="A295" s="5">
        <v>294.0</v>
      </c>
      <c r="B295" s="5" t="s">
        <v>1106</v>
      </c>
      <c r="C295" s="5" t="s">
        <v>1107</v>
      </c>
      <c r="D295" s="5" t="s">
        <v>1108</v>
      </c>
      <c r="E295" s="5" t="s">
        <v>228</v>
      </c>
    </row>
    <row r="296">
      <c r="A296" s="5">
        <v>295.0</v>
      </c>
      <c r="B296" s="5" t="s">
        <v>1109</v>
      </c>
      <c r="C296" s="5" t="s">
        <v>1110</v>
      </c>
      <c r="D296" s="5" t="s">
        <v>1111</v>
      </c>
      <c r="E296" s="5" t="s">
        <v>228</v>
      </c>
    </row>
    <row r="297">
      <c r="A297" s="5">
        <v>296.0</v>
      </c>
      <c r="B297" s="5" t="s">
        <v>1112</v>
      </c>
      <c r="C297" s="5" t="s">
        <v>1113</v>
      </c>
      <c r="D297" s="5" t="s">
        <v>1114</v>
      </c>
      <c r="E297" s="5" t="s">
        <v>228</v>
      </c>
    </row>
    <row r="298">
      <c r="A298" s="5">
        <v>297.0</v>
      </c>
      <c r="B298" s="5" t="s">
        <v>1115</v>
      </c>
      <c r="C298" s="5" t="s">
        <v>1116</v>
      </c>
      <c r="D298" s="5" t="s">
        <v>1117</v>
      </c>
      <c r="E298" s="5" t="s">
        <v>228</v>
      </c>
    </row>
    <row r="299">
      <c r="A299" s="5">
        <v>298.0</v>
      </c>
      <c r="B299" s="5" t="s">
        <v>1118</v>
      </c>
      <c r="C299" s="5" t="s">
        <v>1119</v>
      </c>
      <c r="D299" s="5" t="s">
        <v>1120</v>
      </c>
      <c r="E299" s="5" t="s">
        <v>228</v>
      </c>
    </row>
    <row r="300">
      <c r="A300" s="5">
        <v>299.0</v>
      </c>
      <c r="B300" s="5" t="s">
        <v>1121</v>
      </c>
      <c r="C300" s="5" t="s">
        <v>1122</v>
      </c>
      <c r="D300" s="5" t="s">
        <v>1123</v>
      </c>
      <c r="E300" s="5" t="s">
        <v>228</v>
      </c>
    </row>
    <row r="301">
      <c r="A301" s="5">
        <v>300.0</v>
      </c>
      <c r="B301" s="5" t="s">
        <v>1124</v>
      </c>
      <c r="C301" s="5" t="s">
        <v>1125</v>
      </c>
      <c r="D301" s="5" t="s">
        <v>1126</v>
      </c>
      <c r="E301" s="5" t="s">
        <v>228</v>
      </c>
    </row>
    <row r="302">
      <c r="A302" s="5">
        <v>301.0</v>
      </c>
      <c r="B302" s="5" t="s">
        <v>1127</v>
      </c>
      <c r="C302" s="5" t="s">
        <v>1128</v>
      </c>
      <c r="D302" s="5" t="s">
        <v>1129</v>
      </c>
      <c r="E302" s="5" t="s">
        <v>228</v>
      </c>
    </row>
    <row r="303">
      <c r="A303" s="5">
        <v>302.0</v>
      </c>
      <c r="B303" s="5" t="s">
        <v>1130</v>
      </c>
      <c r="C303" s="5" t="s">
        <v>1131</v>
      </c>
      <c r="D303" s="5" t="s">
        <v>1132</v>
      </c>
      <c r="E303" s="5" t="s">
        <v>228</v>
      </c>
    </row>
    <row r="304">
      <c r="A304" s="5">
        <v>303.0</v>
      </c>
      <c r="B304" s="5" t="s">
        <v>1133</v>
      </c>
      <c r="C304" s="5" t="s">
        <v>1134</v>
      </c>
      <c r="D304" s="5" t="s">
        <v>1135</v>
      </c>
      <c r="E304" s="5" t="s">
        <v>228</v>
      </c>
    </row>
    <row r="305">
      <c r="A305" s="5">
        <v>304.0</v>
      </c>
      <c r="B305" s="5" t="s">
        <v>1136</v>
      </c>
      <c r="C305" s="5" t="s">
        <v>1137</v>
      </c>
      <c r="D305" s="5" t="s">
        <v>1138</v>
      </c>
      <c r="E305" s="5" t="s">
        <v>228</v>
      </c>
    </row>
    <row r="306">
      <c r="A306" s="5">
        <v>305.0</v>
      </c>
      <c r="B306" s="5" t="s">
        <v>1139</v>
      </c>
      <c r="C306" s="5" t="s">
        <v>1140</v>
      </c>
      <c r="D306" s="5" t="s">
        <v>1141</v>
      </c>
      <c r="E306" s="5" t="s">
        <v>228</v>
      </c>
    </row>
    <row r="307">
      <c r="A307" s="5">
        <v>306.0</v>
      </c>
      <c r="B307" s="5" t="s">
        <v>1142</v>
      </c>
      <c r="C307" s="5" t="s">
        <v>1143</v>
      </c>
      <c r="D307" s="5" t="s">
        <v>1144</v>
      </c>
      <c r="E307" s="5" t="s">
        <v>228</v>
      </c>
    </row>
    <row r="308">
      <c r="A308" s="5">
        <v>307.0</v>
      </c>
      <c r="B308" s="5" t="s">
        <v>1145</v>
      </c>
      <c r="C308" s="5" t="s">
        <v>1146</v>
      </c>
      <c r="D308" s="5" t="s">
        <v>1147</v>
      </c>
      <c r="E308" s="5" t="s">
        <v>228</v>
      </c>
    </row>
    <row r="309">
      <c r="A309" s="5">
        <v>308.0</v>
      </c>
      <c r="B309" s="5" t="s">
        <v>1148</v>
      </c>
      <c r="C309" s="5" t="s">
        <v>1149</v>
      </c>
      <c r="D309" s="5" t="s">
        <v>1150</v>
      </c>
      <c r="E309" s="5" t="s">
        <v>228</v>
      </c>
    </row>
    <row r="310">
      <c r="A310" s="5">
        <v>309.0</v>
      </c>
      <c r="B310" s="5" t="s">
        <v>1151</v>
      </c>
      <c r="C310" s="5" t="s">
        <v>1152</v>
      </c>
      <c r="D310" s="5" t="s">
        <v>1153</v>
      </c>
      <c r="E310" s="5" t="s">
        <v>228</v>
      </c>
    </row>
    <row r="311">
      <c r="A311" s="5">
        <v>310.0</v>
      </c>
      <c r="B311" s="5" t="s">
        <v>1154</v>
      </c>
      <c r="C311" s="5" t="s">
        <v>1155</v>
      </c>
      <c r="D311" s="5" t="s">
        <v>1156</v>
      </c>
      <c r="E311" s="5" t="s">
        <v>228</v>
      </c>
    </row>
    <row r="312">
      <c r="A312" s="5">
        <v>311.0</v>
      </c>
      <c r="B312" s="5" t="s">
        <v>1157</v>
      </c>
      <c r="C312" s="5" t="s">
        <v>1158</v>
      </c>
      <c r="D312" s="5" t="s">
        <v>1159</v>
      </c>
      <c r="E312" s="5" t="s">
        <v>228</v>
      </c>
    </row>
    <row r="313">
      <c r="A313" s="5">
        <v>312.0</v>
      </c>
      <c r="B313" s="5" t="s">
        <v>1160</v>
      </c>
      <c r="C313" s="5" t="s">
        <v>1161</v>
      </c>
      <c r="D313" s="5" t="s">
        <v>1162</v>
      </c>
      <c r="E313" s="5" t="s">
        <v>228</v>
      </c>
    </row>
    <row r="314">
      <c r="A314" s="5">
        <v>313.0</v>
      </c>
      <c r="B314" s="5" t="s">
        <v>1163</v>
      </c>
      <c r="C314" s="5" t="s">
        <v>1164</v>
      </c>
      <c r="D314" s="5" t="s">
        <v>1165</v>
      </c>
      <c r="E314" s="5" t="s">
        <v>228</v>
      </c>
    </row>
    <row r="315">
      <c r="A315" s="5">
        <v>314.0</v>
      </c>
      <c r="B315" s="5" t="s">
        <v>1166</v>
      </c>
      <c r="C315" s="5" t="s">
        <v>1167</v>
      </c>
      <c r="D315" s="5" t="s">
        <v>1168</v>
      </c>
      <c r="E315" s="5" t="s">
        <v>228</v>
      </c>
    </row>
    <row r="316">
      <c r="A316" s="5">
        <v>315.0</v>
      </c>
      <c r="B316" s="5" t="s">
        <v>1169</v>
      </c>
      <c r="C316" s="5" t="s">
        <v>1170</v>
      </c>
      <c r="D316" s="5" t="s">
        <v>1171</v>
      </c>
      <c r="E316" s="5" t="s">
        <v>228</v>
      </c>
    </row>
    <row r="317">
      <c r="A317" s="5">
        <v>316.0</v>
      </c>
      <c r="B317" s="5" t="s">
        <v>1172</v>
      </c>
      <c r="C317" s="5" t="s">
        <v>1173</v>
      </c>
      <c r="D317" s="5" t="s">
        <v>1174</v>
      </c>
      <c r="E317" s="5" t="s">
        <v>228</v>
      </c>
    </row>
    <row r="318">
      <c r="A318" s="5">
        <v>317.0</v>
      </c>
      <c r="B318" s="5" t="s">
        <v>1175</v>
      </c>
      <c r="C318" s="5" t="s">
        <v>1176</v>
      </c>
      <c r="D318" s="5" t="s">
        <v>1177</v>
      </c>
      <c r="E318" s="5" t="s">
        <v>228</v>
      </c>
    </row>
    <row r="319">
      <c r="A319" s="5">
        <v>318.0</v>
      </c>
      <c r="B319" s="5" t="s">
        <v>1178</v>
      </c>
      <c r="C319" s="5" t="s">
        <v>1179</v>
      </c>
      <c r="D319" s="5" t="s">
        <v>1180</v>
      </c>
      <c r="E319" s="5" t="s">
        <v>228</v>
      </c>
    </row>
    <row r="320">
      <c r="A320" s="5">
        <v>319.0</v>
      </c>
      <c r="B320" s="5" t="s">
        <v>1181</v>
      </c>
      <c r="C320" s="5" t="s">
        <v>1182</v>
      </c>
      <c r="D320" s="5" t="s">
        <v>1183</v>
      </c>
      <c r="E320" s="5" t="s">
        <v>228</v>
      </c>
    </row>
    <row r="321">
      <c r="A321" s="5">
        <v>320.0</v>
      </c>
      <c r="B321" s="5" t="s">
        <v>1184</v>
      </c>
      <c r="C321" s="5" t="s">
        <v>1185</v>
      </c>
      <c r="D321" s="5" t="s">
        <v>1186</v>
      </c>
      <c r="E321" s="5" t="s">
        <v>228</v>
      </c>
    </row>
    <row r="322">
      <c r="A322" s="5">
        <v>321.0</v>
      </c>
      <c r="B322" s="5" t="s">
        <v>1187</v>
      </c>
      <c r="C322" s="5" t="s">
        <v>1188</v>
      </c>
      <c r="D322" s="5" t="s">
        <v>1189</v>
      </c>
      <c r="E322" s="5" t="s">
        <v>228</v>
      </c>
    </row>
    <row r="323">
      <c r="A323" s="5">
        <v>322.0</v>
      </c>
      <c r="B323" s="5" t="s">
        <v>1190</v>
      </c>
      <c r="C323" s="5" t="s">
        <v>1191</v>
      </c>
      <c r="D323" s="5" t="s">
        <v>1192</v>
      </c>
      <c r="E323" s="5" t="s">
        <v>1193</v>
      </c>
    </row>
    <row r="324">
      <c r="A324" s="5">
        <v>323.0</v>
      </c>
      <c r="B324" s="5" t="s">
        <v>1194</v>
      </c>
      <c r="C324" s="5" t="s">
        <v>1195</v>
      </c>
      <c r="D324" s="5" t="s">
        <v>1196</v>
      </c>
      <c r="E324" s="5" t="s">
        <v>1193</v>
      </c>
    </row>
    <row r="325">
      <c r="A325" s="5">
        <v>324.0</v>
      </c>
      <c r="B325" s="5" t="s">
        <v>1197</v>
      </c>
      <c r="C325" s="5" t="s">
        <v>1198</v>
      </c>
      <c r="D325" s="5" t="s">
        <v>1199</v>
      </c>
      <c r="E325" s="5" t="s">
        <v>1193</v>
      </c>
    </row>
    <row r="326">
      <c r="A326" s="5">
        <v>325.0</v>
      </c>
      <c r="B326" s="5" t="s">
        <v>1200</v>
      </c>
      <c r="C326" s="5" t="s">
        <v>1201</v>
      </c>
      <c r="D326" s="5" t="s">
        <v>1202</v>
      </c>
      <c r="E326" s="5" t="s">
        <v>1193</v>
      </c>
    </row>
    <row r="327">
      <c r="A327" s="5">
        <v>326.0</v>
      </c>
      <c r="B327" s="5" t="s">
        <v>1203</v>
      </c>
      <c r="C327" s="5" t="s">
        <v>1204</v>
      </c>
      <c r="D327" s="5" t="s">
        <v>1205</v>
      </c>
      <c r="E327" s="5" t="s">
        <v>1193</v>
      </c>
    </row>
    <row r="328">
      <c r="A328" s="5">
        <v>327.0</v>
      </c>
      <c r="B328" s="5" t="s">
        <v>1206</v>
      </c>
      <c r="C328" s="5" t="s">
        <v>1207</v>
      </c>
      <c r="D328" s="5" t="s">
        <v>1208</v>
      </c>
      <c r="E328" s="5" t="s">
        <v>1193</v>
      </c>
    </row>
    <row r="329">
      <c r="A329" s="5">
        <v>328.0</v>
      </c>
      <c r="B329" s="5" t="s">
        <v>1209</v>
      </c>
      <c r="C329" s="5" t="s">
        <v>1210</v>
      </c>
      <c r="D329" s="5" t="s">
        <v>1211</v>
      </c>
      <c r="E329" s="5" t="s">
        <v>1193</v>
      </c>
    </row>
    <row r="330">
      <c r="A330" s="5">
        <v>329.0</v>
      </c>
      <c r="B330" s="5" t="s">
        <v>1212</v>
      </c>
      <c r="C330" s="5" t="s">
        <v>1213</v>
      </c>
      <c r="D330" s="5" t="s">
        <v>1214</v>
      </c>
      <c r="E330" s="5" t="s">
        <v>1193</v>
      </c>
    </row>
    <row r="331">
      <c r="A331" s="5">
        <v>330.0</v>
      </c>
      <c r="B331" s="5" t="s">
        <v>1215</v>
      </c>
      <c r="C331" s="5" t="s">
        <v>1216</v>
      </c>
      <c r="D331" s="5" t="s">
        <v>1217</v>
      </c>
      <c r="E331" s="5" t="s">
        <v>1193</v>
      </c>
    </row>
    <row r="332">
      <c r="A332" s="5">
        <v>331.0</v>
      </c>
      <c r="B332" s="5" t="s">
        <v>1218</v>
      </c>
      <c r="C332" s="5" t="s">
        <v>1219</v>
      </c>
      <c r="D332" s="5" t="s">
        <v>1220</v>
      </c>
      <c r="E332" s="5" t="s">
        <v>1193</v>
      </c>
    </row>
    <row r="333">
      <c r="A333" s="5">
        <v>332.0</v>
      </c>
      <c r="B333" s="5" t="s">
        <v>1221</v>
      </c>
      <c r="C333" s="5" t="s">
        <v>1222</v>
      </c>
      <c r="D333" s="5" t="s">
        <v>1223</v>
      </c>
      <c r="E333" s="5" t="s">
        <v>1193</v>
      </c>
    </row>
    <row r="334">
      <c r="A334" s="5">
        <v>333.0</v>
      </c>
      <c r="B334" s="5" t="s">
        <v>1224</v>
      </c>
      <c r="C334" s="5" t="s">
        <v>1225</v>
      </c>
      <c r="D334" s="5" t="s">
        <v>1226</v>
      </c>
      <c r="E334" s="5" t="s">
        <v>1193</v>
      </c>
    </row>
    <row r="335">
      <c r="A335" s="5">
        <v>334.0</v>
      </c>
      <c r="B335" s="5" t="s">
        <v>1227</v>
      </c>
      <c r="C335" s="5" t="s">
        <v>1228</v>
      </c>
      <c r="D335" s="5" t="s">
        <v>1229</v>
      </c>
      <c r="E335" s="5" t="s">
        <v>1193</v>
      </c>
    </row>
    <row r="336">
      <c r="A336" s="5">
        <v>335.0</v>
      </c>
      <c r="B336" s="5" t="s">
        <v>1230</v>
      </c>
      <c r="C336" s="5" t="s">
        <v>1231</v>
      </c>
      <c r="D336" s="5" t="s">
        <v>1232</v>
      </c>
      <c r="E336" s="5" t="s">
        <v>1193</v>
      </c>
    </row>
    <row r="337">
      <c r="A337" s="5">
        <v>336.0</v>
      </c>
      <c r="B337" s="5" t="s">
        <v>1233</v>
      </c>
      <c r="C337" s="5" t="s">
        <v>1234</v>
      </c>
      <c r="D337" s="5" t="s">
        <v>1235</v>
      </c>
      <c r="E337" s="5" t="s">
        <v>1193</v>
      </c>
    </row>
    <row r="338">
      <c r="A338" s="5">
        <v>337.0</v>
      </c>
      <c r="B338" s="5" t="s">
        <v>1236</v>
      </c>
      <c r="C338" s="5" t="s">
        <v>1237</v>
      </c>
      <c r="D338" s="5" t="s">
        <v>1238</v>
      </c>
      <c r="E338" s="5" t="s">
        <v>1193</v>
      </c>
    </row>
    <row r="339">
      <c r="A339" s="5">
        <v>338.0</v>
      </c>
      <c r="B339" s="5" t="s">
        <v>1239</v>
      </c>
      <c r="C339" s="5" t="s">
        <v>1240</v>
      </c>
      <c r="D339" s="5" t="s">
        <v>1241</v>
      </c>
      <c r="E339" s="5" t="s">
        <v>1193</v>
      </c>
    </row>
    <row r="340">
      <c r="A340" s="5">
        <v>339.0</v>
      </c>
      <c r="B340" s="5" t="s">
        <v>1242</v>
      </c>
      <c r="C340" s="5" t="s">
        <v>1243</v>
      </c>
      <c r="D340" s="5" t="s">
        <v>1244</v>
      </c>
      <c r="E340" s="5" t="s">
        <v>1193</v>
      </c>
    </row>
    <row r="341">
      <c r="A341" s="5">
        <v>340.0</v>
      </c>
      <c r="B341" s="5" t="s">
        <v>1245</v>
      </c>
      <c r="C341" s="5" t="s">
        <v>1246</v>
      </c>
      <c r="D341" s="5" t="s">
        <v>1247</v>
      </c>
      <c r="E341" s="5" t="s">
        <v>1248</v>
      </c>
    </row>
    <row r="342">
      <c r="A342" s="5">
        <v>341.0</v>
      </c>
      <c r="B342" s="5" t="s">
        <v>1249</v>
      </c>
      <c r="C342" s="5" t="s">
        <v>1250</v>
      </c>
      <c r="D342" s="5" t="s">
        <v>1251</v>
      </c>
      <c r="E342" s="5" t="s">
        <v>1248</v>
      </c>
    </row>
    <row r="343">
      <c r="A343" s="5">
        <v>342.0</v>
      </c>
      <c r="B343" s="5" t="s">
        <v>1252</v>
      </c>
      <c r="C343" s="5" t="s">
        <v>1253</v>
      </c>
      <c r="D343" s="5" t="s">
        <v>1254</v>
      </c>
      <c r="E343" s="5" t="s">
        <v>1248</v>
      </c>
    </row>
    <row r="344">
      <c r="A344" s="5">
        <v>343.0</v>
      </c>
      <c r="B344" s="5" t="s">
        <v>1255</v>
      </c>
      <c r="C344" s="5" t="s">
        <v>1256</v>
      </c>
      <c r="D344" s="5" t="s">
        <v>1257</v>
      </c>
      <c r="E344" s="5" t="s">
        <v>1248</v>
      </c>
    </row>
    <row r="345">
      <c r="A345" s="5">
        <v>344.0</v>
      </c>
      <c r="B345" s="5" t="s">
        <v>1258</v>
      </c>
      <c r="C345" s="5" t="s">
        <v>1259</v>
      </c>
      <c r="D345" s="5" t="s">
        <v>1260</v>
      </c>
      <c r="E345" s="5" t="s">
        <v>1248</v>
      </c>
    </row>
    <row r="346">
      <c r="A346" s="5">
        <v>345.0</v>
      </c>
      <c r="B346" s="5" t="s">
        <v>1261</v>
      </c>
      <c r="C346" s="5" t="s">
        <v>1262</v>
      </c>
      <c r="D346" s="5" t="s">
        <v>1263</v>
      </c>
      <c r="E346" s="5" t="s">
        <v>1248</v>
      </c>
    </row>
    <row r="347">
      <c r="A347" s="5">
        <v>346.0</v>
      </c>
      <c r="B347" s="5" t="s">
        <v>1264</v>
      </c>
      <c r="C347" s="5" t="s">
        <v>1265</v>
      </c>
      <c r="D347" s="5" t="s">
        <v>1266</v>
      </c>
      <c r="E347" s="5" t="s">
        <v>1248</v>
      </c>
    </row>
    <row r="348">
      <c r="A348" s="5">
        <v>347.0</v>
      </c>
      <c r="B348" s="5" t="s">
        <v>1267</v>
      </c>
      <c r="C348" s="5" t="s">
        <v>1268</v>
      </c>
      <c r="D348" s="5" t="s">
        <v>1269</v>
      </c>
      <c r="E348" s="5" t="s">
        <v>1248</v>
      </c>
    </row>
    <row r="349">
      <c r="A349" s="5">
        <v>348.0</v>
      </c>
      <c r="B349" s="5" t="s">
        <v>1270</v>
      </c>
      <c r="C349" s="5" t="s">
        <v>1271</v>
      </c>
      <c r="D349" s="5" t="s">
        <v>1272</v>
      </c>
      <c r="E349" s="5" t="s">
        <v>1248</v>
      </c>
    </row>
    <row r="350">
      <c r="A350" s="5">
        <v>349.0</v>
      </c>
      <c r="B350" s="5" t="s">
        <v>1273</v>
      </c>
      <c r="C350" s="5" t="s">
        <v>1274</v>
      </c>
      <c r="D350" s="5" t="s">
        <v>1275</v>
      </c>
      <c r="E350" s="5" t="s">
        <v>1248</v>
      </c>
    </row>
    <row r="351">
      <c r="A351" s="5">
        <v>350.0</v>
      </c>
      <c r="B351" s="5" t="s">
        <v>1276</v>
      </c>
      <c r="C351" s="5" t="s">
        <v>1277</v>
      </c>
      <c r="D351" s="5" t="s">
        <v>1278</v>
      </c>
      <c r="E351" s="5" t="s">
        <v>1248</v>
      </c>
    </row>
    <row r="352">
      <c r="A352" s="5">
        <v>351.0</v>
      </c>
      <c r="B352" s="5" t="s">
        <v>1279</v>
      </c>
      <c r="C352" s="5" t="s">
        <v>1280</v>
      </c>
      <c r="D352" s="5" t="s">
        <v>1281</v>
      </c>
      <c r="E352" s="5" t="s">
        <v>1248</v>
      </c>
    </row>
    <row r="353">
      <c r="A353" s="5">
        <v>352.0</v>
      </c>
      <c r="B353" s="5" t="s">
        <v>1282</v>
      </c>
      <c r="C353" s="5" t="s">
        <v>1283</v>
      </c>
      <c r="D353" s="5" t="s">
        <v>1284</v>
      </c>
      <c r="E353" s="5" t="s">
        <v>1248</v>
      </c>
    </row>
    <row r="354">
      <c r="A354" s="5">
        <v>353.0</v>
      </c>
      <c r="B354" s="5" t="s">
        <v>1285</v>
      </c>
      <c r="C354" s="5" t="s">
        <v>1286</v>
      </c>
      <c r="D354" s="5" t="s">
        <v>1287</v>
      </c>
      <c r="E354" s="5" t="s">
        <v>166</v>
      </c>
    </row>
    <row r="355">
      <c r="A355" s="5">
        <v>354.0</v>
      </c>
      <c r="B355" s="5" t="s">
        <v>1288</v>
      </c>
      <c r="C355" s="5" t="s">
        <v>1289</v>
      </c>
      <c r="D355" s="5" t="s">
        <v>1290</v>
      </c>
      <c r="E355" s="5" t="s">
        <v>166</v>
      </c>
    </row>
    <row r="356">
      <c r="A356" s="5">
        <v>355.0</v>
      </c>
      <c r="B356" s="5" t="s">
        <v>1291</v>
      </c>
      <c r="C356" s="5" t="s">
        <v>1292</v>
      </c>
      <c r="D356" s="5" t="s">
        <v>1293</v>
      </c>
      <c r="E356" s="5" t="s">
        <v>166</v>
      </c>
    </row>
    <row r="357">
      <c r="A357" s="5">
        <v>356.0</v>
      </c>
      <c r="B357" s="5" t="s">
        <v>1294</v>
      </c>
      <c r="C357" s="5" t="s">
        <v>1295</v>
      </c>
      <c r="D357" s="5" t="s">
        <v>1296</v>
      </c>
      <c r="E357" s="5" t="s">
        <v>166</v>
      </c>
    </row>
    <row r="358">
      <c r="A358" s="5">
        <v>357.0</v>
      </c>
      <c r="B358" s="5" t="s">
        <v>1297</v>
      </c>
      <c r="C358" s="5" t="s">
        <v>1298</v>
      </c>
      <c r="D358" s="5" t="s">
        <v>1299</v>
      </c>
      <c r="E358" s="5" t="s">
        <v>166</v>
      </c>
    </row>
    <row r="359">
      <c r="A359" s="5">
        <v>358.0</v>
      </c>
      <c r="B359" s="5" t="s">
        <v>1300</v>
      </c>
      <c r="C359" s="5" t="s">
        <v>1301</v>
      </c>
      <c r="D359" s="5" t="s">
        <v>1302</v>
      </c>
      <c r="E359" s="5" t="s">
        <v>166</v>
      </c>
    </row>
    <row r="360">
      <c r="A360" s="5">
        <v>359.0</v>
      </c>
      <c r="B360" s="5" t="s">
        <v>1303</v>
      </c>
      <c r="C360" s="5" t="s">
        <v>1304</v>
      </c>
      <c r="D360" s="5" t="s">
        <v>1305</v>
      </c>
      <c r="E360" s="5" t="s">
        <v>166</v>
      </c>
    </row>
    <row r="361">
      <c r="A361" s="5">
        <v>360.0</v>
      </c>
      <c r="B361" s="5" t="s">
        <v>1306</v>
      </c>
      <c r="C361" s="5" t="s">
        <v>1307</v>
      </c>
      <c r="D361" s="5" t="s">
        <v>1308</v>
      </c>
      <c r="E361" s="5" t="s">
        <v>166</v>
      </c>
    </row>
    <row r="362">
      <c r="A362" s="5">
        <v>361.0</v>
      </c>
      <c r="B362" s="5" t="s">
        <v>1309</v>
      </c>
      <c r="C362" s="5" t="s">
        <v>1310</v>
      </c>
      <c r="D362" s="5" t="s">
        <v>1311</v>
      </c>
      <c r="E362" s="5" t="s">
        <v>166</v>
      </c>
    </row>
    <row r="363">
      <c r="A363" s="5">
        <v>362.0</v>
      </c>
      <c r="B363" s="5" t="s">
        <v>1312</v>
      </c>
      <c r="C363" s="5" t="s">
        <v>1313</v>
      </c>
      <c r="D363" s="5" t="s">
        <v>1314</v>
      </c>
      <c r="E363" s="5" t="s">
        <v>166</v>
      </c>
    </row>
    <row r="364">
      <c r="A364" s="5">
        <v>363.0</v>
      </c>
      <c r="B364" s="5" t="s">
        <v>1315</v>
      </c>
      <c r="C364" s="5" t="s">
        <v>1316</v>
      </c>
      <c r="D364" s="5" t="s">
        <v>1317</v>
      </c>
      <c r="E364" s="5" t="s">
        <v>166</v>
      </c>
    </row>
    <row r="365">
      <c r="A365" s="5">
        <v>364.0</v>
      </c>
      <c r="B365" s="5" t="s">
        <v>1318</v>
      </c>
      <c r="C365" s="5" t="s">
        <v>1319</v>
      </c>
      <c r="D365" s="5" t="s">
        <v>1320</v>
      </c>
      <c r="E365" s="5" t="s">
        <v>1321</v>
      </c>
    </row>
    <row r="366">
      <c r="A366" s="5">
        <v>365.0</v>
      </c>
      <c r="B366" s="5" t="s">
        <v>1322</v>
      </c>
      <c r="C366" s="5" t="s">
        <v>1323</v>
      </c>
      <c r="D366" s="5" t="s">
        <v>1324</v>
      </c>
      <c r="E366" s="5" t="s">
        <v>1321</v>
      </c>
    </row>
    <row r="367">
      <c r="A367" s="5">
        <v>366.0</v>
      </c>
      <c r="B367" s="5" t="s">
        <v>1325</v>
      </c>
      <c r="C367" s="5" t="s">
        <v>1326</v>
      </c>
      <c r="D367" s="5" t="s">
        <v>1327</v>
      </c>
      <c r="E367" s="5" t="s">
        <v>1321</v>
      </c>
    </row>
    <row r="368">
      <c r="A368" s="5">
        <v>367.0</v>
      </c>
      <c r="B368" s="5" t="s">
        <v>1328</v>
      </c>
      <c r="C368" s="5" t="s">
        <v>1329</v>
      </c>
      <c r="D368" s="5" t="s">
        <v>1330</v>
      </c>
      <c r="E368" s="5" t="s">
        <v>1321</v>
      </c>
    </row>
    <row r="369">
      <c r="A369" s="5">
        <v>368.0</v>
      </c>
      <c r="B369" s="5" t="s">
        <v>1331</v>
      </c>
      <c r="C369" s="5" t="s">
        <v>1332</v>
      </c>
      <c r="D369" s="5" t="s">
        <v>1333</v>
      </c>
      <c r="E369" s="5" t="s">
        <v>1321</v>
      </c>
    </row>
    <row r="370">
      <c r="A370" s="5">
        <v>369.0</v>
      </c>
      <c r="B370" s="5" t="s">
        <v>1334</v>
      </c>
      <c r="C370" s="5" t="s">
        <v>1335</v>
      </c>
      <c r="D370" s="5" t="s">
        <v>1336</v>
      </c>
      <c r="E370" s="5" t="s">
        <v>1321</v>
      </c>
    </row>
    <row r="371">
      <c r="A371" s="5">
        <v>370.0</v>
      </c>
      <c r="B371" s="5" t="s">
        <v>1337</v>
      </c>
      <c r="C371" s="5" t="s">
        <v>1338</v>
      </c>
      <c r="D371" s="5" t="s">
        <v>1339</v>
      </c>
      <c r="E371" s="5" t="s">
        <v>1321</v>
      </c>
    </row>
    <row r="372">
      <c r="A372" s="5">
        <v>371.0</v>
      </c>
      <c r="B372" s="5" t="s">
        <v>1340</v>
      </c>
      <c r="C372" s="5" t="s">
        <v>1341</v>
      </c>
      <c r="D372" s="5" t="s">
        <v>1342</v>
      </c>
      <c r="E372" s="5" t="s">
        <v>1321</v>
      </c>
    </row>
    <row r="373">
      <c r="A373" s="5">
        <v>372.0</v>
      </c>
      <c r="B373" s="5" t="s">
        <v>1343</v>
      </c>
      <c r="C373" s="5" t="s">
        <v>1344</v>
      </c>
      <c r="D373" s="5" t="s">
        <v>1345</v>
      </c>
      <c r="E373" s="5" t="s">
        <v>1321</v>
      </c>
    </row>
    <row r="374">
      <c r="A374" s="5">
        <v>373.0</v>
      </c>
      <c r="B374" s="5" t="s">
        <v>1346</v>
      </c>
      <c r="C374" s="5" t="s">
        <v>1347</v>
      </c>
      <c r="D374" s="5" t="s">
        <v>1348</v>
      </c>
      <c r="E374" s="5" t="s">
        <v>1321</v>
      </c>
    </row>
    <row r="375">
      <c r="A375" s="5">
        <v>374.0</v>
      </c>
      <c r="B375" s="5" t="s">
        <v>1349</v>
      </c>
      <c r="C375" s="5" t="s">
        <v>1350</v>
      </c>
      <c r="D375" s="5" t="s">
        <v>1351</v>
      </c>
      <c r="E375" s="5" t="s">
        <v>1321</v>
      </c>
    </row>
    <row r="376">
      <c r="A376" s="5">
        <v>375.0</v>
      </c>
      <c r="B376" s="5" t="s">
        <v>1352</v>
      </c>
      <c r="C376" s="5" t="s">
        <v>1353</v>
      </c>
      <c r="D376" s="5" t="s">
        <v>1354</v>
      </c>
      <c r="E376" s="5" t="s">
        <v>1321</v>
      </c>
    </row>
    <row r="377">
      <c r="A377" s="5">
        <v>376.0</v>
      </c>
      <c r="B377" s="5" t="s">
        <v>1355</v>
      </c>
      <c r="C377" s="5" t="s">
        <v>1356</v>
      </c>
      <c r="D377" s="5" t="s">
        <v>1357</v>
      </c>
      <c r="E377" s="5" t="s">
        <v>1321</v>
      </c>
    </row>
    <row r="378">
      <c r="A378" s="5">
        <v>377.0</v>
      </c>
      <c r="B378" s="5" t="s">
        <v>1358</v>
      </c>
      <c r="C378" s="5" t="s">
        <v>1359</v>
      </c>
      <c r="D378" s="5" t="s">
        <v>1360</v>
      </c>
      <c r="E378" s="5" t="s">
        <v>1321</v>
      </c>
    </row>
    <row r="379">
      <c r="A379" s="5">
        <v>378.0</v>
      </c>
      <c r="B379" s="5" t="s">
        <v>1361</v>
      </c>
      <c r="C379" s="5" t="s">
        <v>1362</v>
      </c>
      <c r="D379" s="5" t="s">
        <v>1363</v>
      </c>
      <c r="E379" s="5" t="s">
        <v>1321</v>
      </c>
    </row>
    <row r="380">
      <c r="A380" s="5">
        <v>379.0</v>
      </c>
      <c r="B380" s="5" t="s">
        <v>1364</v>
      </c>
      <c r="C380" s="5" t="s">
        <v>1365</v>
      </c>
      <c r="D380" s="5" t="s">
        <v>1366</v>
      </c>
      <c r="E380" s="5" t="s">
        <v>1321</v>
      </c>
    </row>
    <row r="381">
      <c r="A381" s="5">
        <v>380.0</v>
      </c>
      <c r="B381" s="5" t="s">
        <v>1367</v>
      </c>
      <c r="C381" s="5" t="s">
        <v>1368</v>
      </c>
      <c r="D381" s="5" t="s">
        <v>1369</v>
      </c>
      <c r="E381" s="5" t="s">
        <v>1321</v>
      </c>
    </row>
    <row r="382">
      <c r="A382" s="5">
        <v>381.0</v>
      </c>
      <c r="B382" s="5" t="s">
        <v>1370</v>
      </c>
      <c r="C382" s="5" t="s">
        <v>1371</v>
      </c>
      <c r="D382" s="5" t="s">
        <v>1372</v>
      </c>
      <c r="E382" s="5" t="s">
        <v>1321</v>
      </c>
    </row>
    <row r="383">
      <c r="A383" s="5">
        <v>382.0</v>
      </c>
      <c r="B383" s="5" t="s">
        <v>1373</v>
      </c>
      <c r="C383" s="5" t="s">
        <v>1374</v>
      </c>
      <c r="D383" s="5" t="s">
        <v>1375</v>
      </c>
      <c r="E383" s="5" t="s">
        <v>1321</v>
      </c>
    </row>
    <row r="384">
      <c r="A384" s="5">
        <v>383.0</v>
      </c>
      <c r="B384" s="5" t="s">
        <v>1376</v>
      </c>
      <c r="C384" s="5" t="s">
        <v>1377</v>
      </c>
      <c r="D384" s="5" t="s">
        <v>1378</v>
      </c>
      <c r="E384" s="5" t="s">
        <v>1321</v>
      </c>
    </row>
    <row r="385">
      <c r="A385" s="5">
        <v>384.0</v>
      </c>
      <c r="B385" s="5" t="s">
        <v>1379</v>
      </c>
      <c r="C385" s="5" t="s">
        <v>1380</v>
      </c>
      <c r="D385" s="5" t="s">
        <v>1381</v>
      </c>
      <c r="E385" s="5" t="s">
        <v>1321</v>
      </c>
    </row>
    <row r="386">
      <c r="A386" s="5">
        <v>385.0</v>
      </c>
      <c r="B386" s="5" t="s">
        <v>1382</v>
      </c>
      <c r="C386" s="5" t="s">
        <v>1383</v>
      </c>
      <c r="D386" s="5" t="s">
        <v>1384</v>
      </c>
      <c r="E386" s="5" t="s">
        <v>1321</v>
      </c>
    </row>
    <row r="387">
      <c r="A387" s="5">
        <v>386.0</v>
      </c>
      <c r="B387" s="5" t="s">
        <v>1385</v>
      </c>
      <c r="C387" s="5" t="s">
        <v>1386</v>
      </c>
      <c r="D387" s="5" t="s">
        <v>1387</v>
      </c>
      <c r="E387" s="5" t="s">
        <v>1321</v>
      </c>
    </row>
    <row r="388">
      <c r="A388" s="5">
        <v>387.0</v>
      </c>
      <c r="B388" s="5" t="s">
        <v>1388</v>
      </c>
      <c r="C388" s="5" t="s">
        <v>1389</v>
      </c>
      <c r="D388" s="5" t="s">
        <v>1390</v>
      </c>
      <c r="E388" s="5" t="s">
        <v>1321</v>
      </c>
    </row>
    <row r="389">
      <c r="A389" s="5">
        <v>388.0</v>
      </c>
      <c r="B389" s="5" t="s">
        <v>1391</v>
      </c>
      <c r="C389" s="5" t="s">
        <v>1392</v>
      </c>
      <c r="D389" s="5" t="s">
        <v>1393</v>
      </c>
      <c r="E389" s="5" t="s">
        <v>1321</v>
      </c>
    </row>
    <row r="390">
      <c r="A390" s="5">
        <v>389.0</v>
      </c>
      <c r="B390" s="5" t="s">
        <v>1394</v>
      </c>
      <c r="C390" s="5" t="s">
        <v>1395</v>
      </c>
      <c r="D390" s="5" t="s">
        <v>1396</v>
      </c>
      <c r="E390" s="5" t="s">
        <v>1321</v>
      </c>
    </row>
    <row r="391">
      <c r="A391" s="5">
        <v>390.0</v>
      </c>
      <c r="B391" s="5" t="s">
        <v>1397</v>
      </c>
      <c r="C391" s="5" t="s">
        <v>1398</v>
      </c>
      <c r="D391" s="5" t="s">
        <v>1399</v>
      </c>
      <c r="E391" s="5" t="s">
        <v>1321</v>
      </c>
    </row>
    <row r="392">
      <c r="A392" s="5">
        <v>391.0</v>
      </c>
      <c r="B392" s="5" t="s">
        <v>1400</v>
      </c>
      <c r="C392" s="5" t="s">
        <v>1401</v>
      </c>
      <c r="D392" s="5" t="s">
        <v>1402</v>
      </c>
      <c r="E392" s="5" t="s">
        <v>1321</v>
      </c>
    </row>
    <row r="393">
      <c r="A393" s="5">
        <v>392.0</v>
      </c>
      <c r="B393" s="5" t="s">
        <v>1403</v>
      </c>
      <c r="C393" s="5" t="s">
        <v>1404</v>
      </c>
      <c r="D393" s="5" t="s">
        <v>1405</v>
      </c>
      <c r="E393" s="5" t="s">
        <v>1321</v>
      </c>
    </row>
    <row r="394">
      <c r="A394" s="5">
        <v>393.0</v>
      </c>
      <c r="B394" s="5" t="s">
        <v>1406</v>
      </c>
      <c r="C394" s="5" t="s">
        <v>1407</v>
      </c>
      <c r="D394" s="5" t="s">
        <v>1408</v>
      </c>
      <c r="E394" s="5" t="s">
        <v>1321</v>
      </c>
    </row>
    <row r="395">
      <c r="A395" s="5">
        <v>394.0</v>
      </c>
      <c r="B395" s="5" t="s">
        <v>1409</v>
      </c>
      <c r="C395" s="5" t="s">
        <v>1410</v>
      </c>
      <c r="D395" s="5" t="s">
        <v>1411</v>
      </c>
      <c r="E395" s="5" t="s">
        <v>1321</v>
      </c>
    </row>
    <row r="396">
      <c r="A396" s="5">
        <v>395.0</v>
      </c>
      <c r="B396" s="5" t="s">
        <v>1412</v>
      </c>
      <c r="C396" s="5" t="s">
        <v>1413</v>
      </c>
      <c r="D396" s="5" t="s">
        <v>1414</v>
      </c>
      <c r="E396" s="5" t="s">
        <v>1321</v>
      </c>
    </row>
    <row r="397">
      <c r="A397" s="5">
        <v>396.0</v>
      </c>
      <c r="B397" s="5" t="s">
        <v>1415</v>
      </c>
      <c r="C397" s="5" t="s">
        <v>1416</v>
      </c>
      <c r="D397" s="5" t="s">
        <v>1417</v>
      </c>
      <c r="E397" s="5" t="s">
        <v>1321</v>
      </c>
    </row>
    <row r="398">
      <c r="A398" s="5">
        <v>397.0</v>
      </c>
      <c r="B398" s="5" t="s">
        <v>1418</v>
      </c>
      <c r="C398" s="5" t="s">
        <v>1419</v>
      </c>
      <c r="D398" s="5" t="s">
        <v>1420</v>
      </c>
      <c r="E398" s="5" t="s">
        <v>1321</v>
      </c>
    </row>
    <row r="399">
      <c r="A399" s="5">
        <v>398.0</v>
      </c>
      <c r="B399" s="5" t="s">
        <v>1421</v>
      </c>
      <c r="C399" s="5" t="s">
        <v>1422</v>
      </c>
      <c r="D399" s="5" t="s">
        <v>1423</v>
      </c>
      <c r="E399" s="5" t="s">
        <v>1321</v>
      </c>
    </row>
    <row r="400">
      <c r="A400" s="5">
        <v>399.0</v>
      </c>
      <c r="B400" s="5" t="s">
        <v>1424</v>
      </c>
      <c r="C400" s="5" t="s">
        <v>1425</v>
      </c>
      <c r="D400" s="5" t="s">
        <v>1426</v>
      </c>
      <c r="E400" s="5" t="s">
        <v>1321</v>
      </c>
    </row>
    <row r="401">
      <c r="A401" s="5">
        <v>400.0</v>
      </c>
      <c r="B401" s="5" t="s">
        <v>1427</v>
      </c>
      <c r="C401" s="5" t="s">
        <v>1428</v>
      </c>
      <c r="D401" s="5" t="s">
        <v>1429</v>
      </c>
      <c r="E401" s="5" t="s">
        <v>1321</v>
      </c>
    </row>
    <row r="402">
      <c r="A402" s="5">
        <v>401.0</v>
      </c>
      <c r="B402" s="5" t="s">
        <v>1430</v>
      </c>
      <c r="C402" s="5" t="s">
        <v>1431</v>
      </c>
      <c r="D402" s="5" t="s">
        <v>1432</v>
      </c>
      <c r="E402" s="5" t="s">
        <v>1321</v>
      </c>
    </row>
    <row r="403">
      <c r="A403" s="5">
        <v>402.0</v>
      </c>
      <c r="B403" s="5" t="s">
        <v>1433</v>
      </c>
      <c r="C403" s="5" t="s">
        <v>1434</v>
      </c>
      <c r="D403" s="5" t="s">
        <v>1435</v>
      </c>
      <c r="E403" s="5" t="s">
        <v>1321</v>
      </c>
    </row>
    <row r="404">
      <c r="A404" s="5">
        <v>403.0</v>
      </c>
      <c r="B404" s="5" t="s">
        <v>1436</v>
      </c>
      <c r="C404" s="5" t="s">
        <v>1437</v>
      </c>
      <c r="D404" s="5" t="s">
        <v>1438</v>
      </c>
      <c r="E404" s="5" t="s">
        <v>1321</v>
      </c>
    </row>
    <row r="405">
      <c r="A405" s="5">
        <v>404.0</v>
      </c>
      <c r="B405" s="5" t="s">
        <v>1439</v>
      </c>
      <c r="C405" s="5" t="s">
        <v>1440</v>
      </c>
      <c r="D405" s="5" t="s">
        <v>1441</v>
      </c>
      <c r="E405" s="5" t="s">
        <v>1321</v>
      </c>
    </row>
    <row r="406">
      <c r="A406" s="5">
        <v>405.0</v>
      </c>
      <c r="B406" s="5" t="s">
        <v>1442</v>
      </c>
      <c r="C406" s="5" t="s">
        <v>1443</v>
      </c>
      <c r="D406" s="5" t="s">
        <v>1444</v>
      </c>
      <c r="E406" s="5" t="s">
        <v>1321</v>
      </c>
    </row>
    <row r="407">
      <c r="A407" s="5">
        <v>406.0</v>
      </c>
      <c r="B407" s="5" t="s">
        <v>1445</v>
      </c>
      <c r="C407" s="5" t="s">
        <v>1446</v>
      </c>
      <c r="D407" s="5" t="s">
        <v>1447</v>
      </c>
      <c r="E407" s="5" t="s">
        <v>1321</v>
      </c>
    </row>
    <row r="408">
      <c r="A408" s="5">
        <v>407.0</v>
      </c>
      <c r="B408" s="5" t="s">
        <v>1448</v>
      </c>
      <c r="C408" s="5" t="s">
        <v>1449</v>
      </c>
      <c r="D408" s="5" t="s">
        <v>1450</v>
      </c>
      <c r="E408" s="5" t="s">
        <v>1321</v>
      </c>
    </row>
    <row r="409">
      <c r="A409" s="5">
        <v>408.0</v>
      </c>
      <c r="B409" s="5" t="s">
        <v>1451</v>
      </c>
      <c r="C409" s="5" t="s">
        <v>1452</v>
      </c>
      <c r="D409" s="5" t="s">
        <v>1453</v>
      </c>
      <c r="E409" s="5" t="s">
        <v>1321</v>
      </c>
    </row>
    <row r="410">
      <c r="A410" s="5">
        <v>409.0</v>
      </c>
      <c r="B410" s="5" t="s">
        <v>1454</v>
      </c>
      <c r="C410" s="5" t="s">
        <v>1455</v>
      </c>
      <c r="D410" s="5" t="s">
        <v>1456</v>
      </c>
      <c r="E410" s="5" t="s">
        <v>1321</v>
      </c>
    </row>
    <row r="411">
      <c r="A411" s="5">
        <v>410.0</v>
      </c>
      <c r="B411" s="5" t="s">
        <v>1457</v>
      </c>
      <c r="C411" s="5" t="s">
        <v>1458</v>
      </c>
      <c r="D411" s="5" t="s">
        <v>1459</v>
      </c>
      <c r="E411" s="5" t="s">
        <v>1321</v>
      </c>
    </row>
    <row r="412">
      <c r="A412" s="5">
        <v>411.0</v>
      </c>
      <c r="B412" s="5" t="s">
        <v>1460</v>
      </c>
      <c r="C412" s="5" t="s">
        <v>1461</v>
      </c>
      <c r="D412" s="5" t="s">
        <v>1462</v>
      </c>
      <c r="E412" s="5" t="s">
        <v>1321</v>
      </c>
    </row>
    <row r="413">
      <c r="A413" s="5">
        <v>412.0</v>
      </c>
      <c r="B413" s="5" t="s">
        <v>1463</v>
      </c>
      <c r="C413" s="5" t="s">
        <v>1464</v>
      </c>
      <c r="D413" s="5" t="s">
        <v>1465</v>
      </c>
      <c r="E413" s="5" t="s">
        <v>1321</v>
      </c>
    </row>
    <row r="414">
      <c r="A414" s="5">
        <v>413.0</v>
      </c>
      <c r="B414" s="5" t="s">
        <v>1466</v>
      </c>
      <c r="C414" s="5" t="s">
        <v>1467</v>
      </c>
      <c r="D414" s="5" t="s">
        <v>1468</v>
      </c>
      <c r="E414" s="5" t="s">
        <v>1321</v>
      </c>
    </row>
    <row r="415">
      <c r="A415" s="5">
        <v>414.0</v>
      </c>
      <c r="B415" s="5" t="s">
        <v>1469</v>
      </c>
      <c r="C415" s="5" t="s">
        <v>1470</v>
      </c>
      <c r="D415" s="5" t="s">
        <v>1471</v>
      </c>
      <c r="E415" s="5" t="s">
        <v>1321</v>
      </c>
    </row>
    <row r="416">
      <c r="A416" s="5">
        <v>415.0</v>
      </c>
      <c r="B416" s="5" t="s">
        <v>1472</v>
      </c>
      <c r="C416" s="5" t="s">
        <v>1473</v>
      </c>
      <c r="D416" s="5" t="s">
        <v>1474</v>
      </c>
      <c r="E416" s="5" t="s">
        <v>1321</v>
      </c>
    </row>
    <row r="417">
      <c r="A417" s="5">
        <v>416.0</v>
      </c>
      <c r="B417" s="5" t="s">
        <v>1475</v>
      </c>
      <c r="C417" s="5" t="s">
        <v>1476</v>
      </c>
      <c r="D417" s="5" t="s">
        <v>1477</v>
      </c>
      <c r="E417" s="5" t="s">
        <v>1321</v>
      </c>
    </row>
    <row r="418">
      <c r="A418" s="5">
        <v>417.0</v>
      </c>
      <c r="B418" s="5" t="s">
        <v>1478</v>
      </c>
      <c r="C418" s="5" t="s">
        <v>1479</v>
      </c>
      <c r="D418" s="5" t="s">
        <v>1480</v>
      </c>
      <c r="E418" s="5" t="s">
        <v>1321</v>
      </c>
    </row>
    <row r="419">
      <c r="A419" s="5">
        <v>418.0</v>
      </c>
      <c r="B419" s="5" t="s">
        <v>1481</v>
      </c>
      <c r="C419" s="5" t="s">
        <v>1482</v>
      </c>
      <c r="D419" s="5" t="s">
        <v>1483</v>
      </c>
      <c r="E419" s="5" t="s">
        <v>1321</v>
      </c>
    </row>
    <row r="420">
      <c r="A420" s="5">
        <v>419.0</v>
      </c>
      <c r="B420" s="5" t="s">
        <v>1484</v>
      </c>
      <c r="C420" s="5" t="s">
        <v>1485</v>
      </c>
      <c r="D420" s="5" t="s">
        <v>1486</v>
      </c>
      <c r="E420" s="5" t="s">
        <v>1321</v>
      </c>
    </row>
    <row r="421">
      <c r="A421" s="5">
        <v>420.0</v>
      </c>
      <c r="B421" s="5" t="s">
        <v>1487</v>
      </c>
      <c r="C421" s="5" t="s">
        <v>1488</v>
      </c>
      <c r="D421" s="5" t="s">
        <v>1489</v>
      </c>
      <c r="E421" s="5" t="s">
        <v>1321</v>
      </c>
    </row>
    <row r="422">
      <c r="A422" s="5">
        <v>421.0</v>
      </c>
      <c r="B422" s="5" t="s">
        <v>1490</v>
      </c>
      <c r="C422" s="5" t="s">
        <v>1491</v>
      </c>
      <c r="D422" s="5" t="s">
        <v>1492</v>
      </c>
      <c r="E422" s="5" t="s">
        <v>1321</v>
      </c>
    </row>
    <row r="423">
      <c r="A423" s="5">
        <v>422.0</v>
      </c>
      <c r="B423" s="5" t="s">
        <v>1493</v>
      </c>
      <c r="C423" s="5" t="s">
        <v>1494</v>
      </c>
      <c r="D423" s="5" t="s">
        <v>1495</v>
      </c>
      <c r="E423" s="5" t="s">
        <v>1321</v>
      </c>
    </row>
    <row r="424">
      <c r="A424" s="5">
        <v>423.0</v>
      </c>
      <c r="B424" s="5" t="s">
        <v>1496</v>
      </c>
      <c r="C424" s="5" t="s">
        <v>1497</v>
      </c>
      <c r="D424" s="5" t="s">
        <v>1498</v>
      </c>
      <c r="E424" s="5" t="s">
        <v>1321</v>
      </c>
    </row>
    <row r="425">
      <c r="A425" s="5">
        <v>424.0</v>
      </c>
      <c r="B425" s="5" t="s">
        <v>1499</v>
      </c>
      <c r="C425" s="5" t="s">
        <v>1500</v>
      </c>
      <c r="D425" s="5" t="s">
        <v>1501</v>
      </c>
      <c r="E425" s="5" t="s">
        <v>1321</v>
      </c>
    </row>
    <row r="426">
      <c r="A426" s="5">
        <v>425.0</v>
      </c>
      <c r="B426" s="5" t="s">
        <v>1502</v>
      </c>
      <c r="C426" s="5" t="s">
        <v>1503</v>
      </c>
      <c r="D426" s="5" t="s">
        <v>1504</v>
      </c>
      <c r="E426" s="5" t="s">
        <v>1321</v>
      </c>
    </row>
    <row r="427">
      <c r="A427" s="5">
        <v>426.0</v>
      </c>
      <c r="B427" s="5" t="s">
        <v>1505</v>
      </c>
      <c r="C427" s="5" t="s">
        <v>1506</v>
      </c>
      <c r="D427" s="5" t="s">
        <v>1507</v>
      </c>
      <c r="E427" s="5" t="s">
        <v>1321</v>
      </c>
    </row>
    <row r="428">
      <c r="A428" s="5">
        <v>427.0</v>
      </c>
      <c r="B428" s="5" t="s">
        <v>1508</v>
      </c>
      <c r="C428" s="5" t="s">
        <v>1509</v>
      </c>
      <c r="D428" s="5" t="s">
        <v>1510</v>
      </c>
      <c r="E428" s="5" t="s">
        <v>1321</v>
      </c>
    </row>
    <row r="429">
      <c r="A429" s="5">
        <v>428.0</v>
      </c>
      <c r="B429" s="5" t="s">
        <v>1511</v>
      </c>
      <c r="C429" s="5" t="s">
        <v>1512</v>
      </c>
      <c r="D429" s="5" t="s">
        <v>1513</v>
      </c>
      <c r="E429" s="5" t="s">
        <v>1321</v>
      </c>
    </row>
    <row r="430">
      <c r="A430" s="5">
        <v>429.0</v>
      </c>
      <c r="B430" s="5" t="s">
        <v>1514</v>
      </c>
      <c r="C430" s="5" t="s">
        <v>1515</v>
      </c>
      <c r="D430" s="5" t="s">
        <v>1516</v>
      </c>
      <c r="E430" s="5" t="s">
        <v>1321</v>
      </c>
    </row>
    <row r="431">
      <c r="A431" s="5">
        <v>430.0</v>
      </c>
      <c r="B431" s="5" t="s">
        <v>1517</v>
      </c>
      <c r="C431" s="5" t="s">
        <v>1518</v>
      </c>
      <c r="D431" s="5" t="s">
        <v>1519</v>
      </c>
      <c r="E431" s="5" t="s">
        <v>1321</v>
      </c>
    </row>
    <row r="432">
      <c r="A432" s="5">
        <v>431.0</v>
      </c>
      <c r="B432" s="5" t="s">
        <v>1520</v>
      </c>
      <c r="C432" s="5" t="s">
        <v>1521</v>
      </c>
      <c r="D432" s="5" t="s">
        <v>1522</v>
      </c>
      <c r="E432" s="5" t="s">
        <v>1321</v>
      </c>
    </row>
    <row r="433">
      <c r="A433" s="5">
        <v>432.0</v>
      </c>
      <c r="B433" s="5" t="s">
        <v>1523</v>
      </c>
      <c r="C433" s="5" t="s">
        <v>1524</v>
      </c>
      <c r="D433" s="5" t="s">
        <v>1525</v>
      </c>
      <c r="E433" s="5" t="s">
        <v>1321</v>
      </c>
    </row>
    <row r="434">
      <c r="A434" s="5">
        <v>433.0</v>
      </c>
      <c r="B434" s="5" t="s">
        <v>1526</v>
      </c>
      <c r="C434" s="5" t="s">
        <v>1527</v>
      </c>
      <c r="D434" s="5" t="s">
        <v>1528</v>
      </c>
      <c r="E434" s="5" t="s">
        <v>1321</v>
      </c>
    </row>
    <row r="435">
      <c r="A435" s="5">
        <v>434.0</v>
      </c>
      <c r="B435" s="5" t="s">
        <v>1529</v>
      </c>
      <c r="C435" s="5" t="s">
        <v>1530</v>
      </c>
      <c r="D435" s="5" t="s">
        <v>1531</v>
      </c>
      <c r="E435" s="5" t="s">
        <v>1321</v>
      </c>
    </row>
    <row r="436">
      <c r="A436" s="5">
        <v>435.0</v>
      </c>
      <c r="B436" s="5" t="s">
        <v>1532</v>
      </c>
      <c r="C436" s="5" t="s">
        <v>1533</v>
      </c>
      <c r="D436" s="5" t="s">
        <v>1534</v>
      </c>
      <c r="E436" s="5" t="s">
        <v>1321</v>
      </c>
    </row>
    <row r="437">
      <c r="A437" s="5">
        <v>436.0</v>
      </c>
      <c r="B437" s="5" t="s">
        <v>1535</v>
      </c>
      <c r="C437" s="5" t="s">
        <v>1536</v>
      </c>
      <c r="D437" s="5" t="s">
        <v>1537</v>
      </c>
      <c r="E437" s="5" t="s">
        <v>1321</v>
      </c>
    </row>
    <row r="438">
      <c r="A438" s="5">
        <v>437.0</v>
      </c>
      <c r="B438" s="5" t="s">
        <v>1538</v>
      </c>
      <c r="C438" s="5" t="s">
        <v>1539</v>
      </c>
      <c r="D438" s="5" t="s">
        <v>1540</v>
      </c>
      <c r="E438" s="5" t="s">
        <v>1321</v>
      </c>
    </row>
    <row r="439">
      <c r="A439" s="5">
        <v>438.0</v>
      </c>
      <c r="B439" s="5" t="s">
        <v>1541</v>
      </c>
      <c r="C439" s="5" t="s">
        <v>1542</v>
      </c>
      <c r="D439" s="5" t="s">
        <v>1543</v>
      </c>
      <c r="E439" s="5" t="s">
        <v>1321</v>
      </c>
    </row>
    <row r="440">
      <c r="A440" s="5">
        <v>439.0</v>
      </c>
      <c r="B440" s="5" t="s">
        <v>1544</v>
      </c>
      <c r="C440" s="5" t="s">
        <v>1545</v>
      </c>
      <c r="D440" s="5" t="s">
        <v>1546</v>
      </c>
      <c r="E440" s="5" t="s">
        <v>1321</v>
      </c>
    </row>
    <row r="441">
      <c r="A441" s="5">
        <v>440.0</v>
      </c>
      <c r="B441" s="5" t="s">
        <v>1547</v>
      </c>
      <c r="C441" s="5" t="s">
        <v>1548</v>
      </c>
      <c r="D441" s="5" t="s">
        <v>1549</v>
      </c>
      <c r="E441" s="5" t="s">
        <v>1321</v>
      </c>
    </row>
    <row r="442">
      <c r="A442" s="5">
        <v>441.0</v>
      </c>
      <c r="B442" s="5" t="s">
        <v>1550</v>
      </c>
      <c r="C442" s="5" t="s">
        <v>1551</v>
      </c>
      <c r="D442" s="5" t="s">
        <v>1552</v>
      </c>
      <c r="E442" s="5" t="s">
        <v>1321</v>
      </c>
    </row>
    <row r="443">
      <c r="A443" s="5">
        <v>442.0</v>
      </c>
      <c r="B443" s="5" t="s">
        <v>1553</v>
      </c>
      <c r="C443" s="5" t="s">
        <v>1554</v>
      </c>
      <c r="D443" s="5" t="s">
        <v>1555</v>
      </c>
      <c r="E443" s="5" t="s">
        <v>1321</v>
      </c>
    </row>
    <row r="444">
      <c r="A444" s="5">
        <v>443.0</v>
      </c>
      <c r="B444" s="5" t="s">
        <v>1556</v>
      </c>
      <c r="C444" s="5" t="s">
        <v>1557</v>
      </c>
      <c r="D444" s="5" t="s">
        <v>1558</v>
      </c>
      <c r="E444" s="5" t="s">
        <v>1321</v>
      </c>
    </row>
    <row r="445">
      <c r="A445" s="5">
        <v>444.0</v>
      </c>
      <c r="B445" s="5" t="s">
        <v>1559</v>
      </c>
      <c r="C445" s="5" t="s">
        <v>1560</v>
      </c>
      <c r="D445" s="5" t="s">
        <v>1561</v>
      </c>
      <c r="E445" s="5" t="s">
        <v>1321</v>
      </c>
    </row>
    <row r="446">
      <c r="A446" s="5">
        <v>445.0</v>
      </c>
      <c r="B446" s="5" t="s">
        <v>1562</v>
      </c>
      <c r="C446" s="5" t="s">
        <v>1563</v>
      </c>
      <c r="D446" s="5" t="s">
        <v>1564</v>
      </c>
      <c r="E446" s="5" t="s">
        <v>1321</v>
      </c>
    </row>
    <row r="447">
      <c r="A447" s="5">
        <v>446.0</v>
      </c>
      <c r="B447" s="5" t="s">
        <v>1565</v>
      </c>
      <c r="C447" s="5" t="s">
        <v>1566</v>
      </c>
      <c r="D447" s="5" t="s">
        <v>1567</v>
      </c>
      <c r="E447" s="5" t="s">
        <v>1321</v>
      </c>
    </row>
    <row r="448">
      <c r="A448" s="5">
        <v>447.0</v>
      </c>
      <c r="B448" s="5" t="s">
        <v>1568</v>
      </c>
      <c r="C448" s="5" t="s">
        <v>1569</v>
      </c>
      <c r="D448" s="5" t="s">
        <v>1570</v>
      </c>
      <c r="E448" s="5" t="s">
        <v>1321</v>
      </c>
    </row>
    <row r="449">
      <c r="A449" s="5">
        <v>448.0</v>
      </c>
      <c r="B449" s="5" t="s">
        <v>1571</v>
      </c>
      <c r="C449" s="5" t="s">
        <v>1572</v>
      </c>
      <c r="D449" s="5" t="s">
        <v>1573</v>
      </c>
      <c r="E449" s="5" t="s">
        <v>1321</v>
      </c>
    </row>
    <row r="450">
      <c r="A450" s="5">
        <v>449.0</v>
      </c>
      <c r="B450" s="5" t="s">
        <v>1574</v>
      </c>
      <c r="C450" s="5" t="s">
        <v>1575</v>
      </c>
      <c r="D450" s="5" t="s">
        <v>1576</v>
      </c>
      <c r="E450" s="5" t="s">
        <v>1321</v>
      </c>
    </row>
    <row r="451">
      <c r="A451" s="5">
        <v>450.0</v>
      </c>
      <c r="B451" s="5" t="s">
        <v>1577</v>
      </c>
      <c r="C451" s="5" t="s">
        <v>1578</v>
      </c>
      <c r="D451" s="5" t="s">
        <v>1579</v>
      </c>
      <c r="E451" s="5" t="s">
        <v>1321</v>
      </c>
    </row>
    <row r="452">
      <c r="A452" s="5">
        <v>451.0</v>
      </c>
      <c r="B452" s="5" t="s">
        <v>1580</v>
      </c>
      <c r="C452" s="5" t="s">
        <v>1581</v>
      </c>
      <c r="D452" s="5" t="s">
        <v>1582</v>
      </c>
      <c r="E452" s="5" t="s">
        <v>1321</v>
      </c>
    </row>
    <row r="453">
      <c r="A453" s="5">
        <v>452.0</v>
      </c>
      <c r="B453" s="5" t="s">
        <v>1583</v>
      </c>
      <c r="C453" s="5" t="s">
        <v>1584</v>
      </c>
      <c r="D453" s="5" t="s">
        <v>1585</v>
      </c>
      <c r="E453" s="5" t="s">
        <v>1321</v>
      </c>
    </row>
    <row r="454">
      <c r="A454" s="5">
        <v>453.0</v>
      </c>
      <c r="B454" s="5" t="s">
        <v>1586</v>
      </c>
      <c r="C454" s="5" t="s">
        <v>1587</v>
      </c>
      <c r="D454" s="5" t="s">
        <v>1588</v>
      </c>
      <c r="E454" s="5" t="s">
        <v>1321</v>
      </c>
    </row>
    <row r="455">
      <c r="A455" s="5">
        <v>454.0</v>
      </c>
      <c r="B455" s="5" t="s">
        <v>1589</v>
      </c>
      <c r="C455" s="5" t="s">
        <v>1590</v>
      </c>
      <c r="D455" s="5" t="s">
        <v>1591</v>
      </c>
      <c r="E455" s="5" t="s">
        <v>1321</v>
      </c>
    </row>
    <row r="456">
      <c r="A456" s="5">
        <v>455.0</v>
      </c>
      <c r="B456" s="5" t="s">
        <v>1592</v>
      </c>
      <c r="C456" s="5" t="s">
        <v>1593</v>
      </c>
      <c r="D456" s="5" t="s">
        <v>1594</v>
      </c>
      <c r="E456" s="5" t="s">
        <v>1321</v>
      </c>
    </row>
    <row r="457">
      <c r="A457" s="5">
        <v>456.0</v>
      </c>
      <c r="B457" s="5" t="s">
        <v>1595</v>
      </c>
      <c r="C457" s="5" t="s">
        <v>1596</v>
      </c>
      <c r="D457" s="5" t="s">
        <v>1597</v>
      </c>
      <c r="E457" s="5" t="s">
        <v>1321</v>
      </c>
    </row>
    <row r="458">
      <c r="A458" s="5">
        <v>457.0</v>
      </c>
      <c r="B458" s="5" t="s">
        <v>1598</v>
      </c>
      <c r="C458" s="5" t="s">
        <v>1599</v>
      </c>
      <c r="D458" s="5" t="s">
        <v>1600</v>
      </c>
      <c r="E458" s="5" t="s">
        <v>1321</v>
      </c>
    </row>
    <row r="459">
      <c r="A459" s="5">
        <v>458.0</v>
      </c>
      <c r="B459" s="5" t="s">
        <v>1601</v>
      </c>
      <c r="C459" s="5" t="s">
        <v>1602</v>
      </c>
      <c r="D459" s="5" t="s">
        <v>1603</v>
      </c>
      <c r="E459" s="5" t="s">
        <v>1321</v>
      </c>
    </row>
    <row r="460">
      <c r="A460" s="5">
        <v>459.0</v>
      </c>
      <c r="B460" s="5" t="s">
        <v>1604</v>
      </c>
      <c r="C460" s="5" t="s">
        <v>1605</v>
      </c>
      <c r="D460" s="5" t="s">
        <v>1606</v>
      </c>
      <c r="E460" s="5" t="s">
        <v>1321</v>
      </c>
    </row>
    <row r="461">
      <c r="A461" s="5">
        <v>460.0</v>
      </c>
      <c r="B461" s="5" t="s">
        <v>1607</v>
      </c>
      <c r="C461" s="5" t="s">
        <v>1608</v>
      </c>
      <c r="D461" s="5" t="s">
        <v>1609</v>
      </c>
      <c r="E461" s="5" t="s">
        <v>1321</v>
      </c>
    </row>
    <row r="462">
      <c r="A462" s="5">
        <v>461.0</v>
      </c>
      <c r="B462" s="5" t="s">
        <v>1610</v>
      </c>
      <c r="C462" s="5" t="s">
        <v>1611</v>
      </c>
      <c r="D462" s="5" t="s">
        <v>1612</v>
      </c>
      <c r="E462" s="5" t="s">
        <v>1321</v>
      </c>
    </row>
    <row r="463">
      <c r="A463" s="5">
        <v>462.0</v>
      </c>
      <c r="B463" s="5" t="s">
        <v>1613</v>
      </c>
      <c r="C463" s="5" t="s">
        <v>1614</v>
      </c>
      <c r="D463" s="5" t="s">
        <v>1615</v>
      </c>
      <c r="E463" s="5" t="s">
        <v>1193</v>
      </c>
    </row>
    <row r="464">
      <c r="A464" s="5">
        <v>463.0</v>
      </c>
      <c r="B464" s="5" t="s">
        <v>1616</v>
      </c>
      <c r="C464" s="5" t="s">
        <v>1617</v>
      </c>
      <c r="D464" s="5" t="s">
        <v>1618</v>
      </c>
      <c r="E464" s="5" t="s">
        <v>1193</v>
      </c>
    </row>
    <row r="465">
      <c r="A465" s="5">
        <v>464.0</v>
      </c>
      <c r="B465" s="5" t="s">
        <v>1619</v>
      </c>
      <c r="C465" s="5" t="s">
        <v>1620</v>
      </c>
      <c r="D465" s="5" t="s">
        <v>1621</v>
      </c>
      <c r="E465" s="5" t="s">
        <v>1193</v>
      </c>
    </row>
    <row r="466">
      <c r="A466" s="5">
        <v>465.0</v>
      </c>
      <c r="B466" s="5" t="s">
        <v>1622</v>
      </c>
      <c r="C466" s="5" t="s">
        <v>1623</v>
      </c>
      <c r="D466" s="5" t="s">
        <v>1624</v>
      </c>
      <c r="E466" s="5" t="s">
        <v>1193</v>
      </c>
    </row>
    <row r="467">
      <c r="A467" s="5">
        <v>466.0</v>
      </c>
      <c r="B467" s="5" t="s">
        <v>1625</v>
      </c>
      <c r="C467" s="5" t="s">
        <v>1626</v>
      </c>
      <c r="D467" s="5" t="s">
        <v>1627</v>
      </c>
      <c r="E467" s="5" t="s">
        <v>1193</v>
      </c>
    </row>
    <row r="468">
      <c r="A468" s="5">
        <v>467.0</v>
      </c>
      <c r="B468" s="5" t="s">
        <v>1628</v>
      </c>
      <c r="C468" s="5" t="s">
        <v>1629</v>
      </c>
      <c r="D468" s="5" t="s">
        <v>1630</v>
      </c>
      <c r="E468" s="5" t="s">
        <v>1193</v>
      </c>
    </row>
    <row r="469">
      <c r="A469" s="5">
        <v>468.0</v>
      </c>
      <c r="B469" s="5" t="s">
        <v>1631</v>
      </c>
      <c r="C469" s="5" t="s">
        <v>1632</v>
      </c>
      <c r="D469" s="5" t="s">
        <v>1633</v>
      </c>
      <c r="E469" s="5" t="s">
        <v>1193</v>
      </c>
    </row>
    <row r="470">
      <c r="A470" s="5">
        <v>469.0</v>
      </c>
      <c r="B470" s="5" t="s">
        <v>1634</v>
      </c>
      <c r="C470" s="5" t="s">
        <v>1635</v>
      </c>
      <c r="D470" s="5" t="s">
        <v>1636</v>
      </c>
      <c r="E470" s="5" t="s">
        <v>1193</v>
      </c>
    </row>
    <row r="471">
      <c r="A471" s="5">
        <v>470.0</v>
      </c>
      <c r="B471" s="5" t="s">
        <v>1637</v>
      </c>
      <c r="C471" s="5" t="s">
        <v>1638</v>
      </c>
      <c r="D471" s="5" t="s">
        <v>1639</v>
      </c>
      <c r="E471" s="5" t="s">
        <v>1193</v>
      </c>
    </row>
    <row r="472">
      <c r="A472" s="5">
        <v>471.0</v>
      </c>
      <c r="B472" s="5" t="s">
        <v>1640</v>
      </c>
      <c r="C472" s="5" t="s">
        <v>1641</v>
      </c>
      <c r="D472" s="5" t="s">
        <v>1642</v>
      </c>
      <c r="E472" s="5" t="s">
        <v>1193</v>
      </c>
    </row>
    <row r="473">
      <c r="A473" s="5">
        <v>472.0</v>
      </c>
      <c r="B473" s="5" t="s">
        <v>1643</v>
      </c>
      <c r="C473" s="5" t="s">
        <v>1644</v>
      </c>
      <c r="D473" s="5" t="s">
        <v>1645</v>
      </c>
      <c r="E473" s="5" t="s">
        <v>1193</v>
      </c>
    </row>
    <row r="474">
      <c r="A474" s="5">
        <v>473.0</v>
      </c>
      <c r="B474" s="5" t="s">
        <v>1646</v>
      </c>
      <c r="C474" s="5" t="s">
        <v>1647</v>
      </c>
      <c r="D474" s="5" t="s">
        <v>1648</v>
      </c>
      <c r="E474" s="5" t="s">
        <v>1193</v>
      </c>
    </row>
    <row r="475">
      <c r="A475" s="5">
        <v>474.0</v>
      </c>
      <c r="B475" s="5" t="s">
        <v>1649</v>
      </c>
      <c r="C475" s="5" t="s">
        <v>1650</v>
      </c>
      <c r="D475" s="5" t="s">
        <v>1651</v>
      </c>
      <c r="E475" s="5" t="s">
        <v>1193</v>
      </c>
    </row>
    <row r="476">
      <c r="A476" s="5">
        <v>475.0</v>
      </c>
      <c r="B476" s="5" t="s">
        <v>1652</v>
      </c>
      <c r="C476" s="5" t="s">
        <v>1653</v>
      </c>
      <c r="D476" s="5" t="s">
        <v>1654</v>
      </c>
      <c r="E476" s="5" t="s">
        <v>1193</v>
      </c>
    </row>
    <row r="477">
      <c r="A477" s="5">
        <v>476.0</v>
      </c>
      <c r="B477" s="5" t="s">
        <v>1655</v>
      </c>
      <c r="C477" s="5" t="s">
        <v>1656</v>
      </c>
      <c r="D477" s="5" t="s">
        <v>1657</v>
      </c>
      <c r="E477" s="5" t="s">
        <v>1193</v>
      </c>
    </row>
    <row r="478">
      <c r="A478" s="5">
        <v>477.0</v>
      </c>
      <c r="B478" s="5" t="s">
        <v>1658</v>
      </c>
      <c r="C478" s="5" t="s">
        <v>1659</v>
      </c>
      <c r="D478" s="5" t="s">
        <v>1660</v>
      </c>
      <c r="E478" s="5" t="s">
        <v>1193</v>
      </c>
    </row>
    <row r="479">
      <c r="A479" s="5">
        <v>478.0</v>
      </c>
      <c r="B479" s="5" t="s">
        <v>1661</v>
      </c>
      <c r="C479" s="5" t="s">
        <v>1662</v>
      </c>
      <c r="D479" s="5" t="s">
        <v>1663</v>
      </c>
      <c r="E479" s="5" t="s">
        <v>1193</v>
      </c>
    </row>
    <row r="480">
      <c r="A480" s="5">
        <v>479.0</v>
      </c>
      <c r="B480" s="5" t="s">
        <v>1664</v>
      </c>
      <c r="C480" s="5" t="s">
        <v>1665</v>
      </c>
      <c r="D480" s="5" t="s">
        <v>1666</v>
      </c>
      <c r="E480" s="5" t="s">
        <v>1193</v>
      </c>
    </row>
    <row r="481">
      <c r="A481" s="5">
        <v>480.0</v>
      </c>
      <c r="B481" s="5" t="s">
        <v>1667</v>
      </c>
      <c r="C481" s="5" t="s">
        <v>1668</v>
      </c>
      <c r="D481" s="5" t="s">
        <v>1669</v>
      </c>
      <c r="E481" s="5" t="s">
        <v>1193</v>
      </c>
    </row>
    <row r="482">
      <c r="A482" s="5">
        <v>481.0</v>
      </c>
      <c r="B482" s="5" t="s">
        <v>1670</v>
      </c>
      <c r="C482" s="5" t="s">
        <v>1671</v>
      </c>
      <c r="D482" s="5" t="s">
        <v>1672</v>
      </c>
      <c r="E482" s="5" t="s">
        <v>1193</v>
      </c>
    </row>
    <row r="483">
      <c r="A483" s="5">
        <v>482.0</v>
      </c>
      <c r="B483" s="5" t="s">
        <v>1673</v>
      </c>
      <c r="C483" s="5" t="s">
        <v>1674</v>
      </c>
      <c r="D483" s="5" t="s">
        <v>1675</v>
      </c>
      <c r="E483" s="5" t="s">
        <v>1193</v>
      </c>
    </row>
    <row r="484">
      <c r="A484" s="5">
        <v>483.0</v>
      </c>
      <c r="B484" s="5" t="s">
        <v>1676</v>
      </c>
      <c r="C484" s="5" t="s">
        <v>1677</v>
      </c>
      <c r="D484" s="5" t="s">
        <v>1678</v>
      </c>
      <c r="E484" s="5" t="s">
        <v>1193</v>
      </c>
    </row>
    <row r="485">
      <c r="A485" s="5">
        <v>484.0</v>
      </c>
      <c r="B485" s="5" t="s">
        <v>1679</v>
      </c>
      <c r="C485" s="5" t="s">
        <v>1680</v>
      </c>
      <c r="D485" s="5" t="s">
        <v>1681</v>
      </c>
      <c r="E485" s="5" t="s">
        <v>1193</v>
      </c>
    </row>
    <row r="486">
      <c r="A486" s="5">
        <v>485.0</v>
      </c>
      <c r="B486" s="5" t="s">
        <v>1682</v>
      </c>
      <c r="C486" s="5" t="s">
        <v>1683</v>
      </c>
      <c r="D486" s="5" t="s">
        <v>1684</v>
      </c>
      <c r="E486" s="5" t="s">
        <v>1193</v>
      </c>
    </row>
    <row r="487">
      <c r="A487" s="5">
        <v>486.0</v>
      </c>
      <c r="B487" s="5" t="s">
        <v>1685</v>
      </c>
      <c r="C487" s="5" t="s">
        <v>1686</v>
      </c>
      <c r="D487" s="5" t="s">
        <v>1687</v>
      </c>
      <c r="E487" s="5" t="s">
        <v>1193</v>
      </c>
    </row>
    <row r="488">
      <c r="A488" s="5">
        <v>487.0</v>
      </c>
      <c r="B488" s="5" t="s">
        <v>1688</v>
      </c>
      <c r="C488" s="5" t="s">
        <v>1689</v>
      </c>
      <c r="D488" s="5" t="s">
        <v>1690</v>
      </c>
      <c r="E488" s="5" t="s">
        <v>1193</v>
      </c>
    </row>
    <row r="489">
      <c r="A489" s="5">
        <v>488.0</v>
      </c>
      <c r="B489" s="5" t="s">
        <v>1691</v>
      </c>
      <c r="C489" s="5" t="s">
        <v>1692</v>
      </c>
      <c r="D489" s="5" t="s">
        <v>1693</v>
      </c>
      <c r="E489" s="5" t="s">
        <v>1193</v>
      </c>
    </row>
    <row r="490">
      <c r="A490" s="5">
        <v>489.0</v>
      </c>
      <c r="B490" s="5" t="s">
        <v>1694</v>
      </c>
      <c r="C490" s="5" t="s">
        <v>1695</v>
      </c>
      <c r="D490" s="5" t="s">
        <v>1696</v>
      </c>
      <c r="E490" s="5" t="s">
        <v>1193</v>
      </c>
    </row>
    <row r="491">
      <c r="A491" s="5">
        <v>490.0</v>
      </c>
      <c r="B491" s="5" t="s">
        <v>1697</v>
      </c>
      <c r="C491" s="5" t="s">
        <v>1698</v>
      </c>
      <c r="D491" s="5" t="s">
        <v>1699</v>
      </c>
      <c r="E491" s="5" t="s">
        <v>1193</v>
      </c>
    </row>
    <row r="492">
      <c r="A492" s="5">
        <v>491.0</v>
      </c>
      <c r="B492" s="5" t="s">
        <v>1700</v>
      </c>
      <c r="C492" s="5" t="s">
        <v>1701</v>
      </c>
      <c r="D492" s="5" t="s">
        <v>1702</v>
      </c>
      <c r="E492" s="5" t="s">
        <v>1193</v>
      </c>
    </row>
    <row r="493">
      <c r="A493" s="5">
        <v>492.0</v>
      </c>
      <c r="B493" s="5" t="s">
        <v>1703</v>
      </c>
      <c r="C493" s="5" t="s">
        <v>1704</v>
      </c>
      <c r="D493" s="5" t="s">
        <v>1705</v>
      </c>
      <c r="E493" s="5" t="s">
        <v>1193</v>
      </c>
    </row>
    <row r="494">
      <c r="A494" s="5">
        <v>493.0</v>
      </c>
      <c r="B494" s="5" t="s">
        <v>1706</v>
      </c>
      <c r="C494" s="5" t="s">
        <v>1707</v>
      </c>
      <c r="D494" s="5" t="s">
        <v>1708</v>
      </c>
      <c r="E494" s="5" t="s">
        <v>1193</v>
      </c>
    </row>
    <row r="495">
      <c r="A495" s="5">
        <v>494.0</v>
      </c>
      <c r="B495" s="5" t="s">
        <v>1709</v>
      </c>
      <c r="C495" s="5" t="s">
        <v>1710</v>
      </c>
      <c r="D495" s="5" t="s">
        <v>1711</v>
      </c>
      <c r="E495" s="5" t="s">
        <v>1193</v>
      </c>
    </row>
    <row r="496">
      <c r="A496" s="5">
        <v>495.0</v>
      </c>
      <c r="B496" s="5" t="s">
        <v>1712</v>
      </c>
      <c r="C496" s="5" t="s">
        <v>1713</v>
      </c>
      <c r="D496" s="5" t="s">
        <v>1714</v>
      </c>
      <c r="E496" s="5" t="s">
        <v>1193</v>
      </c>
    </row>
    <row r="497">
      <c r="A497" s="5">
        <v>496.0</v>
      </c>
      <c r="B497" s="5" t="s">
        <v>1715</v>
      </c>
      <c r="C497" s="5" t="s">
        <v>1716</v>
      </c>
      <c r="D497" s="5" t="s">
        <v>1717</v>
      </c>
      <c r="E497" s="5" t="s">
        <v>1193</v>
      </c>
    </row>
    <row r="498">
      <c r="A498" s="5">
        <v>497.0</v>
      </c>
      <c r="B498" s="5" t="s">
        <v>1718</v>
      </c>
      <c r="C498" s="5" t="s">
        <v>1719</v>
      </c>
      <c r="D498" s="5" t="s">
        <v>1720</v>
      </c>
      <c r="E498" s="5" t="s">
        <v>1193</v>
      </c>
    </row>
    <row r="499">
      <c r="A499" s="5">
        <v>498.0</v>
      </c>
      <c r="B499" s="5" t="s">
        <v>1721</v>
      </c>
      <c r="C499" s="5" t="s">
        <v>1722</v>
      </c>
      <c r="D499" s="5" t="s">
        <v>1723</v>
      </c>
      <c r="E499" s="5" t="s">
        <v>1193</v>
      </c>
    </row>
    <row r="500">
      <c r="A500" s="5">
        <v>499.0</v>
      </c>
      <c r="B500" s="5" t="s">
        <v>1724</v>
      </c>
      <c r="C500" s="5" t="s">
        <v>1725</v>
      </c>
      <c r="D500" s="5" t="s">
        <v>1726</v>
      </c>
      <c r="E500" s="5" t="s">
        <v>1193</v>
      </c>
    </row>
    <row r="501">
      <c r="A501" s="5">
        <v>500.0</v>
      </c>
      <c r="B501" s="5" t="s">
        <v>1727</v>
      </c>
      <c r="C501" s="5" t="s">
        <v>1728</v>
      </c>
      <c r="D501" s="5" t="s">
        <v>1729</v>
      </c>
      <c r="E501" s="5" t="s">
        <v>1193</v>
      </c>
    </row>
    <row r="502">
      <c r="A502" s="5">
        <v>501.0</v>
      </c>
      <c r="B502" s="5" t="s">
        <v>1730</v>
      </c>
      <c r="C502" s="5" t="s">
        <v>1731</v>
      </c>
      <c r="D502" s="5" t="s">
        <v>1732</v>
      </c>
      <c r="E502" s="5" t="s">
        <v>1193</v>
      </c>
    </row>
    <row r="503">
      <c r="A503" s="5">
        <v>502.0</v>
      </c>
      <c r="B503" s="5" t="s">
        <v>1733</v>
      </c>
      <c r="C503" s="5" t="s">
        <v>1734</v>
      </c>
      <c r="D503" s="5" t="s">
        <v>1735</v>
      </c>
      <c r="E503" s="5" t="s">
        <v>1193</v>
      </c>
    </row>
    <row r="504">
      <c r="A504" s="5">
        <v>503.0</v>
      </c>
      <c r="B504" s="5" t="s">
        <v>1736</v>
      </c>
      <c r="C504" s="5" t="s">
        <v>1737</v>
      </c>
      <c r="D504" s="5" t="s">
        <v>1738</v>
      </c>
      <c r="E504" s="5" t="s">
        <v>1193</v>
      </c>
    </row>
    <row r="505">
      <c r="A505" s="5">
        <v>504.0</v>
      </c>
      <c r="B505" s="5" t="s">
        <v>1739</v>
      </c>
      <c r="C505" s="5" t="s">
        <v>1740</v>
      </c>
      <c r="D505" s="5" t="s">
        <v>1741</v>
      </c>
      <c r="E505" s="5" t="s">
        <v>1193</v>
      </c>
    </row>
    <row r="506">
      <c r="A506" s="5">
        <v>505.0</v>
      </c>
      <c r="B506" s="5" t="s">
        <v>1742</v>
      </c>
      <c r="C506" s="5" t="s">
        <v>1743</v>
      </c>
      <c r="D506" s="5" t="s">
        <v>1744</v>
      </c>
      <c r="E506" s="5" t="s">
        <v>1193</v>
      </c>
    </row>
    <row r="507">
      <c r="A507" s="5">
        <v>506.0</v>
      </c>
      <c r="B507" s="5" t="s">
        <v>1745</v>
      </c>
      <c r="C507" s="5" t="s">
        <v>1746</v>
      </c>
      <c r="D507" s="5" t="s">
        <v>1747</v>
      </c>
      <c r="E507" s="5" t="s">
        <v>1193</v>
      </c>
    </row>
    <row r="508">
      <c r="A508" s="5">
        <v>507.0</v>
      </c>
      <c r="B508" s="5" t="s">
        <v>1748</v>
      </c>
      <c r="C508" s="5" t="s">
        <v>1749</v>
      </c>
      <c r="D508" s="5" t="s">
        <v>1750</v>
      </c>
      <c r="E508" s="5" t="s">
        <v>1193</v>
      </c>
    </row>
    <row r="509">
      <c r="A509" s="5">
        <v>508.0</v>
      </c>
      <c r="B509" s="5" t="s">
        <v>1751</v>
      </c>
      <c r="C509" s="5" t="s">
        <v>1752</v>
      </c>
      <c r="D509" s="5" t="s">
        <v>1753</v>
      </c>
      <c r="E509" s="5" t="s">
        <v>1193</v>
      </c>
    </row>
    <row r="510">
      <c r="A510" s="5">
        <v>509.0</v>
      </c>
      <c r="B510" s="5" t="s">
        <v>1754</v>
      </c>
      <c r="C510" s="5" t="s">
        <v>1755</v>
      </c>
      <c r="D510" s="5" t="s">
        <v>1756</v>
      </c>
      <c r="E510" s="5" t="s">
        <v>1193</v>
      </c>
    </row>
    <row r="511">
      <c r="A511" s="5">
        <v>510.0</v>
      </c>
      <c r="B511" s="5" t="s">
        <v>1757</v>
      </c>
      <c r="C511" s="5" t="s">
        <v>1758</v>
      </c>
      <c r="D511" s="5" t="s">
        <v>1759</v>
      </c>
      <c r="E511" s="5" t="s">
        <v>1193</v>
      </c>
    </row>
    <row r="512">
      <c r="A512" s="5">
        <v>511.0</v>
      </c>
      <c r="B512" s="5" t="s">
        <v>1760</v>
      </c>
      <c r="C512" s="5" t="s">
        <v>1761</v>
      </c>
      <c r="D512" s="5" t="s">
        <v>1762</v>
      </c>
      <c r="E512" s="5" t="s">
        <v>1193</v>
      </c>
    </row>
    <row r="513">
      <c r="A513" s="5">
        <v>512.0</v>
      </c>
      <c r="B513" s="5" t="s">
        <v>1763</v>
      </c>
      <c r="C513" s="5" t="s">
        <v>1764</v>
      </c>
      <c r="D513" s="5" t="s">
        <v>1765</v>
      </c>
      <c r="E513" s="5" t="s">
        <v>1193</v>
      </c>
    </row>
    <row r="514">
      <c r="A514" s="5">
        <v>513.0</v>
      </c>
      <c r="B514" s="5" t="s">
        <v>1766</v>
      </c>
      <c r="C514" s="5" t="s">
        <v>1767</v>
      </c>
      <c r="D514" s="5" t="s">
        <v>1768</v>
      </c>
      <c r="E514" s="5" t="s">
        <v>1193</v>
      </c>
    </row>
    <row r="515">
      <c r="A515" s="5">
        <v>514.0</v>
      </c>
      <c r="B515" s="5" t="s">
        <v>1769</v>
      </c>
      <c r="C515" s="5" t="s">
        <v>1770</v>
      </c>
      <c r="D515" s="5" t="s">
        <v>1771</v>
      </c>
      <c r="E515" s="5" t="s">
        <v>1193</v>
      </c>
    </row>
    <row r="516">
      <c r="A516" s="5">
        <v>515.0</v>
      </c>
      <c r="B516" s="5" t="s">
        <v>1772</v>
      </c>
      <c r="C516" s="5" t="s">
        <v>1773</v>
      </c>
      <c r="D516" s="5" t="s">
        <v>1774</v>
      </c>
      <c r="E516" s="5" t="s">
        <v>1193</v>
      </c>
    </row>
    <row r="517">
      <c r="A517" s="5">
        <v>516.0</v>
      </c>
      <c r="B517" s="5" t="s">
        <v>1775</v>
      </c>
      <c r="C517" s="5" t="s">
        <v>1776</v>
      </c>
      <c r="D517" s="5" t="s">
        <v>1777</v>
      </c>
      <c r="E517" s="5" t="s">
        <v>1193</v>
      </c>
    </row>
    <row r="518">
      <c r="A518" s="5">
        <v>517.0</v>
      </c>
      <c r="B518" s="5" t="s">
        <v>1778</v>
      </c>
      <c r="C518" s="5" t="s">
        <v>1779</v>
      </c>
      <c r="D518" s="5" t="s">
        <v>1780</v>
      </c>
      <c r="E518" s="5" t="s">
        <v>1193</v>
      </c>
    </row>
    <row r="519">
      <c r="A519" s="5">
        <v>518.0</v>
      </c>
      <c r="B519" s="5" t="s">
        <v>1781</v>
      </c>
      <c r="C519" s="5" t="s">
        <v>1782</v>
      </c>
      <c r="D519" s="5" t="s">
        <v>1783</v>
      </c>
      <c r="E519" s="5" t="s">
        <v>1193</v>
      </c>
    </row>
    <row r="520">
      <c r="A520" s="5">
        <v>519.0</v>
      </c>
      <c r="B520" s="5" t="s">
        <v>1784</v>
      </c>
      <c r="C520" s="5" t="s">
        <v>1785</v>
      </c>
      <c r="D520" s="5" t="s">
        <v>1786</v>
      </c>
      <c r="E520" s="5" t="s">
        <v>1193</v>
      </c>
    </row>
    <row r="521">
      <c r="A521" s="5">
        <v>520.0</v>
      </c>
      <c r="B521" s="5" t="s">
        <v>1787</v>
      </c>
      <c r="C521" s="5" t="s">
        <v>1788</v>
      </c>
      <c r="D521" s="5" t="s">
        <v>1789</v>
      </c>
      <c r="E521" s="5" t="s">
        <v>1193</v>
      </c>
    </row>
    <row r="522">
      <c r="A522" s="5">
        <v>521.0</v>
      </c>
      <c r="B522" s="5" t="s">
        <v>1790</v>
      </c>
      <c r="C522" s="5" t="s">
        <v>1791</v>
      </c>
      <c r="D522" s="5" t="s">
        <v>1792</v>
      </c>
      <c r="E522" s="5" t="s">
        <v>1193</v>
      </c>
    </row>
    <row r="523">
      <c r="A523" s="5">
        <v>522.0</v>
      </c>
      <c r="B523" s="5" t="s">
        <v>1793</v>
      </c>
      <c r="C523" s="5" t="s">
        <v>1794</v>
      </c>
      <c r="D523" s="5" t="s">
        <v>1795</v>
      </c>
      <c r="E523" s="5" t="s">
        <v>1193</v>
      </c>
    </row>
    <row r="524">
      <c r="A524" s="5">
        <v>523.0</v>
      </c>
      <c r="B524" s="5" t="s">
        <v>1796</v>
      </c>
      <c r="C524" s="5" t="s">
        <v>1797</v>
      </c>
      <c r="D524" s="5" t="s">
        <v>1798</v>
      </c>
      <c r="E524" s="5" t="s">
        <v>1193</v>
      </c>
    </row>
    <row r="525">
      <c r="A525" s="5">
        <v>524.0</v>
      </c>
      <c r="B525" s="5" t="s">
        <v>1799</v>
      </c>
      <c r="C525" s="5" t="s">
        <v>1800</v>
      </c>
      <c r="D525" s="5" t="s">
        <v>1801</v>
      </c>
      <c r="E525" s="5" t="s">
        <v>1193</v>
      </c>
    </row>
    <row r="526">
      <c r="A526" s="5">
        <v>525.0</v>
      </c>
      <c r="B526" s="5" t="s">
        <v>1802</v>
      </c>
      <c r="C526" s="5" t="s">
        <v>1803</v>
      </c>
      <c r="D526" s="5" t="s">
        <v>1804</v>
      </c>
      <c r="E526" s="5" t="s">
        <v>1193</v>
      </c>
    </row>
    <row r="527">
      <c r="A527" s="5">
        <v>526.0</v>
      </c>
      <c r="B527" s="5" t="s">
        <v>1805</v>
      </c>
      <c r="C527" s="5" t="s">
        <v>1806</v>
      </c>
      <c r="D527" s="5" t="s">
        <v>1807</v>
      </c>
      <c r="E527" s="5" t="s">
        <v>1193</v>
      </c>
    </row>
    <row r="528">
      <c r="A528" s="5">
        <v>527.0</v>
      </c>
      <c r="B528" s="5" t="s">
        <v>1808</v>
      </c>
      <c r="C528" s="5" t="s">
        <v>1809</v>
      </c>
      <c r="D528" s="5" t="s">
        <v>1810</v>
      </c>
      <c r="E528" s="5" t="s">
        <v>1193</v>
      </c>
    </row>
    <row r="529">
      <c r="A529" s="5">
        <v>528.0</v>
      </c>
      <c r="B529" s="5" t="s">
        <v>1811</v>
      </c>
      <c r="C529" s="5" t="s">
        <v>1812</v>
      </c>
      <c r="D529" s="5" t="s">
        <v>1813</v>
      </c>
      <c r="E529" s="5" t="s">
        <v>1193</v>
      </c>
    </row>
    <row r="530">
      <c r="A530" s="5">
        <v>529.0</v>
      </c>
      <c r="B530" s="5" t="s">
        <v>1814</v>
      </c>
      <c r="C530" s="5" t="s">
        <v>1815</v>
      </c>
      <c r="D530" s="5" t="s">
        <v>1816</v>
      </c>
      <c r="E530" s="5" t="s">
        <v>1193</v>
      </c>
    </row>
    <row r="531">
      <c r="A531" s="5">
        <v>530.0</v>
      </c>
      <c r="B531" s="5" t="s">
        <v>1817</v>
      </c>
      <c r="C531" s="5" t="s">
        <v>1818</v>
      </c>
      <c r="D531" s="5" t="s">
        <v>1819</v>
      </c>
      <c r="E531" s="5" t="s">
        <v>1193</v>
      </c>
    </row>
    <row r="532">
      <c r="A532" s="5">
        <v>531.0</v>
      </c>
      <c r="B532" s="5" t="s">
        <v>1820</v>
      </c>
      <c r="C532" s="5" t="s">
        <v>1821</v>
      </c>
      <c r="D532" s="5" t="s">
        <v>1822</v>
      </c>
      <c r="E532" s="5" t="s">
        <v>1193</v>
      </c>
    </row>
    <row r="533">
      <c r="A533" s="5">
        <v>532.0</v>
      </c>
      <c r="B533" s="5" t="s">
        <v>1823</v>
      </c>
      <c r="C533" s="5" t="s">
        <v>1824</v>
      </c>
      <c r="D533" s="5" t="s">
        <v>1825</v>
      </c>
      <c r="E533" s="5" t="s">
        <v>1193</v>
      </c>
    </row>
    <row r="534">
      <c r="A534" s="5">
        <v>533.0</v>
      </c>
      <c r="B534" s="5" t="s">
        <v>1826</v>
      </c>
      <c r="C534" s="5" t="s">
        <v>1827</v>
      </c>
      <c r="D534" s="5" t="s">
        <v>1828</v>
      </c>
      <c r="E534" s="5" t="s">
        <v>1193</v>
      </c>
    </row>
    <row r="535">
      <c r="A535" s="5">
        <v>534.0</v>
      </c>
      <c r="B535" s="5" t="s">
        <v>1829</v>
      </c>
      <c r="C535" s="5" t="s">
        <v>1830</v>
      </c>
      <c r="D535" s="5" t="s">
        <v>1831</v>
      </c>
      <c r="E535" s="5" t="s">
        <v>1193</v>
      </c>
    </row>
    <row r="536">
      <c r="A536" s="5">
        <v>535.0</v>
      </c>
      <c r="B536" s="5" t="s">
        <v>1832</v>
      </c>
      <c r="C536" s="5" t="s">
        <v>1833</v>
      </c>
      <c r="D536" s="5" t="s">
        <v>1834</v>
      </c>
      <c r="E536" s="5" t="s">
        <v>1193</v>
      </c>
    </row>
    <row r="537">
      <c r="A537" s="5">
        <v>536.0</v>
      </c>
      <c r="B537" s="5" t="s">
        <v>1835</v>
      </c>
      <c r="C537" s="5" t="s">
        <v>1836</v>
      </c>
      <c r="D537" s="5" t="s">
        <v>1837</v>
      </c>
      <c r="E537" s="5" t="s">
        <v>1193</v>
      </c>
    </row>
    <row r="538">
      <c r="A538" s="5">
        <v>537.0</v>
      </c>
      <c r="B538" s="5" t="s">
        <v>1838</v>
      </c>
      <c r="C538" s="5" t="s">
        <v>1839</v>
      </c>
      <c r="D538" s="5" t="s">
        <v>1840</v>
      </c>
      <c r="E538" s="5" t="s">
        <v>1193</v>
      </c>
    </row>
    <row r="539">
      <c r="A539" s="5">
        <v>538.0</v>
      </c>
      <c r="B539" s="5" t="s">
        <v>1841</v>
      </c>
      <c r="C539" s="5" t="s">
        <v>1842</v>
      </c>
      <c r="D539" s="5" t="s">
        <v>1843</v>
      </c>
      <c r="E539" s="5" t="s">
        <v>1193</v>
      </c>
    </row>
    <row r="540">
      <c r="A540" s="5">
        <v>539.0</v>
      </c>
      <c r="B540" s="5" t="s">
        <v>1844</v>
      </c>
      <c r="C540" s="5" t="s">
        <v>1845</v>
      </c>
      <c r="D540" s="5" t="s">
        <v>1846</v>
      </c>
      <c r="E540" s="5" t="s">
        <v>1193</v>
      </c>
    </row>
    <row r="541">
      <c r="A541" s="5">
        <v>540.0</v>
      </c>
      <c r="B541" s="5" t="s">
        <v>1847</v>
      </c>
      <c r="C541" s="5" t="s">
        <v>1848</v>
      </c>
      <c r="D541" s="5" t="s">
        <v>1849</v>
      </c>
      <c r="E541" s="5" t="s">
        <v>1193</v>
      </c>
    </row>
    <row r="542">
      <c r="A542" s="5">
        <v>541.0</v>
      </c>
      <c r="B542" s="5" t="s">
        <v>1850</v>
      </c>
      <c r="C542" s="5" t="s">
        <v>1851</v>
      </c>
      <c r="D542" s="5" t="s">
        <v>1852</v>
      </c>
      <c r="E542" s="5" t="s">
        <v>1193</v>
      </c>
    </row>
    <row r="543">
      <c r="A543" s="5">
        <v>542.0</v>
      </c>
      <c r="B543" s="5" t="s">
        <v>1853</v>
      </c>
      <c r="C543" s="5" t="s">
        <v>1854</v>
      </c>
      <c r="D543" s="5" t="s">
        <v>1855</v>
      </c>
      <c r="E543" s="5" t="s">
        <v>1193</v>
      </c>
    </row>
    <row r="544">
      <c r="A544" s="5">
        <v>543.0</v>
      </c>
      <c r="B544" s="5" t="s">
        <v>1856</v>
      </c>
      <c r="C544" s="5" t="s">
        <v>1857</v>
      </c>
      <c r="D544" s="5" t="s">
        <v>1858</v>
      </c>
      <c r="E544" s="5" t="s">
        <v>1193</v>
      </c>
    </row>
    <row r="545">
      <c r="A545" s="5">
        <v>544.0</v>
      </c>
      <c r="B545" s="5" t="s">
        <v>1859</v>
      </c>
      <c r="C545" s="5" t="s">
        <v>1860</v>
      </c>
      <c r="D545" s="5" t="s">
        <v>1861</v>
      </c>
      <c r="E545" s="5" t="s">
        <v>1193</v>
      </c>
    </row>
    <row r="546">
      <c r="A546" s="5">
        <v>545.0</v>
      </c>
      <c r="B546" s="5" t="s">
        <v>1862</v>
      </c>
      <c r="C546" s="5" t="s">
        <v>1863</v>
      </c>
      <c r="D546" s="5" t="s">
        <v>1864</v>
      </c>
      <c r="E546" s="5" t="s">
        <v>1193</v>
      </c>
    </row>
    <row r="547">
      <c r="A547" s="5">
        <v>546.0</v>
      </c>
      <c r="B547" s="5" t="s">
        <v>1865</v>
      </c>
      <c r="C547" s="5" t="s">
        <v>1866</v>
      </c>
      <c r="D547" s="5" t="s">
        <v>1867</v>
      </c>
      <c r="E547" s="5" t="s">
        <v>1193</v>
      </c>
    </row>
    <row r="548">
      <c r="A548" s="5">
        <v>547.0</v>
      </c>
      <c r="B548" s="5" t="s">
        <v>1868</v>
      </c>
      <c r="C548" s="5" t="s">
        <v>1869</v>
      </c>
      <c r="D548" s="5" t="s">
        <v>1870</v>
      </c>
      <c r="E548" s="5" t="s">
        <v>1193</v>
      </c>
    </row>
    <row r="549">
      <c r="A549" s="5">
        <v>548.0</v>
      </c>
      <c r="B549" s="5" t="s">
        <v>1871</v>
      </c>
      <c r="C549" s="5" t="s">
        <v>1872</v>
      </c>
      <c r="D549" s="5" t="s">
        <v>1873</v>
      </c>
      <c r="E549" s="5" t="s">
        <v>1193</v>
      </c>
    </row>
    <row r="550">
      <c r="A550" s="5">
        <v>549.0</v>
      </c>
      <c r="B550" s="5" t="s">
        <v>1874</v>
      </c>
      <c r="C550" s="5" t="s">
        <v>1875</v>
      </c>
      <c r="D550" s="5" t="s">
        <v>1876</v>
      </c>
      <c r="E550" s="5" t="s">
        <v>1193</v>
      </c>
    </row>
    <row r="551">
      <c r="A551" s="5">
        <v>550.0</v>
      </c>
      <c r="B551" s="5" t="s">
        <v>1877</v>
      </c>
      <c r="C551" s="5" t="s">
        <v>1878</v>
      </c>
      <c r="D551" s="5" t="s">
        <v>1879</v>
      </c>
      <c r="E551" s="5" t="s">
        <v>1193</v>
      </c>
    </row>
    <row r="552">
      <c r="A552" s="5">
        <v>551.0</v>
      </c>
      <c r="B552" s="5" t="s">
        <v>1880</v>
      </c>
      <c r="C552" s="5" t="s">
        <v>1881</v>
      </c>
      <c r="D552" s="5" t="s">
        <v>1882</v>
      </c>
      <c r="E552" s="5" t="s">
        <v>1193</v>
      </c>
    </row>
    <row r="553">
      <c r="A553" s="5">
        <v>552.0</v>
      </c>
      <c r="B553" s="5" t="s">
        <v>1883</v>
      </c>
      <c r="C553" s="5" t="s">
        <v>1884</v>
      </c>
      <c r="D553" s="5" t="s">
        <v>1885</v>
      </c>
      <c r="E553" s="5" t="s">
        <v>1193</v>
      </c>
    </row>
    <row r="554">
      <c r="A554" s="5">
        <v>553.0</v>
      </c>
      <c r="B554" s="5" t="s">
        <v>1886</v>
      </c>
      <c r="C554" s="5" t="s">
        <v>1887</v>
      </c>
      <c r="D554" s="5" t="s">
        <v>1888</v>
      </c>
      <c r="E554" s="5" t="s">
        <v>1193</v>
      </c>
    </row>
    <row r="555">
      <c r="A555" s="5">
        <v>554.0</v>
      </c>
      <c r="B555" s="5" t="s">
        <v>1889</v>
      </c>
      <c r="C555" s="5" t="s">
        <v>1890</v>
      </c>
      <c r="D555" s="5" t="s">
        <v>1891</v>
      </c>
      <c r="E555" s="5" t="s">
        <v>1193</v>
      </c>
    </row>
    <row r="556">
      <c r="A556" s="5">
        <v>555.0</v>
      </c>
      <c r="B556" s="5" t="s">
        <v>1892</v>
      </c>
      <c r="C556" s="5" t="s">
        <v>1893</v>
      </c>
      <c r="D556" s="5" t="s">
        <v>1894</v>
      </c>
      <c r="E556" s="5" t="s">
        <v>1193</v>
      </c>
    </row>
    <row r="557">
      <c r="A557" s="5">
        <v>556.0</v>
      </c>
      <c r="B557" s="5" t="s">
        <v>1895</v>
      </c>
      <c r="C557" s="5" t="s">
        <v>1896</v>
      </c>
      <c r="D557" s="5" t="s">
        <v>1897</v>
      </c>
      <c r="E557" s="5" t="s">
        <v>1193</v>
      </c>
    </row>
    <row r="558">
      <c r="A558" s="5">
        <v>557.0</v>
      </c>
      <c r="B558" s="5" t="s">
        <v>1898</v>
      </c>
      <c r="C558" s="5" t="s">
        <v>1899</v>
      </c>
      <c r="D558" s="5" t="s">
        <v>1900</v>
      </c>
      <c r="E558" s="5" t="s">
        <v>1193</v>
      </c>
    </row>
    <row r="559">
      <c r="A559" s="5">
        <v>558.0</v>
      </c>
      <c r="B559" s="5" t="s">
        <v>1901</v>
      </c>
      <c r="C559" s="5" t="s">
        <v>1902</v>
      </c>
      <c r="D559" s="5" t="s">
        <v>1903</v>
      </c>
      <c r="E559" s="5" t="s">
        <v>1193</v>
      </c>
    </row>
    <row r="560">
      <c r="A560" s="5">
        <v>559.0</v>
      </c>
      <c r="B560" s="5" t="s">
        <v>1904</v>
      </c>
      <c r="C560" s="5" t="s">
        <v>1905</v>
      </c>
      <c r="D560" s="5" t="s">
        <v>1906</v>
      </c>
      <c r="E560" s="5" t="s">
        <v>1193</v>
      </c>
    </row>
    <row r="561">
      <c r="A561" s="5">
        <v>560.0</v>
      </c>
      <c r="B561" s="5" t="s">
        <v>1907</v>
      </c>
      <c r="C561" s="5" t="s">
        <v>1908</v>
      </c>
      <c r="D561" s="5" t="s">
        <v>1909</v>
      </c>
      <c r="E561" s="5" t="s">
        <v>1193</v>
      </c>
    </row>
    <row r="562">
      <c r="A562" s="5">
        <v>561.0</v>
      </c>
      <c r="B562" s="5" t="s">
        <v>1910</v>
      </c>
      <c r="C562" s="5" t="s">
        <v>1911</v>
      </c>
      <c r="D562" s="5" t="s">
        <v>1912</v>
      </c>
      <c r="E562" s="5" t="s">
        <v>1193</v>
      </c>
    </row>
    <row r="563">
      <c r="A563" s="5">
        <v>562.0</v>
      </c>
      <c r="B563" s="5" t="s">
        <v>1913</v>
      </c>
      <c r="C563" s="5" t="s">
        <v>1914</v>
      </c>
      <c r="D563" s="5" t="s">
        <v>1915</v>
      </c>
      <c r="E563" s="5" t="s">
        <v>1193</v>
      </c>
    </row>
    <row r="564">
      <c r="A564" s="5">
        <v>563.0</v>
      </c>
      <c r="B564" s="5" t="s">
        <v>1916</v>
      </c>
      <c r="C564" s="5" t="s">
        <v>1917</v>
      </c>
      <c r="D564" s="5" t="s">
        <v>1918</v>
      </c>
      <c r="E564" s="5" t="s">
        <v>1193</v>
      </c>
    </row>
    <row r="565">
      <c r="A565" s="5">
        <v>564.0</v>
      </c>
      <c r="B565" s="5" t="s">
        <v>1919</v>
      </c>
      <c r="C565" s="5" t="s">
        <v>1920</v>
      </c>
      <c r="D565" s="5" t="s">
        <v>1921</v>
      </c>
      <c r="E565" s="5" t="s">
        <v>1193</v>
      </c>
    </row>
    <row r="566">
      <c r="A566" s="5">
        <v>565.0</v>
      </c>
      <c r="B566" s="5" t="s">
        <v>1922</v>
      </c>
      <c r="C566" s="5" t="s">
        <v>1923</v>
      </c>
      <c r="D566" s="5" t="s">
        <v>1924</v>
      </c>
      <c r="E566" s="5" t="s">
        <v>1193</v>
      </c>
    </row>
    <row r="567">
      <c r="A567" s="5">
        <v>566.0</v>
      </c>
      <c r="B567" s="5" t="s">
        <v>1925</v>
      </c>
      <c r="C567" s="5" t="s">
        <v>1926</v>
      </c>
      <c r="D567" s="5" t="s">
        <v>1927</v>
      </c>
      <c r="E567" s="5" t="s">
        <v>1193</v>
      </c>
    </row>
    <row r="568">
      <c r="A568" s="5">
        <v>567.0</v>
      </c>
      <c r="B568" s="5" t="s">
        <v>1928</v>
      </c>
      <c r="C568" s="5" t="s">
        <v>1929</v>
      </c>
      <c r="D568" s="5" t="s">
        <v>1930</v>
      </c>
      <c r="E568" s="5" t="s">
        <v>1193</v>
      </c>
    </row>
    <row r="569">
      <c r="A569" s="5">
        <v>568.0</v>
      </c>
      <c r="B569" s="5" t="s">
        <v>1931</v>
      </c>
      <c r="C569" s="5" t="s">
        <v>1932</v>
      </c>
      <c r="D569" s="5" t="s">
        <v>1933</v>
      </c>
      <c r="E569" s="5" t="s">
        <v>1193</v>
      </c>
    </row>
    <row r="570">
      <c r="A570" s="5">
        <v>569.0</v>
      </c>
      <c r="B570" s="5" t="s">
        <v>1934</v>
      </c>
      <c r="C570" s="5" t="s">
        <v>1935</v>
      </c>
      <c r="D570" s="5" t="s">
        <v>1936</v>
      </c>
      <c r="E570" s="5" t="s">
        <v>1193</v>
      </c>
    </row>
    <row r="571">
      <c r="A571" s="5">
        <v>570.0</v>
      </c>
      <c r="B571" s="5" t="s">
        <v>1937</v>
      </c>
      <c r="C571" s="5" t="s">
        <v>1938</v>
      </c>
      <c r="D571" s="5" t="s">
        <v>1939</v>
      </c>
      <c r="E571" s="5" t="s">
        <v>1193</v>
      </c>
    </row>
    <row r="572">
      <c r="A572" s="5">
        <v>571.0</v>
      </c>
      <c r="B572" s="5" t="s">
        <v>1940</v>
      </c>
      <c r="C572" s="5" t="s">
        <v>1941</v>
      </c>
      <c r="D572" s="5" t="s">
        <v>1942</v>
      </c>
      <c r="E572" s="5" t="s">
        <v>1193</v>
      </c>
    </row>
    <row r="573">
      <c r="A573" s="5">
        <v>572.0</v>
      </c>
      <c r="B573" s="5" t="s">
        <v>1943</v>
      </c>
      <c r="C573" s="5" t="s">
        <v>1944</v>
      </c>
      <c r="D573" s="5" t="s">
        <v>1945</v>
      </c>
      <c r="E573" s="5" t="s">
        <v>1193</v>
      </c>
    </row>
    <row r="574">
      <c r="A574" s="5">
        <v>573.0</v>
      </c>
      <c r="B574" s="5" t="s">
        <v>1946</v>
      </c>
      <c r="C574" s="5" t="s">
        <v>1947</v>
      </c>
      <c r="D574" s="5" t="s">
        <v>1948</v>
      </c>
      <c r="E574" s="5" t="s">
        <v>1193</v>
      </c>
    </row>
    <row r="575">
      <c r="A575" s="5">
        <v>574.0</v>
      </c>
      <c r="B575" s="5" t="s">
        <v>1949</v>
      </c>
      <c r="C575" s="5" t="s">
        <v>1950</v>
      </c>
      <c r="D575" s="5" t="s">
        <v>1951</v>
      </c>
      <c r="E575" s="5" t="s">
        <v>1193</v>
      </c>
    </row>
    <row r="576">
      <c r="A576" s="5">
        <v>575.0</v>
      </c>
      <c r="B576" s="5" t="s">
        <v>1952</v>
      </c>
      <c r="C576" s="5" t="s">
        <v>1953</v>
      </c>
      <c r="D576" s="5" t="s">
        <v>1954</v>
      </c>
      <c r="E576" s="5" t="s">
        <v>1193</v>
      </c>
    </row>
    <row r="577">
      <c r="A577" s="5">
        <v>576.0</v>
      </c>
      <c r="B577" s="5" t="s">
        <v>1955</v>
      </c>
      <c r="C577" s="5" t="s">
        <v>1956</v>
      </c>
      <c r="D577" s="5" t="s">
        <v>1957</v>
      </c>
      <c r="E577" s="5" t="s">
        <v>1193</v>
      </c>
    </row>
    <row r="578">
      <c r="A578" s="5">
        <v>577.0</v>
      </c>
      <c r="B578" s="5" t="s">
        <v>1958</v>
      </c>
      <c r="C578" s="5" t="s">
        <v>1959</v>
      </c>
      <c r="D578" s="5" t="s">
        <v>1960</v>
      </c>
      <c r="E578" s="5" t="s">
        <v>1193</v>
      </c>
    </row>
    <row r="579">
      <c r="A579" s="5">
        <v>578.0</v>
      </c>
      <c r="B579" s="5" t="s">
        <v>1961</v>
      </c>
      <c r="C579" s="5" t="s">
        <v>1962</v>
      </c>
      <c r="D579" s="5" t="s">
        <v>1963</v>
      </c>
      <c r="E579" s="5" t="s">
        <v>1193</v>
      </c>
    </row>
    <row r="580">
      <c r="A580" s="5">
        <v>579.0</v>
      </c>
      <c r="B580" s="5" t="s">
        <v>1964</v>
      </c>
      <c r="C580" s="5" t="s">
        <v>1965</v>
      </c>
      <c r="D580" s="5" t="s">
        <v>1966</v>
      </c>
      <c r="E580" s="5" t="s">
        <v>1193</v>
      </c>
    </row>
    <row r="581">
      <c r="A581" s="5">
        <v>580.0</v>
      </c>
      <c r="B581" s="5" t="s">
        <v>1967</v>
      </c>
      <c r="C581" s="5" t="s">
        <v>1968</v>
      </c>
      <c r="D581" s="5" t="s">
        <v>1969</v>
      </c>
      <c r="E581" s="5" t="s">
        <v>1193</v>
      </c>
    </row>
    <row r="582">
      <c r="A582" s="5">
        <v>581.0</v>
      </c>
      <c r="B582" s="5" t="s">
        <v>1970</v>
      </c>
      <c r="C582" s="5" t="s">
        <v>1971</v>
      </c>
      <c r="D582" s="5" t="s">
        <v>1972</v>
      </c>
      <c r="E582" s="5" t="s">
        <v>1193</v>
      </c>
    </row>
    <row r="583">
      <c r="A583" s="5">
        <v>582.0</v>
      </c>
      <c r="B583" s="5" t="s">
        <v>1973</v>
      </c>
      <c r="C583" s="5" t="s">
        <v>1974</v>
      </c>
      <c r="D583" s="5" t="s">
        <v>1975</v>
      </c>
      <c r="E583" s="5" t="s">
        <v>1193</v>
      </c>
    </row>
    <row r="584">
      <c r="A584" s="5">
        <v>583.0</v>
      </c>
      <c r="B584" s="5" t="s">
        <v>1976</v>
      </c>
      <c r="C584" s="5" t="s">
        <v>1977</v>
      </c>
      <c r="D584" s="5" t="s">
        <v>1978</v>
      </c>
      <c r="E584" s="5" t="s">
        <v>1193</v>
      </c>
    </row>
    <row r="585">
      <c r="A585" s="5">
        <v>584.0</v>
      </c>
      <c r="B585" s="5" t="s">
        <v>1979</v>
      </c>
      <c r="C585" s="5" t="s">
        <v>1980</v>
      </c>
      <c r="D585" s="5" t="s">
        <v>1981</v>
      </c>
      <c r="E585" s="5" t="s">
        <v>1193</v>
      </c>
    </row>
    <row r="586">
      <c r="A586" s="5">
        <v>585.0</v>
      </c>
      <c r="B586" s="5" t="s">
        <v>1982</v>
      </c>
      <c r="C586" s="5" t="s">
        <v>1983</v>
      </c>
      <c r="D586" s="5" t="s">
        <v>1984</v>
      </c>
      <c r="E586" s="5" t="s">
        <v>1193</v>
      </c>
    </row>
    <row r="587">
      <c r="A587" s="5">
        <v>586.0</v>
      </c>
      <c r="B587" s="5" t="s">
        <v>1985</v>
      </c>
      <c r="C587" s="5" t="s">
        <v>1986</v>
      </c>
      <c r="D587" s="5" t="s">
        <v>1987</v>
      </c>
      <c r="E587" s="5" t="s">
        <v>1193</v>
      </c>
    </row>
    <row r="588">
      <c r="A588" s="5">
        <v>587.0</v>
      </c>
      <c r="B588" s="5" t="s">
        <v>1988</v>
      </c>
      <c r="C588" s="5" t="s">
        <v>1989</v>
      </c>
      <c r="D588" s="5" t="s">
        <v>1990</v>
      </c>
      <c r="E588" s="5" t="s">
        <v>1193</v>
      </c>
    </row>
    <row r="589">
      <c r="A589" s="5">
        <v>588.0</v>
      </c>
      <c r="B589" s="5" t="s">
        <v>1991</v>
      </c>
      <c r="C589" s="5" t="s">
        <v>1992</v>
      </c>
      <c r="D589" s="5" t="s">
        <v>1993</v>
      </c>
      <c r="E589" s="5" t="s">
        <v>1193</v>
      </c>
    </row>
    <row r="590">
      <c r="A590" s="5">
        <v>589.0</v>
      </c>
      <c r="B590" s="5" t="s">
        <v>1994</v>
      </c>
      <c r="C590" s="5" t="s">
        <v>1995</v>
      </c>
      <c r="D590" s="5" t="s">
        <v>1996</v>
      </c>
      <c r="E590" s="5" t="s">
        <v>1193</v>
      </c>
    </row>
    <row r="591">
      <c r="A591" s="5">
        <v>590.0</v>
      </c>
      <c r="B591" s="5" t="s">
        <v>1997</v>
      </c>
      <c r="C591" s="5" t="s">
        <v>1998</v>
      </c>
      <c r="D591" s="5" t="s">
        <v>1999</v>
      </c>
      <c r="E591" s="5" t="s">
        <v>1193</v>
      </c>
    </row>
    <row r="592">
      <c r="A592" s="5">
        <v>591.0</v>
      </c>
      <c r="B592" s="5" t="s">
        <v>2000</v>
      </c>
      <c r="C592" s="5" t="s">
        <v>2001</v>
      </c>
      <c r="D592" s="5" t="s">
        <v>2002</v>
      </c>
      <c r="E592" s="5" t="s">
        <v>1193</v>
      </c>
    </row>
    <row r="593">
      <c r="A593" s="5">
        <v>592.0</v>
      </c>
      <c r="B593" s="5" t="s">
        <v>2003</v>
      </c>
      <c r="C593" s="5" t="s">
        <v>2004</v>
      </c>
      <c r="D593" s="5" t="s">
        <v>2005</v>
      </c>
      <c r="E593" s="5" t="s">
        <v>1193</v>
      </c>
    </row>
    <row r="594">
      <c r="A594" s="5">
        <v>593.0</v>
      </c>
      <c r="B594" s="5" t="s">
        <v>2006</v>
      </c>
      <c r="C594" s="5" t="s">
        <v>2007</v>
      </c>
      <c r="D594" s="5" t="s">
        <v>2008</v>
      </c>
      <c r="E594" s="5" t="s">
        <v>1193</v>
      </c>
    </row>
    <row r="595">
      <c r="A595" s="5">
        <v>594.0</v>
      </c>
      <c r="B595" s="5" t="s">
        <v>2009</v>
      </c>
      <c r="C595" s="5" t="s">
        <v>2010</v>
      </c>
      <c r="D595" s="5" t="s">
        <v>2011</v>
      </c>
      <c r="E595" s="5" t="s">
        <v>1193</v>
      </c>
    </row>
    <row r="596">
      <c r="A596" s="5">
        <v>595.0</v>
      </c>
      <c r="B596" s="5" t="s">
        <v>2012</v>
      </c>
      <c r="C596" s="5" t="s">
        <v>2013</v>
      </c>
      <c r="D596" s="5" t="s">
        <v>2014</v>
      </c>
      <c r="E596" s="5" t="s">
        <v>1193</v>
      </c>
    </row>
    <row r="597">
      <c r="A597" s="5">
        <v>596.0</v>
      </c>
      <c r="B597" s="5" t="s">
        <v>2015</v>
      </c>
      <c r="C597" s="5" t="s">
        <v>2016</v>
      </c>
      <c r="D597" s="5" t="s">
        <v>2017</v>
      </c>
      <c r="E597" s="5" t="s">
        <v>1193</v>
      </c>
    </row>
    <row r="598">
      <c r="A598" s="5">
        <v>597.0</v>
      </c>
      <c r="B598" s="5" t="s">
        <v>2018</v>
      </c>
      <c r="C598" s="5" t="s">
        <v>2019</v>
      </c>
      <c r="D598" s="5" t="s">
        <v>2020</v>
      </c>
      <c r="E598" s="5" t="s">
        <v>1193</v>
      </c>
    </row>
    <row r="599">
      <c r="A599" s="5">
        <v>598.0</v>
      </c>
      <c r="B599" s="5" t="s">
        <v>2021</v>
      </c>
      <c r="C599" s="5" t="s">
        <v>2022</v>
      </c>
      <c r="D599" s="5" t="s">
        <v>2023</v>
      </c>
      <c r="E599" s="5" t="s">
        <v>1193</v>
      </c>
    </row>
    <row r="600">
      <c r="A600" s="5">
        <v>599.0</v>
      </c>
      <c r="B600" s="5" t="s">
        <v>2024</v>
      </c>
      <c r="C600" s="5" t="s">
        <v>2025</v>
      </c>
      <c r="D600" s="5" t="s">
        <v>2026</v>
      </c>
      <c r="E600" s="5" t="s">
        <v>1193</v>
      </c>
    </row>
    <row r="601">
      <c r="A601" s="5">
        <v>600.0</v>
      </c>
      <c r="B601" s="5" t="s">
        <v>2027</v>
      </c>
      <c r="C601" s="5" t="s">
        <v>2028</v>
      </c>
      <c r="D601" s="5" t="s">
        <v>2029</v>
      </c>
      <c r="E601" s="5" t="s">
        <v>1193</v>
      </c>
    </row>
    <row r="602">
      <c r="A602" s="5">
        <v>601.0</v>
      </c>
      <c r="B602" s="5" t="s">
        <v>2030</v>
      </c>
      <c r="C602" s="5" t="s">
        <v>2031</v>
      </c>
      <c r="D602" s="5" t="s">
        <v>2032</v>
      </c>
      <c r="E602" s="5" t="s">
        <v>1248</v>
      </c>
    </row>
    <row r="603">
      <c r="A603" s="5">
        <v>602.0</v>
      </c>
      <c r="B603" s="5" t="s">
        <v>2033</v>
      </c>
      <c r="C603" s="5" t="s">
        <v>2034</v>
      </c>
      <c r="D603" s="5" t="s">
        <v>2035</v>
      </c>
      <c r="E603" s="5" t="s">
        <v>1248</v>
      </c>
    </row>
    <row r="604">
      <c r="A604" s="5">
        <v>603.0</v>
      </c>
      <c r="B604" s="5" t="s">
        <v>2036</v>
      </c>
      <c r="C604" s="5" t="s">
        <v>2037</v>
      </c>
      <c r="D604" s="5" t="s">
        <v>2038</v>
      </c>
      <c r="E604" s="5" t="s">
        <v>1248</v>
      </c>
    </row>
    <row r="605">
      <c r="A605" s="5">
        <v>604.0</v>
      </c>
      <c r="B605" s="5" t="s">
        <v>2039</v>
      </c>
      <c r="C605" s="5" t="s">
        <v>2040</v>
      </c>
      <c r="D605" s="5" t="s">
        <v>2041</v>
      </c>
      <c r="E605" s="5" t="s">
        <v>1248</v>
      </c>
    </row>
    <row r="606">
      <c r="A606" s="5">
        <v>605.0</v>
      </c>
      <c r="B606" s="5" t="s">
        <v>2042</v>
      </c>
      <c r="C606" s="5" t="s">
        <v>2043</v>
      </c>
      <c r="D606" s="5" t="s">
        <v>2044</v>
      </c>
      <c r="E606" s="5" t="s">
        <v>1248</v>
      </c>
    </row>
    <row r="607">
      <c r="A607" s="5">
        <v>606.0</v>
      </c>
      <c r="B607" s="5" t="s">
        <v>2045</v>
      </c>
      <c r="C607" s="5" t="s">
        <v>2046</v>
      </c>
      <c r="D607" s="5" t="s">
        <v>2047</v>
      </c>
      <c r="E607" s="5" t="s">
        <v>1248</v>
      </c>
    </row>
    <row r="608">
      <c r="A608" s="5">
        <v>607.0</v>
      </c>
      <c r="B608" s="5" t="s">
        <v>2048</v>
      </c>
      <c r="C608" s="5" t="s">
        <v>2049</v>
      </c>
      <c r="D608" s="5" t="s">
        <v>2050</v>
      </c>
      <c r="E608" s="5" t="s">
        <v>1248</v>
      </c>
    </row>
    <row r="609">
      <c r="A609" s="5">
        <v>608.0</v>
      </c>
      <c r="B609" s="5" t="s">
        <v>2051</v>
      </c>
      <c r="C609" s="5" t="s">
        <v>2052</v>
      </c>
      <c r="D609" s="5" t="s">
        <v>2053</v>
      </c>
      <c r="E609" s="5" t="s">
        <v>1248</v>
      </c>
    </row>
    <row r="610">
      <c r="A610" s="5">
        <v>609.0</v>
      </c>
      <c r="B610" s="5" t="s">
        <v>2054</v>
      </c>
      <c r="C610" s="5" t="s">
        <v>2055</v>
      </c>
      <c r="D610" s="5" t="s">
        <v>2056</v>
      </c>
      <c r="E610" s="5" t="s">
        <v>1248</v>
      </c>
    </row>
    <row r="611">
      <c r="A611" s="5">
        <v>610.0</v>
      </c>
      <c r="B611" s="5" t="s">
        <v>2057</v>
      </c>
      <c r="C611" s="5" t="s">
        <v>2058</v>
      </c>
      <c r="D611" s="5" t="s">
        <v>2059</v>
      </c>
      <c r="E611" s="5" t="s">
        <v>1248</v>
      </c>
    </row>
    <row r="612">
      <c r="A612" s="5">
        <v>611.0</v>
      </c>
      <c r="B612" s="5" t="s">
        <v>2060</v>
      </c>
      <c r="C612" s="5" t="s">
        <v>2061</v>
      </c>
      <c r="D612" s="5" t="s">
        <v>2062</v>
      </c>
      <c r="E612" s="5" t="s">
        <v>1248</v>
      </c>
    </row>
    <row r="613">
      <c r="A613" s="5">
        <v>612.0</v>
      </c>
      <c r="B613" s="5" t="s">
        <v>2063</v>
      </c>
      <c r="C613" s="5" t="s">
        <v>2064</v>
      </c>
      <c r="D613" s="5" t="s">
        <v>2065</v>
      </c>
      <c r="E613" s="5" t="s">
        <v>1248</v>
      </c>
    </row>
    <row r="614">
      <c r="A614" s="5">
        <v>613.0</v>
      </c>
      <c r="B614" s="5" t="s">
        <v>2066</v>
      </c>
      <c r="C614" s="5" t="s">
        <v>2067</v>
      </c>
      <c r="D614" s="5" t="s">
        <v>2068</v>
      </c>
      <c r="E614" s="5" t="s">
        <v>1248</v>
      </c>
    </row>
    <row r="615">
      <c r="A615" s="5">
        <v>614.0</v>
      </c>
      <c r="B615" s="5" t="s">
        <v>2069</v>
      </c>
      <c r="C615" s="5" t="s">
        <v>2070</v>
      </c>
      <c r="D615" s="5" t="s">
        <v>2071</v>
      </c>
      <c r="E615" s="5" t="s">
        <v>1248</v>
      </c>
    </row>
    <row r="616">
      <c r="A616" s="5">
        <v>615.0</v>
      </c>
      <c r="B616" s="5" t="s">
        <v>2072</v>
      </c>
      <c r="C616" s="5" t="s">
        <v>2073</v>
      </c>
      <c r="D616" s="5" t="s">
        <v>2074</v>
      </c>
      <c r="E616" s="5" t="s">
        <v>1248</v>
      </c>
    </row>
    <row r="617">
      <c r="A617" s="5">
        <v>616.0</v>
      </c>
      <c r="B617" s="5" t="s">
        <v>2075</v>
      </c>
      <c r="C617" s="5" t="s">
        <v>2076</v>
      </c>
      <c r="D617" s="5" t="s">
        <v>2077</v>
      </c>
      <c r="E617" s="5" t="s">
        <v>1248</v>
      </c>
    </row>
    <row r="618">
      <c r="A618" s="5">
        <v>617.0</v>
      </c>
      <c r="B618" s="5" t="s">
        <v>2078</v>
      </c>
      <c r="C618" s="5" t="s">
        <v>2079</v>
      </c>
      <c r="D618" s="5" t="s">
        <v>2080</v>
      </c>
      <c r="E618" s="5" t="s">
        <v>1248</v>
      </c>
    </row>
    <row r="619">
      <c r="A619" s="5">
        <v>618.0</v>
      </c>
      <c r="B619" s="5" t="s">
        <v>2081</v>
      </c>
      <c r="C619" s="5" t="s">
        <v>2082</v>
      </c>
      <c r="D619" s="5" t="s">
        <v>2083</v>
      </c>
      <c r="E619" s="5" t="s">
        <v>1248</v>
      </c>
    </row>
    <row r="620">
      <c r="A620" s="5">
        <v>619.0</v>
      </c>
      <c r="B620" s="5" t="s">
        <v>2084</v>
      </c>
      <c r="C620" s="5" t="s">
        <v>2085</v>
      </c>
      <c r="D620" s="5" t="s">
        <v>2086</v>
      </c>
      <c r="E620" s="5" t="s">
        <v>1248</v>
      </c>
    </row>
    <row r="621">
      <c r="A621" s="5">
        <v>620.0</v>
      </c>
      <c r="B621" s="5" t="s">
        <v>2087</v>
      </c>
      <c r="C621" s="5" t="s">
        <v>2088</v>
      </c>
      <c r="D621" s="5" t="s">
        <v>2089</v>
      </c>
      <c r="E621" s="5" t="s">
        <v>1248</v>
      </c>
    </row>
    <row r="622">
      <c r="A622" s="5">
        <v>621.0</v>
      </c>
      <c r="B622" s="5" t="s">
        <v>2090</v>
      </c>
      <c r="C622" s="5" t="s">
        <v>2091</v>
      </c>
      <c r="D622" s="5" t="s">
        <v>2092</v>
      </c>
      <c r="E622" s="5" t="s">
        <v>1248</v>
      </c>
    </row>
    <row r="623">
      <c r="A623" s="5">
        <v>622.0</v>
      </c>
      <c r="B623" s="5" t="s">
        <v>2093</v>
      </c>
      <c r="C623" s="5" t="s">
        <v>2094</v>
      </c>
      <c r="D623" s="5" t="s">
        <v>2095</v>
      </c>
      <c r="E623" s="5" t="s">
        <v>1248</v>
      </c>
    </row>
    <row r="624">
      <c r="A624" s="5">
        <v>623.0</v>
      </c>
      <c r="B624" s="5" t="s">
        <v>2096</v>
      </c>
      <c r="C624" s="5" t="s">
        <v>2097</v>
      </c>
      <c r="D624" s="5" t="s">
        <v>2098</v>
      </c>
      <c r="E624" s="5" t="s">
        <v>1248</v>
      </c>
    </row>
    <row r="625">
      <c r="A625" s="5">
        <v>624.0</v>
      </c>
      <c r="B625" s="5" t="s">
        <v>2099</v>
      </c>
      <c r="C625" s="5" t="s">
        <v>2100</v>
      </c>
      <c r="D625" s="5" t="s">
        <v>2101</v>
      </c>
      <c r="E625" s="5" t="s">
        <v>166</v>
      </c>
    </row>
    <row r="626">
      <c r="A626" s="5">
        <v>625.0</v>
      </c>
      <c r="B626" s="5" t="s">
        <v>2102</v>
      </c>
      <c r="C626" s="5" t="s">
        <v>2103</v>
      </c>
      <c r="D626" s="5" t="s">
        <v>2104</v>
      </c>
      <c r="E626" s="5" t="s">
        <v>166</v>
      </c>
    </row>
    <row r="627">
      <c r="A627" s="5">
        <v>626.0</v>
      </c>
      <c r="B627" s="5" t="s">
        <v>2105</v>
      </c>
      <c r="C627" s="5" t="s">
        <v>2106</v>
      </c>
      <c r="D627" s="5" t="s">
        <v>2107</v>
      </c>
      <c r="E627" s="5" t="s">
        <v>166</v>
      </c>
    </row>
    <row r="628">
      <c r="A628" s="5">
        <v>627.0</v>
      </c>
      <c r="B628" s="5" t="s">
        <v>2108</v>
      </c>
      <c r="C628" s="5" t="s">
        <v>2109</v>
      </c>
      <c r="D628" s="5" t="s">
        <v>2110</v>
      </c>
      <c r="E628" s="5" t="s">
        <v>166</v>
      </c>
    </row>
    <row r="629">
      <c r="A629" s="5">
        <v>628.0</v>
      </c>
      <c r="B629" s="5" t="s">
        <v>2111</v>
      </c>
      <c r="C629" s="5" t="s">
        <v>2112</v>
      </c>
      <c r="D629" s="5" t="s">
        <v>2113</v>
      </c>
      <c r="E629" s="5" t="s">
        <v>166</v>
      </c>
    </row>
    <row r="630">
      <c r="A630" s="5">
        <v>629.0</v>
      </c>
      <c r="B630" s="5" t="s">
        <v>2114</v>
      </c>
      <c r="C630" s="5" t="s">
        <v>2115</v>
      </c>
      <c r="D630" s="5" t="s">
        <v>2116</v>
      </c>
      <c r="E630" s="5" t="s">
        <v>166</v>
      </c>
    </row>
    <row r="631">
      <c r="A631" s="5">
        <v>630.0</v>
      </c>
      <c r="B631" s="5" t="s">
        <v>2117</v>
      </c>
      <c r="C631" s="5" t="s">
        <v>2118</v>
      </c>
      <c r="D631" s="5" t="s">
        <v>2119</v>
      </c>
      <c r="E631" s="5" t="s">
        <v>166</v>
      </c>
    </row>
    <row r="632">
      <c r="A632" s="5">
        <v>631.0</v>
      </c>
      <c r="B632" s="5" t="s">
        <v>2120</v>
      </c>
      <c r="C632" s="5" t="s">
        <v>2121</v>
      </c>
      <c r="D632" s="5" t="s">
        <v>2122</v>
      </c>
      <c r="E632" s="5" t="s">
        <v>166</v>
      </c>
    </row>
    <row r="633">
      <c r="A633" s="5">
        <v>632.0</v>
      </c>
      <c r="B633" s="5" t="s">
        <v>2123</v>
      </c>
      <c r="C633" s="5" t="s">
        <v>2124</v>
      </c>
      <c r="D633" s="5" t="s">
        <v>2125</v>
      </c>
      <c r="E633" s="5" t="s">
        <v>166</v>
      </c>
    </row>
    <row r="634">
      <c r="A634" s="5">
        <v>633.0</v>
      </c>
      <c r="B634" s="5" t="s">
        <v>2126</v>
      </c>
      <c r="C634" s="5" t="s">
        <v>2127</v>
      </c>
      <c r="D634" s="5" t="s">
        <v>2128</v>
      </c>
      <c r="E634" s="5" t="s">
        <v>166</v>
      </c>
    </row>
    <row r="635">
      <c r="A635" s="5">
        <v>634.0</v>
      </c>
      <c r="B635" s="5" t="s">
        <v>2129</v>
      </c>
      <c r="C635" s="5" t="s">
        <v>2130</v>
      </c>
      <c r="D635" s="5" t="s">
        <v>2131</v>
      </c>
      <c r="E635" s="5" t="s">
        <v>166</v>
      </c>
    </row>
    <row r="636">
      <c r="A636" s="5">
        <v>635.0</v>
      </c>
      <c r="B636" s="5" t="s">
        <v>2132</v>
      </c>
      <c r="C636" s="5" t="s">
        <v>2133</v>
      </c>
      <c r="D636" s="5" t="s">
        <v>2134</v>
      </c>
      <c r="E636" s="5" t="s">
        <v>166</v>
      </c>
    </row>
    <row r="637">
      <c r="A637" s="5">
        <v>636.0</v>
      </c>
      <c r="B637" s="5" t="s">
        <v>2135</v>
      </c>
      <c r="C637" s="5" t="s">
        <v>2136</v>
      </c>
      <c r="D637" s="5" t="s">
        <v>2137</v>
      </c>
      <c r="E637" s="5" t="s">
        <v>166</v>
      </c>
    </row>
    <row r="638">
      <c r="A638" s="5">
        <v>637.0</v>
      </c>
      <c r="B638" s="5" t="s">
        <v>2138</v>
      </c>
      <c r="C638" s="5" t="s">
        <v>2139</v>
      </c>
      <c r="D638" s="5" t="s">
        <v>2140</v>
      </c>
      <c r="E638" s="5" t="s">
        <v>166</v>
      </c>
    </row>
    <row r="639">
      <c r="A639" s="5">
        <v>638.0</v>
      </c>
      <c r="B639" s="5" t="s">
        <v>2141</v>
      </c>
      <c r="C639" s="5" t="s">
        <v>2142</v>
      </c>
      <c r="D639" s="5" t="s">
        <v>2143</v>
      </c>
      <c r="E639" s="5" t="s">
        <v>166</v>
      </c>
    </row>
    <row r="640">
      <c r="A640" s="5">
        <v>639.0</v>
      </c>
      <c r="B640" s="5" t="s">
        <v>2144</v>
      </c>
      <c r="C640" s="5" t="s">
        <v>2145</v>
      </c>
      <c r="D640" s="5" t="s">
        <v>2146</v>
      </c>
      <c r="E640" s="5" t="s">
        <v>166</v>
      </c>
    </row>
    <row r="641">
      <c r="A641" s="5">
        <v>640.0</v>
      </c>
      <c r="B641" s="5" t="s">
        <v>2147</v>
      </c>
      <c r="C641" s="5" t="s">
        <v>2148</v>
      </c>
      <c r="D641" s="5" t="s">
        <v>2149</v>
      </c>
      <c r="E641" s="5" t="s">
        <v>166</v>
      </c>
    </row>
    <row r="642">
      <c r="A642" s="5">
        <v>641.0</v>
      </c>
      <c r="B642" s="5" t="s">
        <v>2150</v>
      </c>
      <c r="C642" s="5" t="s">
        <v>2151</v>
      </c>
      <c r="D642" s="5" t="s">
        <v>2152</v>
      </c>
      <c r="E642" s="5" t="s">
        <v>166</v>
      </c>
    </row>
    <row r="643">
      <c r="A643" s="5">
        <v>642.0</v>
      </c>
      <c r="B643" s="5" t="s">
        <v>2153</v>
      </c>
      <c r="C643" s="5" t="s">
        <v>2154</v>
      </c>
      <c r="D643" s="5" t="s">
        <v>2155</v>
      </c>
      <c r="E643" s="5" t="s">
        <v>166</v>
      </c>
    </row>
    <row r="644">
      <c r="A644" s="5">
        <v>643.0</v>
      </c>
      <c r="B644" s="5" t="s">
        <v>2156</v>
      </c>
      <c r="C644" s="5" t="s">
        <v>2157</v>
      </c>
      <c r="D644" s="5" t="s">
        <v>2158</v>
      </c>
      <c r="E644" s="5" t="s">
        <v>166</v>
      </c>
    </row>
    <row r="645">
      <c r="A645" s="5">
        <v>644.0</v>
      </c>
      <c r="B645" s="5" t="s">
        <v>2159</v>
      </c>
      <c r="C645" s="5" t="s">
        <v>2160</v>
      </c>
      <c r="D645" s="5" t="s">
        <v>2161</v>
      </c>
      <c r="E645" s="5" t="s">
        <v>166</v>
      </c>
    </row>
    <row r="646">
      <c r="A646" s="5">
        <v>645.0</v>
      </c>
      <c r="B646" s="5" t="s">
        <v>2162</v>
      </c>
      <c r="C646" s="5" t="s">
        <v>2163</v>
      </c>
      <c r="D646" s="5" t="s">
        <v>2164</v>
      </c>
      <c r="E646" s="5" t="s">
        <v>166</v>
      </c>
    </row>
    <row r="647">
      <c r="A647" s="5">
        <v>646.0</v>
      </c>
      <c r="B647" s="5" t="s">
        <v>2165</v>
      </c>
      <c r="C647" s="5" t="s">
        <v>2166</v>
      </c>
      <c r="D647" s="5" t="s">
        <v>2167</v>
      </c>
      <c r="E647" s="5" t="s">
        <v>166</v>
      </c>
    </row>
    <row r="648">
      <c r="A648" s="5">
        <v>647.0</v>
      </c>
      <c r="B648" s="5" t="s">
        <v>2168</v>
      </c>
      <c r="C648" s="5" t="s">
        <v>2169</v>
      </c>
      <c r="D648" s="5" t="s">
        <v>2170</v>
      </c>
      <c r="E648" s="5" t="s">
        <v>166</v>
      </c>
    </row>
    <row r="649">
      <c r="A649" s="5">
        <v>648.0</v>
      </c>
      <c r="B649" s="5" t="s">
        <v>2171</v>
      </c>
      <c r="C649" s="5" t="s">
        <v>2172</v>
      </c>
      <c r="D649" s="5" t="s">
        <v>2173</v>
      </c>
      <c r="E649" s="5" t="s">
        <v>166</v>
      </c>
    </row>
    <row r="650">
      <c r="A650" s="5">
        <v>649.0</v>
      </c>
      <c r="B650" s="5" t="s">
        <v>2174</v>
      </c>
      <c r="C650" s="5" t="s">
        <v>2175</v>
      </c>
      <c r="D650" s="5" t="s">
        <v>2176</v>
      </c>
      <c r="E650" s="5" t="s">
        <v>166</v>
      </c>
    </row>
    <row r="651">
      <c r="A651" s="5">
        <v>650.0</v>
      </c>
      <c r="B651" s="5" t="s">
        <v>2177</v>
      </c>
      <c r="C651" s="5" t="s">
        <v>2178</v>
      </c>
      <c r="D651" s="5" t="s">
        <v>2179</v>
      </c>
      <c r="E651" s="5" t="s">
        <v>166</v>
      </c>
    </row>
    <row r="652">
      <c r="A652" s="5">
        <v>651.0</v>
      </c>
      <c r="B652" s="5" t="s">
        <v>2180</v>
      </c>
      <c r="C652" s="5" t="s">
        <v>2181</v>
      </c>
      <c r="D652" s="5" t="s">
        <v>2182</v>
      </c>
      <c r="E652" s="5" t="s">
        <v>166</v>
      </c>
    </row>
    <row r="653">
      <c r="A653" s="5">
        <v>652.0</v>
      </c>
      <c r="B653" s="5" t="s">
        <v>2183</v>
      </c>
      <c r="C653" s="5" t="s">
        <v>2184</v>
      </c>
      <c r="D653" s="5" t="s">
        <v>2185</v>
      </c>
      <c r="E653" s="5" t="s">
        <v>166</v>
      </c>
    </row>
    <row r="654">
      <c r="A654" s="5">
        <v>653.0</v>
      </c>
      <c r="B654" s="5" t="s">
        <v>2186</v>
      </c>
      <c r="C654" s="5" t="s">
        <v>2187</v>
      </c>
      <c r="D654" s="5" t="s">
        <v>2188</v>
      </c>
      <c r="E654" s="5" t="s">
        <v>166</v>
      </c>
    </row>
    <row r="655">
      <c r="A655" s="5">
        <v>654.0</v>
      </c>
      <c r="B655" s="5" t="s">
        <v>2189</v>
      </c>
      <c r="C655" s="5" t="s">
        <v>2190</v>
      </c>
      <c r="D655" s="5" t="s">
        <v>2191</v>
      </c>
      <c r="E655" s="5" t="s">
        <v>166</v>
      </c>
    </row>
    <row r="656">
      <c r="A656" s="5">
        <v>655.0</v>
      </c>
      <c r="B656" s="5" t="s">
        <v>2192</v>
      </c>
      <c r="C656" s="5" t="s">
        <v>2193</v>
      </c>
      <c r="D656" s="5" t="s">
        <v>2194</v>
      </c>
      <c r="E656" s="5" t="s">
        <v>166</v>
      </c>
    </row>
    <row r="657">
      <c r="A657" s="5">
        <v>656.0</v>
      </c>
      <c r="B657" s="5" t="s">
        <v>2195</v>
      </c>
      <c r="C657" s="5" t="s">
        <v>2196</v>
      </c>
      <c r="D657" s="5" t="s">
        <v>2197</v>
      </c>
      <c r="E657" s="5" t="s">
        <v>166</v>
      </c>
    </row>
    <row r="658">
      <c r="A658" s="5">
        <v>657.0</v>
      </c>
      <c r="B658" s="5" t="s">
        <v>2198</v>
      </c>
      <c r="C658" s="5" t="s">
        <v>2199</v>
      </c>
      <c r="D658" s="5" t="s">
        <v>2200</v>
      </c>
      <c r="E658" s="5" t="s">
        <v>166</v>
      </c>
    </row>
    <row r="659">
      <c r="A659" s="5">
        <v>658.0</v>
      </c>
      <c r="B659" s="5" t="s">
        <v>2201</v>
      </c>
      <c r="C659" s="5" t="s">
        <v>2202</v>
      </c>
      <c r="D659" s="5" t="s">
        <v>2203</v>
      </c>
      <c r="E659" s="5" t="s">
        <v>166</v>
      </c>
    </row>
    <row r="660">
      <c r="A660" s="5">
        <v>659.0</v>
      </c>
      <c r="B660" s="5" t="s">
        <v>2204</v>
      </c>
      <c r="C660" s="5" t="s">
        <v>2205</v>
      </c>
      <c r="D660" s="5" t="s">
        <v>2206</v>
      </c>
      <c r="E660" s="5" t="s">
        <v>166</v>
      </c>
    </row>
    <row r="661">
      <c r="A661" s="5">
        <v>660.0</v>
      </c>
      <c r="B661" s="5" t="s">
        <v>2207</v>
      </c>
      <c r="C661" s="5" t="s">
        <v>2208</v>
      </c>
      <c r="D661" s="5" t="s">
        <v>2209</v>
      </c>
      <c r="E661" s="5" t="s">
        <v>166</v>
      </c>
    </row>
    <row r="662">
      <c r="A662" s="5">
        <v>661.0</v>
      </c>
      <c r="B662" s="5" t="s">
        <v>2210</v>
      </c>
      <c r="C662" s="5" t="s">
        <v>2211</v>
      </c>
      <c r="D662" s="5" t="s">
        <v>2212</v>
      </c>
      <c r="E662" s="5" t="s">
        <v>166</v>
      </c>
    </row>
    <row r="663">
      <c r="A663" s="5">
        <v>662.0</v>
      </c>
      <c r="B663" s="5" t="s">
        <v>2213</v>
      </c>
      <c r="C663" s="5" t="s">
        <v>2214</v>
      </c>
      <c r="D663" s="5" t="s">
        <v>2215</v>
      </c>
      <c r="E663" s="5" t="s">
        <v>166</v>
      </c>
    </row>
    <row r="664">
      <c r="A664" s="5">
        <v>663.0</v>
      </c>
      <c r="B664" s="5" t="s">
        <v>2216</v>
      </c>
      <c r="C664" s="5" t="s">
        <v>2217</v>
      </c>
      <c r="D664" s="5" t="s">
        <v>2218</v>
      </c>
      <c r="E664" s="5" t="s">
        <v>166</v>
      </c>
    </row>
    <row r="665">
      <c r="A665" s="5">
        <v>664.0</v>
      </c>
      <c r="B665" s="5" t="s">
        <v>2219</v>
      </c>
      <c r="C665" s="5" t="s">
        <v>2220</v>
      </c>
      <c r="D665" s="5" t="s">
        <v>2221</v>
      </c>
      <c r="E665" s="5" t="s">
        <v>166</v>
      </c>
    </row>
    <row r="666">
      <c r="A666" s="5">
        <v>665.0</v>
      </c>
      <c r="B666" s="5" t="s">
        <v>2222</v>
      </c>
      <c r="C666" s="5" t="s">
        <v>2223</v>
      </c>
      <c r="D666" s="5" t="s">
        <v>2224</v>
      </c>
      <c r="E666" s="5" t="s">
        <v>166</v>
      </c>
    </row>
    <row r="667">
      <c r="A667" s="5">
        <v>666.0</v>
      </c>
      <c r="B667" s="5" t="s">
        <v>2225</v>
      </c>
      <c r="C667" s="5" t="s">
        <v>2226</v>
      </c>
      <c r="D667" s="5" t="s">
        <v>2227</v>
      </c>
      <c r="E667" s="5" t="s">
        <v>166</v>
      </c>
    </row>
    <row r="668">
      <c r="A668" s="5">
        <v>667.0</v>
      </c>
      <c r="B668" s="5" t="s">
        <v>2228</v>
      </c>
      <c r="C668" s="5" t="s">
        <v>2229</v>
      </c>
      <c r="D668" s="5" t="s">
        <v>2230</v>
      </c>
      <c r="E668" s="5" t="s">
        <v>166</v>
      </c>
    </row>
    <row r="669">
      <c r="A669" s="5">
        <v>668.0</v>
      </c>
      <c r="B669" s="5" t="s">
        <v>2231</v>
      </c>
      <c r="C669" s="5" t="s">
        <v>2232</v>
      </c>
      <c r="D669" s="5" t="s">
        <v>2233</v>
      </c>
      <c r="E669" s="5" t="s">
        <v>166</v>
      </c>
    </row>
    <row r="670">
      <c r="A670" s="5">
        <v>669.0</v>
      </c>
      <c r="B670" s="5" t="s">
        <v>2234</v>
      </c>
      <c r="C670" s="5" t="s">
        <v>2235</v>
      </c>
      <c r="D670" s="5" t="s">
        <v>2236</v>
      </c>
      <c r="E670" s="5" t="s">
        <v>166</v>
      </c>
    </row>
    <row r="671">
      <c r="A671" s="5">
        <v>670.0</v>
      </c>
      <c r="B671" s="5" t="s">
        <v>2237</v>
      </c>
      <c r="C671" s="5" t="s">
        <v>2238</v>
      </c>
      <c r="D671" s="5" t="s">
        <v>2239</v>
      </c>
      <c r="E671" s="5" t="s">
        <v>166</v>
      </c>
    </row>
    <row r="672">
      <c r="A672" s="5">
        <v>671.0</v>
      </c>
      <c r="B672" s="5" t="s">
        <v>2240</v>
      </c>
      <c r="C672" s="5" t="s">
        <v>2241</v>
      </c>
      <c r="D672" s="5" t="s">
        <v>2242</v>
      </c>
      <c r="E672" s="5" t="s">
        <v>166</v>
      </c>
    </row>
    <row r="673">
      <c r="A673" s="5">
        <v>672.0</v>
      </c>
      <c r="B673" s="5" t="s">
        <v>2243</v>
      </c>
      <c r="C673" s="5" t="s">
        <v>2244</v>
      </c>
      <c r="D673" s="5" t="s">
        <v>2245</v>
      </c>
      <c r="E673" s="5" t="s">
        <v>166</v>
      </c>
    </row>
    <row r="674">
      <c r="A674" s="5">
        <v>673.0</v>
      </c>
      <c r="B674" s="5" t="s">
        <v>2246</v>
      </c>
      <c r="C674" s="5" t="s">
        <v>2247</v>
      </c>
      <c r="D674" s="5" t="s">
        <v>2248</v>
      </c>
      <c r="E674" s="5" t="s">
        <v>166</v>
      </c>
    </row>
    <row r="675">
      <c r="A675" s="5">
        <v>674.0</v>
      </c>
      <c r="B675" s="5" t="s">
        <v>2249</v>
      </c>
      <c r="C675" s="5" t="s">
        <v>2250</v>
      </c>
      <c r="D675" s="5" t="s">
        <v>2251</v>
      </c>
      <c r="E675" s="5" t="s">
        <v>166</v>
      </c>
    </row>
    <row r="676">
      <c r="A676" s="5">
        <v>675.0</v>
      </c>
      <c r="B676" s="5" t="s">
        <v>2252</v>
      </c>
      <c r="C676" s="5" t="s">
        <v>2253</v>
      </c>
      <c r="D676" s="5" t="s">
        <v>2254</v>
      </c>
      <c r="E676" s="5" t="s">
        <v>166</v>
      </c>
    </row>
    <row r="677">
      <c r="A677" s="5">
        <v>676.0</v>
      </c>
      <c r="B677" s="5" t="s">
        <v>2255</v>
      </c>
      <c r="C677" s="5" t="s">
        <v>2256</v>
      </c>
      <c r="D677" s="5" t="s">
        <v>2257</v>
      </c>
      <c r="E677" s="5" t="s">
        <v>166</v>
      </c>
    </row>
    <row r="678">
      <c r="A678" s="5">
        <v>677.0</v>
      </c>
      <c r="B678" s="5" t="s">
        <v>2258</v>
      </c>
      <c r="C678" s="5" t="s">
        <v>2259</v>
      </c>
      <c r="D678" s="5" t="s">
        <v>2260</v>
      </c>
      <c r="E678" s="5" t="s">
        <v>166</v>
      </c>
    </row>
    <row r="679">
      <c r="A679" s="5">
        <v>678.0</v>
      </c>
      <c r="B679" s="5" t="s">
        <v>2261</v>
      </c>
      <c r="C679" s="5" t="s">
        <v>2262</v>
      </c>
      <c r="D679" s="5" t="s">
        <v>2263</v>
      </c>
      <c r="E679" s="5" t="s">
        <v>166</v>
      </c>
    </row>
    <row r="680">
      <c r="A680" s="5">
        <v>679.0</v>
      </c>
      <c r="B680" s="5" t="s">
        <v>2264</v>
      </c>
      <c r="C680" s="5" t="s">
        <v>2265</v>
      </c>
      <c r="D680" s="5" t="s">
        <v>2266</v>
      </c>
      <c r="E680" s="5" t="s">
        <v>166</v>
      </c>
    </row>
    <row r="681">
      <c r="A681" s="5">
        <v>680.0</v>
      </c>
      <c r="B681" s="5" t="s">
        <v>2267</v>
      </c>
      <c r="C681" s="5" t="s">
        <v>2268</v>
      </c>
      <c r="D681" s="5" t="s">
        <v>2269</v>
      </c>
      <c r="E681" s="5" t="s">
        <v>166</v>
      </c>
    </row>
    <row r="682">
      <c r="A682" s="5">
        <v>681.0</v>
      </c>
      <c r="B682" s="5" t="s">
        <v>2270</v>
      </c>
      <c r="C682" s="5" t="s">
        <v>2271</v>
      </c>
      <c r="D682" s="5" t="s">
        <v>2272</v>
      </c>
      <c r="E682" s="5" t="s">
        <v>166</v>
      </c>
    </row>
    <row r="683">
      <c r="A683" s="5">
        <v>682.0</v>
      </c>
      <c r="B683" s="5" t="s">
        <v>2273</v>
      </c>
      <c r="C683" s="5" t="s">
        <v>2274</v>
      </c>
      <c r="D683" s="5" t="s">
        <v>2275</v>
      </c>
      <c r="E683" s="5" t="s">
        <v>166</v>
      </c>
    </row>
    <row r="684">
      <c r="A684" s="5">
        <v>683.0</v>
      </c>
      <c r="B684" s="5" t="s">
        <v>2276</v>
      </c>
      <c r="C684" s="5" t="s">
        <v>2277</v>
      </c>
      <c r="D684" s="5" t="s">
        <v>2278</v>
      </c>
      <c r="E684" s="5" t="s">
        <v>166</v>
      </c>
    </row>
    <row r="685">
      <c r="A685" s="5">
        <v>684.0</v>
      </c>
      <c r="B685" s="5" t="s">
        <v>2279</v>
      </c>
      <c r="C685" s="5" t="s">
        <v>2280</v>
      </c>
      <c r="D685" s="5" t="s">
        <v>2281</v>
      </c>
      <c r="E685" s="5" t="s">
        <v>166</v>
      </c>
    </row>
    <row r="686">
      <c r="A686" s="5">
        <v>685.0</v>
      </c>
      <c r="B686" s="5" t="s">
        <v>2282</v>
      </c>
      <c r="C686" s="5" t="s">
        <v>2283</v>
      </c>
      <c r="D686" s="5" t="s">
        <v>2284</v>
      </c>
      <c r="E686" s="5" t="s">
        <v>166</v>
      </c>
    </row>
    <row r="687">
      <c r="A687" s="5">
        <v>686.0</v>
      </c>
      <c r="B687" s="5" t="s">
        <v>2285</v>
      </c>
      <c r="C687" s="5" t="s">
        <v>2286</v>
      </c>
      <c r="D687" s="5" t="s">
        <v>2287</v>
      </c>
      <c r="E687" s="5" t="s">
        <v>166</v>
      </c>
    </row>
    <row r="688">
      <c r="A688" s="5">
        <v>687.0</v>
      </c>
      <c r="B688" s="5" t="s">
        <v>2288</v>
      </c>
      <c r="C688" s="5" t="s">
        <v>2289</v>
      </c>
      <c r="D688" s="5" t="s">
        <v>2290</v>
      </c>
      <c r="E688" s="5" t="s">
        <v>166</v>
      </c>
    </row>
    <row r="689">
      <c r="A689" s="5">
        <v>688.0</v>
      </c>
      <c r="B689" s="5" t="s">
        <v>2291</v>
      </c>
      <c r="C689" s="5" t="s">
        <v>2292</v>
      </c>
      <c r="D689" s="5" t="s">
        <v>2293</v>
      </c>
      <c r="E689" s="5" t="s">
        <v>166</v>
      </c>
    </row>
    <row r="690">
      <c r="A690" s="5">
        <v>689.0</v>
      </c>
      <c r="B690" s="5" t="s">
        <v>2294</v>
      </c>
      <c r="C690" s="5" t="s">
        <v>2295</v>
      </c>
      <c r="D690" s="5" t="s">
        <v>2296</v>
      </c>
      <c r="E690" s="5" t="s">
        <v>166</v>
      </c>
    </row>
    <row r="691">
      <c r="A691" s="5">
        <v>690.0</v>
      </c>
      <c r="B691" s="5" t="s">
        <v>2297</v>
      </c>
      <c r="C691" s="5" t="s">
        <v>2298</v>
      </c>
      <c r="D691" s="5" t="s">
        <v>2299</v>
      </c>
      <c r="E691" s="5" t="s">
        <v>166</v>
      </c>
    </row>
    <row r="692">
      <c r="A692" s="5">
        <v>691.0</v>
      </c>
      <c r="B692" s="5" t="s">
        <v>2300</v>
      </c>
      <c r="C692" s="5" t="s">
        <v>2301</v>
      </c>
      <c r="D692" s="5" t="s">
        <v>2302</v>
      </c>
      <c r="E692" s="5" t="s">
        <v>166</v>
      </c>
    </row>
    <row r="693">
      <c r="A693" s="5">
        <v>692.0</v>
      </c>
      <c r="B693" s="5" t="s">
        <v>2303</v>
      </c>
      <c r="C693" s="5" t="s">
        <v>2304</v>
      </c>
      <c r="D693" s="5" t="s">
        <v>2305</v>
      </c>
      <c r="E693" s="5" t="s">
        <v>166</v>
      </c>
    </row>
    <row r="694">
      <c r="A694" s="5">
        <v>693.0</v>
      </c>
      <c r="B694" s="5" t="s">
        <v>2306</v>
      </c>
      <c r="C694" s="5" t="s">
        <v>2307</v>
      </c>
      <c r="D694" s="5" t="s">
        <v>2308</v>
      </c>
      <c r="E694" s="5" t="s">
        <v>166</v>
      </c>
    </row>
    <row r="695">
      <c r="A695" s="5">
        <v>694.0</v>
      </c>
      <c r="B695" s="5" t="s">
        <v>2309</v>
      </c>
      <c r="C695" s="5" t="s">
        <v>2310</v>
      </c>
      <c r="D695" s="5" t="s">
        <v>2311</v>
      </c>
      <c r="E695" s="5" t="s">
        <v>166</v>
      </c>
    </row>
    <row r="696">
      <c r="A696" s="5">
        <v>695.0</v>
      </c>
      <c r="B696" s="5" t="s">
        <v>2312</v>
      </c>
      <c r="C696" s="5" t="s">
        <v>2313</v>
      </c>
      <c r="D696" s="5" t="s">
        <v>2314</v>
      </c>
      <c r="E696" s="5" t="s">
        <v>166</v>
      </c>
    </row>
    <row r="697">
      <c r="A697" s="5">
        <v>696.0</v>
      </c>
      <c r="B697" s="5" t="s">
        <v>2315</v>
      </c>
      <c r="C697" s="5" t="s">
        <v>2316</v>
      </c>
      <c r="D697" s="5" t="s">
        <v>2317</v>
      </c>
      <c r="E697" s="5" t="s">
        <v>1321</v>
      </c>
    </row>
    <row r="698">
      <c r="A698" s="5">
        <v>697.0</v>
      </c>
      <c r="B698" s="5" t="s">
        <v>2318</v>
      </c>
      <c r="C698" s="5" t="s">
        <v>2319</v>
      </c>
      <c r="D698" s="5" t="s">
        <v>2320</v>
      </c>
      <c r="E698" s="5" t="s">
        <v>1321</v>
      </c>
    </row>
    <row r="699">
      <c r="A699" s="5">
        <v>698.0</v>
      </c>
      <c r="B699" s="5" t="s">
        <v>2321</v>
      </c>
      <c r="C699" s="5" t="s">
        <v>2322</v>
      </c>
      <c r="D699" s="5" t="s">
        <v>2323</v>
      </c>
      <c r="E699" s="5" t="s">
        <v>1321</v>
      </c>
    </row>
    <row r="700">
      <c r="A700" s="5">
        <v>699.0</v>
      </c>
      <c r="B700" s="5" t="s">
        <v>2324</v>
      </c>
      <c r="C700" s="5" t="s">
        <v>2325</v>
      </c>
      <c r="D700" s="5" t="s">
        <v>2326</v>
      </c>
      <c r="E700" s="5" t="s">
        <v>1321</v>
      </c>
    </row>
    <row r="701">
      <c r="A701" s="5">
        <v>700.0</v>
      </c>
      <c r="B701" s="5" t="s">
        <v>2327</v>
      </c>
      <c r="C701" s="5" t="s">
        <v>2328</v>
      </c>
      <c r="D701" s="5" t="s">
        <v>2329</v>
      </c>
      <c r="E701" s="5" t="s">
        <v>1321</v>
      </c>
    </row>
    <row r="702">
      <c r="A702" s="5">
        <v>701.0</v>
      </c>
      <c r="B702" s="5" t="s">
        <v>2330</v>
      </c>
      <c r="C702" s="5" t="s">
        <v>2331</v>
      </c>
      <c r="D702" s="5" t="s">
        <v>2332</v>
      </c>
      <c r="E702" s="5" t="s">
        <v>1321</v>
      </c>
    </row>
    <row r="703">
      <c r="A703" s="5">
        <v>702.0</v>
      </c>
      <c r="B703" s="5" t="s">
        <v>2333</v>
      </c>
      <c r="C703" s="5" t="s">
        <v>2334</v>
      </c>
      <c r="D703" s="5" t="s">
        <v>2335</v>
      </c>
      <c r="E703" s="5" t="s">
        <v>1321</v>
      </c>
    </row>
    <row r="704">
      <c r="A704" s="5">
        <v>703.0</v>
      </c>
      <c r="B704" s="5" t="s">
        <v>2336</v>
      </c>
      <c r="C704" s="5" t="s">
        <v>2337</v>
      </c>
      <c r="D704" s="5" t="s">
        <v>2338</v>
      </c>
      <c r="E704" s="5" t="s">
        <v>1321</v>
      </c>
    </row>
    <row r="705">
      <c r="A705" s="5">
        <v>704.0</v>
      </c>
      <c r="B705" s="5" t="s">
        <v>2339</v>
      </c>
      <c r="C705" s="5" t="s">
        <v>2340</v>
      </c>
      <c r="D705" s="5" t="s">
        <v>2341</v>
      </c>
      <c r="E705" s="5" t="s">
        <v>1321</v>
      </c>
    </row>
    <row r="706">
      <c r="A706" s="5">
        <v>705.0</v>
      </c>
      <c r="B706" s="5" t="s">
        <v>2342</v>
      </c>
      <c r="C706" s="5" t="s">
        <v>2343</v>
      </c>
      <c r="D706" s="5" t="s">
        <v>2344</v>
      </c>
      <c r="E706" s="5" t="s">
        <v>1321</v>
      </c>
    </row>
    <row r="707">
      <c r="A707" s="5">
        <v>706.0</v>
      </c>
      <c r="B707" s="5" t="s">
        <v>2345</v>
      </c>
      <c r="C707" s="5" t="s">
        <v>2346</v>
      </c>
      <c r="D707" s="5" t="s">
        <v>2347</v>
      </c>
      <c r="E707" s="5" t="s">
        <v>1321</v>
      </c>
    </row>
    <row r="708">
      <c r="A708" s="5">
        <v>707.0</v>
      </c>
      <c r="B708" s="5" t="s">
        <v>2348</v>
      </c>
      <c r="C708" s="5" t="s">
        <v>2349</v>
      </c>
      <c r="D708" s="5" t="s">
        <v>2350</v>
      </c>
      <c r="E708" s="5" t="s">
        <v>1321</v>
      </c>
    </row>
    <row r="709">
      <c r="A709" s="5">
        <v>708.0</v>
      </c>
      <c r="B709" s="5" t="s">
        <v>2351</v>
      </c>
      <c r="C709" s="5" t="s">
        <v>2352</v>
      </c>
      <c r="D709" s="5" t="s">
        <v>2353</v>
      </c>
      <c r="E709" s="5" t="s">
        <v>1321</v>
      </c>
    </row>
    <row r="710">
      <c r="A710" s="5">
        <v>709.0</v>
      </c>
      <c r="B710" s="5" t="s">
        <v>2354</v>
      </c>
      <c r="C710" s="5" t="s">
        <v>2355</v>
      </c>
      <c r="D710" s="5" t="s">
        <v>2356</v>
      </c>
      <c r="E710" s="5" t="s">
        <v>1321</v>
      </c>
    </row>
    <row r="711">
      <c r="A711" s="5">
        <v>710.0</v>
      </c>
      <c r="B711" s="5" t="s">
        <v>2357</v>
      </c>
      <c r="C711" s="5" t="s">
        <v>2358</v>
      </c>
      <c r="D711" s="5" t="s">
        <v>2359</v>
      </c>
      <c r="E711" s="5" t="s">
        <v>1321</v>
      </c>
    </row>
    <row r="712">
      <c r="A712" s="5">
        <v>711.0</v>
      </c>
      <c r="B712" s="5" t="s">
        <v>2360</v>
      </c>
      <c r="C712" s="5" t="s">
        <v>2361</v>
      </c>
      <c r="D712" s="5" t="s">
        <v>2362</v>
      </c>
      <c r="E712" s="5" t="s">
        <v>1321</v>
      </c>
    </row>
    <row r="713">
      <c r="A713" s="5">
        <v>712.0</v>
      </c>
      <c r="B713" s="5" t="s">
        <v>2363</v>
      </c>
      <c r="C713" s="5" t="s">
        <v>2364</v>
      </c>
      <c r="D713" s="5" t="s">
        <v>2365</v>
      </c>
      <c r="E713" s="5" t="s">
        <v>1321</v>
      </c>
    </row>
    <row r="714">
      <c r="A714" s="5">
        <v>713.0</v>
      </c>
      <c r="B714" s="5" t="s">
        <v>2366</v>
      </c>
      <c r="C714" s="5" t="s">
        <v>2367</v>
      </c>
      <c r="D714" s="5" t="s">
        <v>2368</v>
      </c>
      <c r="E714" s="5" t="s">
        <v>1321</v>
      </c>
    </row>
    <row r="715">
      <c r="A715" s="5">
        <v>714.0</v>
      </c>
      <c r="B715" s="5" t="s">
        <v>2369</v>
      </c>
      <c r="C715" s="5" t="s">
        <v>2370</v>
      </c>
      <c r="D715" s="5" t="s">
        <v>2371</v>
      </c>
      <c r="E715" s="5" t="s">
        <v>1321</v>
      </c>
    </row>
    <row r="716">
      <c r="A716" s="5">
        <v>715.0</v>
      </c>
      <c r="B716" s="5" t="s">
        <v>2372</v>
      </c>
      <c r="C716" s="5" t="s">
        <v>2373</v>
      </c>
      <c r="D716" s="5" t="s">
        <v>2374</v>
      </c>
      <c r="E716" s="5" t="s">
        <v>1321</v>
      </c>
    </row>
    <row r="717">
      <c r="A717" s="5">
        <v>716.0</v>
      </c>
      <c r="B717" s="5" t="s">
        <v>2375</v>
      </c>
      <c r="C717" s="5" t="s">
        <v>2376</v>
      </c>
      <c r="D717" s="5" t="s">
        <v>2377</v>
      </c>
      <c r="E717" s="5" t="s">
        <v>1321</v>
      </c>
    </row>
    <row r="718">
      <c r="A718" s="5">
        <v>717.0</v>
      </c>
      <c r="B718" s="5" t="s">
        <v>2378</v>
      </c>
      <c r="C718" s="5" t="s">
        <v>2379</v>
      </c>
      <c r="D718" s="5" t="s">
        <v>2380</v>
      </c>
      <c r="E718" s="5" t="s">
        <v>1321</v>
      </c>
    </row>
    <row r="719">
      <c r="A719" s="5">
        <v>718.0</v>
      </c>
      <c r="B719" s="5" t="s">
        <v>2381</v>
      </c>
      <c r="C719" s="5" t="s">
        <v>2382</v>
      </c>
      <c r="D719" s="5" t="s">
        <v>2383</v>
      </c>
      <c r="E719" s="5" t="s">
        <v>1321</v>
      </c>
    </row>
    <row r="720">
      <c r="A720" s="5">
        <v>719.0</v>
      </c>
      <c r="B720" s="5" t="s">
        <v>2384</v>
      </c>
      <c r="C720" s="5" t="s">
        <v>2385</v>
      </c>
      <c r="D720" s="5" t="s">
        <v>2386</v>
      </c>
      <c r="E720" s="5" t="s">
        <v>1321</v>
      </c>
    </row>
    <row r="721">
      <c r="A721" s="5">
        <v>720.0</v>
      </c>
      <c r="B721" s="5" t="s">
        <v>2387</v>
      </c>
      <c r="C721" s="5" t="s">
        <v>2388</v>
      </c>
      <c r="D721" s="5" t="s">
        <v>2389</v>
      </c>
      <c r="E721" s="5" t="s">
        <v>1321</v>
      </c>
    </row>
    <row r="722">
      <c r="A722" s="5">
        <v>721.0</v>
      </c>
      <c r="B722" s="5" t="s">
        <v>2390</v>
      </c>
      <c r="C722" s="5" t="s">
        <v>2391</v>
      </c>
      <c r="D722" s="5" t="s">
        <v>2392</v>
      </c>
      <c r="E722" s="5" t="s">
        <v>1321</v>
      </c>
    </row>
    <row r="723">
      <c r="A723" s="5">
        <v>722.0</v>
      </c>
      <c r="B723" s="5" t="s">
        <v>2393</v>
      </c>
      <c r="C723" s="5" t="s">
        <v>2394</v>
      </c>
      <c r="D723" s="5" t="s">
        <v>2395</v>
      </c>
      <c r="E723" s="5" t="s">
        <v>1321</v>
      </c>
    </row>
    <row r="724">
      <c r="A724" s="5">
        <v>723.0</v>
      </c>
      <c r="B724" s="5" t="s">
        <v>2396</v>
      </c>
      <c r="C724" s="5" t="s">
        <v>2397</v>
      </c>
      <c r="D724" s="5" t="s">
        <v>2398</v>
      </c>
      <c r="E724" s="5" t="s">
        <v>1321</v>
      </c>
    </row>
    <row r="725">
      <c r="A725" s="5">
        <v>724.0</v>
      </c>
      <c r="B725" s="5" t="s">
        <v>2399</v>
      </c>
      <c r="C725" s="5" t="s">
        <v>2400</v>
      </c>
      <c r="D725" s="5" t="s">
        <v>2401</v>
      </c>
      <c r="E725" s="5" t="s">
        <v>1321</v>
      </c>
    </row>
    <row r="726">
      <c r="A726" s="5">
        <v>725.0</v>
      </c>
      <c r="B726" s="5" t="s">
        <v>2402</v>
      </c>
      <c r="C726" s="5" t="s">
        <v>2403</v>
      </c>
      <c r="D726" s="5" t="s">
        <v>2404</v>
      </c>
      <c r="E726" s="5" t="s">
        <v>1321</v>
      </c>
    </row>
    <row r="727">
      <c r="A727" s="5">
        <v>726.0</v>
      </c>
      <c r="B727" s="5" t="s">
        <v>2405</v>
      </c>
      <c r="C727" s="5" t="s">
        <v>2406</v>
      </c>
      <c r="D727" s="5" t="s">
        <v>2407</v>
      </c>
      <c r="E727" s="5" t="s">
        <v>1321</v>
      </c>
    </row>
    <row r="728">
      <c r="A728" s="5">
        <v>727.0</v>
      </c>
      <c r="B728" s="5" t="s">
        <v>2408</v>
      </c>
      <c r="C728" s="5" t="s">
        <v>2409</v>
      </c>
      <c r="D728" s="5" t="s">
        <v>2410</v>
      </c>
      <c r="E728" s="5" t="s">
        <v>1321</v>
      </c>
    </row>
    <row r="729">
      <c r="A729" s="5">
        <v>728.0</v>
      </c>
      <c r="B729" s="5" t="s">
        <v>2411</v>
      </c>
      <c r="C729" s="5" t="s">
        <v>2412</v>
      </c>
      <c r="D729" s="5" t="s">
        <v>2413</v>
      </c>
      <c r="E729" s="5" t="s">
        <v>1321</v>
      </c>
    </row>
    <row r="730">
      <c r="A730" s="5">
        <v>729.0</v>
      </c>
      <c r="B730" s="5" t="s">
        <v>2414</v>
      </c>
      <c r="C730" s="5" t="s">
        <v>2415</v>
      </c>
      <c r="D730" s="5" t="s">
        <v>2416</v>
      </c>
      <c r="E730" s="5" t="s">
        <v>1321</v>
      </c>
    </row>
    <row r="731">
      <c r="A731" s="5">
        <v>730.0</v>
      </c>
      <c r="B731" s="5" t="s">
        <v>2417</v>
      </c>
      <c r="C731" s="5" t="s">
        <v>2418</v>
      </c>
      <c r="D731" s="5" t="s">
        <v>2419</v>
      </c>
      <c r="E731" s="5" t="s">
        <v>1321</v>
      </c>
    </row>
    <row r="732">
      <c r="A732" s="5">
        <v>731.0</v>
      </c>
      <c r="B732" s="5" t="s">
        <v>2420</v>
      </c>
      <c r="C732" s="5" t="s">
        <v>2421</v>
      </c>
      <c r="D732" s="5" t="s">
        <v>2422</v>
      </c>
      <c r="E732" s="5" t="s">
        <v>1321</v>
      </c>
    </row>
    <row r="733">
      <c r="A733" s="5">
        <v>732.0</v>
      </c>
      <c r="B733" s="5" t="s">
        <v>2423</v>
      </c>
      <c r="C733" s="5" t="s">
        <v>2424</v>
      </c>
      <c r="D733" s="5" t="s">
        <v>2425</v>
      </c>
      <c r="E733" s="5" t="s">
        <v>1321</v>
      </c>
    </row>
    <row r="734">
      <c r="A734" s="5">
        <v>733.0</v>
      </c>
      <c r="B734" s="5" t="s">
        <v>2426</v>
      </c>
      <c r="C734" s="5" t="s">
        <v>2427</v>
      </c>
      <c r="D734" s="5" t="s">
        <v>2428</v>
      </c>
      <c r="E734" s="5" t="s">
        <v>1321</v>
      </c>
    </row>
    <row r="735">
      <c r="A735" s="5">
        <v>734.0</v>
      </c>
      <c r="B735" s="5" t="s">
        <v>2429</v>
      </c>
      <c r="C735" s="5" t="s">
        <v>2430</v>
      </c>
      <c r="D735" s="5" t="s">
        <v>2431</v>
      </c>
      <c r="E735" s="5" t="s">
        <v>1321</v>
      </c>
    </row>
    <row r="736">
      <c r="A736" s="5">
        <v>735.0</v>
      </c>
      <c r="B736" s="5" t="s">
        <v>2432</v>
      </c>
      <c r="C736" s="5" t="s">
        <v>2433</v>
      </c>
      <c r="D736" s="5" t="s">
        <v>2434</v>
      </c>
      <c r="E736" s="5" t="s">
        <v>1321</v>
      </c>
    </row>
    <row r="737">
      <c r="A737" s="5">
        <v>736.0</v>
      </c>
      <c r="B737" s="5" t="s">
        <v>2435</v>
      </c>
      <c r="C737" s="5" t="s">
        <v>2436</v>
      </c>
      <c r="D737" s="5" t="s">
        <v>2437</v>
      </c>
      <c r="E737" s="5" t="s">
        <v>1321</v>
      </c>
    </row>
    <row r="738">
      <c r="A738" s="5">
        <v>737.0</v>
      </c>
      <c r="B738" s="5" t="s">
        <v>2438</v>
      </c>
      <c r="C738" s="5" t="s">
        <v>2439</v>
      </c>
      <c r="D738" s="5" t="s">
        <v>2440</v>
      </c>
      <c r="E738" s="5" t="s">
        <v>1321</v>
      </c>
    </row>
    <row r="739">
      <c r="A739" s="5">
        <v>738.0</v>
      </c>
      <c r="B739" s="5" t="s">
        <v>2441</v>
      </c>
      <c r="C739" s="5" t="s">
        <v>2442</v>
      </c>
      <c r="D739" s="5" t="s">
        <v>2443</v>
      </c>
      <c r="E739" s="5" t="s">
        <v>1321</v>
      </c>
    </row>
    <row r="740">
      <c r="A740" s="5">
        <v>739.0</v>
      </c>
      <c r="B740" s="5" t="s">
        <v>2444</v>
      </c>
      <c r="C740" s="5" t="s">
        <v>2445</v>
      </c>
      <c r="D740" s="5" t="s">
        <v>2446</v>
      </c>
      <c r="E740" s="5" t="s">
        <v>1321</v>
      </c>
    </row>
    <row r="741">
      <c r="A741" s="5">
        <v>740.0</v>
      </c>
      <c r="B741" s="5" t="s">
        <v>2447</v>
      </c>
      <c r="C741" s="5" t="s">
        <v>2448</v>
      </c>
      <c r="D741" s="5" t="s">
        <v>2449</v>
      </c>
      <c r="E741" s="5" t="s">
        <v>1321</v>
      </c>
    </row>
    <row r="742">
      <c r="A742" s="5">
        <v>741.0</v>
      </c>
      <c r="B742" s="5" t="s">
        <v>2450</v>
      </c>
      <c r="C742" s="5" t="s">
        <v>2451</v>
      </c>
      <c r="D742" s="5" t="s">
        <v>2452</v>
      </c>
      <c r="E742" s="5" t="s">
        <v>1321</v>
      </c>
    </row>
    <row r="743">
      <c r="A743" s="5">
        <v>742.0</v>
      </c>
      <c r="B743" s="5" t="s">
        <v>2453</v>
      </c>
      <c r="C743" s="5" t="s">
        <v>2454</v>
      </c>
      <c r="D743" s="5" t="s">
        <v>2455</v>
      </c>
      <c r="E743" s="5" t="s">
        <v>1321</v>
      </c>
    </row>
    <row r="744">
      <c r="A744" s="5">
        <v>743.0</v>
      </c>
      <c r="B744" s="5" t="s">
        <v>2456</v>
      </c>
      <c r="C744" s="5" t="s">
        <v>2457</v>
      </c>
      <c r="D744" s="5" t="s">
        <v>2458</v>
      </c>
      <c r="E744" s="5" t="s">
        <v>1321</v>
      </c>
    </row>
    <row r="745">
      <c r="A745" s="5">
        <v>744.0</v>
      </c>
      <c r="B745" s="5" t="s">
        <v>2459</v>
      </c>
      <c r="C745" s="5" t="s">
        <v>2460</v>
      </c>
      <c r="D745" s="5" t="s">
        <v>2461</v>
      </c>
      <c r="E745" s="5" t="s">
        <v>1321</v>
      </c>
    </row>
    <row r="746">
      <c r="A746" s="5">
        <v>745.0</v>
      </c>
      <c r="B746" s="5" t="s">
        <v>2462</v>
      </c>
      <c r="C746" s="5" t="s">
        <v>2463</v>
      </c>
      <c r="D746" s="5" t="s">
        <v>2464</v>
      </c>
      <c r="E746" s="5" t="s">
        <v>1321</v>
      </c>
    </row>
    <row r="747">
      <c r="A747" s="5">
        <v>746.0</v>
      </c>
      <c r="B747" s="5" t="s">
        <v>2465</v>
      </c>
      <c r="C747" s="5" t="s">
        <v>2466</v>
      </c>
      <c r="D747" s="5" t="s">
        <v>2467</v>
      </c>
      <c r="E747" s="5" t="s">
        <v>1321</v>
      </c>
    </row>
    <row r="748">
      <c r="A748" s="5">
        <v>747.0</v>
      </c>
      <c r="B748" s="5" t="s">
        <v>2468</v>
      </c>
      <c r="C748" s="5" t="s">
        <v>2469</v>
      </c>
      <c r="D748" s="5" t="s">
        <v>2470</v>
      </c>
      <c r="E748" s="5" t="s">
        <v>1321</v>
      </c>
    </row>
    <row r="749">
      <c r="A749" s="5">
        <v>748.0</v>
      </c>
      <c r="B749" s="5" t="s">
        <v>2471</v>
      </c>
      <c r="C749" s="5" t="s">
        <v>2472</v>
      </c>
      <c r="D749" s="5" t="s">
        <v>2473</v>
      </c>
      <c r="E749" s="5" t="s">
        <v>1321</v>
      </c>
    </row>
    <row r="750">
      <c r="A750" s="5">
        <v>749.0</v>
      </c>
      <c r="B750" s="5" t="s">
        <v>2474</v>
      </c>
      <c r="C750" s="5" t="s">
        <v>2475</v>
      </c>
      <c r="D750" s="5" t="s">
        <v>2476</v>
      </c>
      <c r="E750" s="5" t="s">
        <v>1321</v>
      </c>
    </row>
    <row r="751">
      <c r="A751" s="5">
        <v>750.0</v>
      </c>
      <c r="B751" s="5" t="s">
        <v>2477</v>
      </c>
      <c r="C751" s="5" t="s">
        <v>2478</v>
      </c>
      <c r="D751" s="5" t="s">
        <v>2479</v>
      </c>
      <c r="E751" s="5" t="s">
        <v>1321</v>
      </c>
    </row>
    <row r="752">
      <c r="A752" s="5">
        <v>751.0</v>
      </c>
      <c r="B752" s="5" t="s">
        <v>2480</v>
      </c>
      <c r="C752" s="5" t="s">
        <v>2481</v>
      </c>
      <c r="D752" s="5" t="s">
        <v>2482</v>
      </c>
      <c r="E752" s="5" t="s">
        <v>1321</v>
      </c>
    </row>
    <row r="753">
      <c r="A753" s="5">
        <v>752.0</v>
      </c>
      <c r="B753" s="5" t="s">
        <v>2483</v>
      </c>
      <c r="C753" s="5" t="s">
        <v>2484</v>
      </c>
      <c r="D753" s="5" t="s">
        <v>2485</v>
      </c>
      <c r="E753" s="5" t="s">
        <v>1321</v>
      </c>
    </row>
    <row r="754">
      <c r="A754" s="5">
        <v>753.0</v>
      </c>
      <c r="B754" s="5" t="s">
        <v>2486</v>
      </c>
      <c r="C754" s="5" t="s">
        <v>2487</v>
      </c>
      <c r="D754" s="5" t="s">
        <v>2488</v>
      </c>
      <c r="E754" s="5" t="s">
        <v>1321</v>
      </c>
    </row>
    <row r="755">
      <c r="A755" s="5">
        <v>754.0</v>
      </c>
      <c r="B755" s="5" t="s">
        <v>2489</v>
      </c>
      <c r="C755" s="5" t="s">
        <v>2490</v>
      </c>
      <c r="D755" s="5" t="s">
        <v>2491</v>
      </c>
      <c r="E755" s="5" t="s">
        <v>1321</v>
      </c>
    </row>
    <row r="756">
      <c r="A756" s="5">
        <v>755.0</v>
      </c>
      <c r="B756" s="5" t="s">
        <v>2492</v>
      </c>
      <c r="C756" s="5" t="s">
        <v>2493</v>
      </c>
      <c r="D756" s="5" t="s">
        <v>2494</v>
      </c>
      <c r="E756" s="5" t="s">
        <v>1321</v>
      </c>
    </row>
    <row r="757">
      <c r="A757" s="5">
        <v>756.0</v>
      </c>
      <c r="B757" s="5" t="s">
        <v>2495</v>
      </c>
      <c r="C757" s="5" t="s">
        <v>2496</v>
      </c>
      <c r="D757" s="5" t="s">
        <v>2497</v>
      </c>
      <c r="E757" s="5" t="s">
        <v>1321</v>
      </c>
    </row>
    <row r="758">
      <c r="A758" s="5">
        <v>757.0</v>
      </c>
      <c r="B758" s="5" t="s">
        <v>2498</v>
      </c>
      <c r="C758" s="5" t="s">
        <v>2499</v>
      </c>
      <c r="D758" s="5" t="s">
        <v>2500</v>
      </c>
      <c r="E758" s="5" t="s">
        <v>1321</v>
      </c>
    </row>
    <row r="759">
      <c r="A759" s="5">
        <v>758.0</v>
      </c>
      <c r="B759" s="5" t="s">
        <v>2501</v>
      </c>
      <c r="C759" s="5" t="s">
        <v>2502</v>
      </c>
      <c r="D759" s="5" t="s">
        <v>2503</v>
      </c>
      <c r="E759" s="5" t="s">
        <v>1321</v>
      </c>
    </row>
    <row r="760">
      <c r="A760" s="5">
        <v>759.0</v>
      </c>
      <c r="B760" s="5" t="s">
        <v>2504</v>
      </c>
      <c r="C760" s="5" t="s">
        <v>2505</v>
      </c>
      <c r="D760" s="5" t="s">
        <v>2506</v>
      </c>
      <c r="E760" s="5" t="s">
        <v>1321</v>
      </c>
    </row>
    <row r="761">
      <c r="A761" s="5">
        <v>760.0</v>
      </c>
      <c r="B761" s="5" t="s">
        <v>2507</v>
      </c>
      <c r="C761" s="5" t="s">
        <v>2508</v>
      </c>
      <c r="D761" s="5" t="s">
        <v>2509</v>
      </c>
      <c r="E761" s="5" t="s">
        <v>1321</v>
      </c>
    </row>
    <row r="762">
      <c r="A762" s="5">
        <v>761.0</v>
      </c>
      <c r="B762" s="5" t="s">
        <v>2510</v>
      </c>
      <c r="C762" s="5" t="s">
        <v>2511</v>
      </c>
      <c r="D762" s="5" t="s">
        <v>2512</v>
      </c>
      <c r="E762" s="5" t="s">
        <v>1321</v>
      </c>
    </row>
    <row r="763">
      <c r="A763" s="5">
        <v>762.0</v>
      </c>
      <c r="B763" s="5" t="s">
        <v>2513</v>
      </c>
      <c r="C763" s="5" t="s">
        <v>2514</v>
      </c>
      <c r="D763" s="5" t="s">
        <v>2515</v>
      </c>
      <c r="E763" s="5" t="s">
        <v>1321</v>
      </c>
    </row>
    <row r="764">
      <c r="A764" s="5">
        <v>763.0</v>
      </c>
      <c r="B764" s="5" t="s">
        <v>2516</v>
      </c>
      <c r="C764" s="5" t="s">
        <v>2517</v>
      </c>
      <c r="D764" s="5" t="s">
        <v>2518</v>
      </c>
      <c r="E764" s="5" t="s">
        <v>1321</v>
      </c>
    </row>
    <row r="765">
      <c r="A765" s="5">
        <v>764.0</v>
      </c>
      <c r="B765" s="5" t="s">
        <v>2519</v>
      </c>
      <c r="C765" s="5" t="s">
        <v>2520</v>
      </c>
      <c r="D765" s="5" t="s">
        <v>2521</v>
      </c>
      <c r="E765" s="5" t="s">
        <v>1321</v>
      </c>
    </row>
    <row r="766">
      <c r="A766" s="5">
        <v>765.0</v>
      </c>
      <c r="B766" s="5" t="s">
        <v>2522</v>
      </c>
      <c r="C766" s="5" t="s">
        <v>2523</v>
      </c>
      <c r="D766" s="5" t="s">
        <v>2524</v>
      </c>
      <c r="E766" s="5" t="s">
        <v>1321</v>
      </c>
    </row>
    <row r="767">
      <c r="A767" s="5">
        <v>766.0</v>
      </c>
      <c r="B767" s="5" t="s">
        <v>2525</v>
      </c>
      <c r="C767" s="5" t="s">
        <v>2526</v>
      </c>
      <c r="D767" s="5" t="s">
        <v>2527</v>
      </c>
      <c r="E767" s="5" t="s">
        <v>1321</v>
      </c>
    </row>
    <row r="768">
      <c r="A768" s="5">
        <v>767.0</v>
      </c>
      <c r="B768" s="5" t="s">
        <v>2528</v>
      </c>
      <c r="C768" s="5" t="s">
        <v>2529</v>
      </c>
      <c r="D768" s="5" t="s">
        <v>2530</v>
      </c>
      <c r="E768" s="5" t="s">
        <v>1321</v>
      </c>
    </row>
    <row r="769">
      <c r="A769" s="5">
        <v>768.0</v>
      </c>
      <c r="B769" s="5" t="s">
        <v>2531</v>
      </c>
      <c r="C769" s="5" t="s">
        <v>2532</v>
      </c>
      <c r="D769" s="5" t="s">
        <v>2533</v>
      </c>
      <c r="E769" s="5" t="s">
        <v>1321</v>
      </c>
    </row>
    <row r="770">
      <c r="A770" s="5">
        <v>769.0</v>
      </c>
      <c r="B770" s="5" t="s">
        <v>2534</v>
      </c>
      <c r="C770" s="5" t="s">
        <v>2535</v>
      </c>
      <c r="D770" s="5" t="s">
        <v>2536</v>
      </c>
      <c r="E770" s="5" t="s">
        <v>1321</v>
      </c>
    </row>
    <row r="771">
      <c r="A771" s="5">
        <v>770.0</v>
      </c>
      <c r="B771" s="5" t="s">
        <v>2537</v>
      </c>
      <c r="C771" s="5" t="s">
        <v>2538</v>
      </c>
      <c r="D771" s="5" t="s">
        <v>2539</v>
      </c>
      <c r="E771" s="5" t="s">
        <v>1321</v>
      </c>
    </row>
    <row r="772">
      <c r="A772" s="5">
        <v>771.0</v>
      </c>
      <c r="B772" s="5" t="s">
        <v>2540</v>
      </c>
      <c r="C772" s="5" t="s">
        <v>2541</v>
      </c>
      <c r="D772" s="5" t="s">
        <v>2542</v>
      </c>
      <c r="E772" s="5" t="s">
        <v>1321</v>
      </c>
    </row>
    <row r="773">
      <c r="A773" s="5">
        <v>772.0</v>
      </c>
      <c r="B773" s="5" t="s">
        <v>2543</v>
      </c>
      <c r="C773" s="5" t="s">
        <v>2544</v>
      </c>
      <c r="D773" s="5" t="s">
        <v>2545</v>
      </c>
      <c r="E773" s="5" t="s">
        <v>1321</v>
      </c>
    </row>
    <row r="774">
      <c r="A774" s="5">
        <v>773.0</v>
      </c>
      <c r="B774" s="5" t="s">
        <v>2546</v>
      </c>
      <c r="C774" s="5" t="s">
        <v>2547</v>
      </c>
      <c r="D774" s="5" t="s">
        <v>2548</v>
      </c>
      <c r="E774" s="5" t="s">
        <v>1321</v>
      </c>
    </row>
    <row r="775">
      <c r="A775" s="5">
        <v>774.0</v>
      </c>
      <c r="B775" s="5" t="s">
        <v>2549</v>
      </c>
      <c r="C775" s="5" t="s">
        <v>2550</v>
      </c>
      <c r="D775" s="5" t="s">
        <v>2551</v>
      </c>
      <c r="E775" s="5" t="s">
        <v>1321</v>
      </c>
    </row>
    <row r="776">
      <c r="A776" s="5">
        <v>775.0</v>
      </c>
      <c r="B776" s="5" t="s">
        <v>2552</v>
      </c>
      <c r="C776" s="5" t="s">
        <v>2553</v>
      </c>
      <c r="D776" s="5" t="s">
        <v>2554</v>
      </c>
      <c r="E776" s="5" t="s">
        <v>1321</v>
      </c>
    </row>
    <row r="777">
      <c r="A777" s="5">
        <v>776.0</v>
      </c>
      <c r="B777" s="5" t="s">
        <v>2555</v>
      </c>
      <c r="C777" s="5" t="s">
        <v>2556</v>
      </c>
      <c r="D777" s="5" t="s">
        <v>2557</v>
      </c>
      <c r="E777" s="5" t="s">
        <v>1321</v>
      </c>
    </row>
    <row r="778">
      <c r="A778" s="5">
        <v>777.0</v>
      </c>
      <c r="B778" s="5" t="s">
        <v>2558</v>
      </c>
      <c r="C778" s="5" t="s">
        <v>2559</v>
      </c>
      <c r="D778" s="5" t="s">
        <v>2560</v>
      </c>
      <c r="E778" s="5" t="s">
        <v>1321</v>
      </c>
    </row>
    <row r="779">
      <c r="A779" s="5">
        <v>778.0</v>
      </c>
      <c r="B779" s="5" t="s">
        <v>2561</v>
      </c>
      <c r="C779" s="5" t="s">
        <v>2562</v>
      </c>
      <c r="D779" s="5" t="s">
        <v>2563</v>
      </c>
      <c r="E779" s="5" t="s">
        <v>1321</v>
      </c>
    </row>
    <row r="780">
      <c r="A780" s="5">
        <v>779.0</v>
      </c>
      <c r="B780" s="5" t="s">
        <v>2564</v>
      </c>
      <c r="C780" s="5" t="s">
        <v>2565</v>
      </c>
      <c r="D780" s="5" t="s">
        <v>2566</v>
      </c>
      <c r="E780" s="5" t="s">
        <v>1321</v>
      </c>
    </row>
    <row r="781">
      <c r="A781" s="5">
        <v>780.0</v>
      </c>
      <c r="B781" s="5" t="s">
        <v>2567</v>
      </c>
      <c r="C781" s="5" t="s">
        <v>2568</v>
      </c>
      <c r="D781" s="5" t="s">
        <v>2569</v>
      </c>
      <c r="E781" s="5" t="s">
        <v>1321</v>
      </c>
    </row>
    <row r="782">
      <c r="A782" s="5">
        <v>781.0</v>
      </c>
      <c r="B782" s="5" t="s">
        <v>2570</v>
      </c>
      <c r="C782" s="5" t="s">
        <v>2571</v>
      </c>
      <c r="D782" s="5" t="s">
        <v>2572</v>
      </c>
      <c r="E782" s="5" t="s">
        <v>1321</v>
      </c>
    </row>
    <row r="783">
      <c r="A783" s="5">
        <v>782.0</v>
      </c>
      <c r="B783" s="5" t="s">
        <v>2573</v>
      </c>
      <c r="C783" s="5" t="s">
        <v>2574</v>
      </c>
      <c r="D783" s="5" t="s">
        <v>2575</v>
      </c>
      <c r="E783" s="5" t="s">
        <v>1321</v>
      </c>
    </row>
    <row r="784">
      <c r="A784" s="5">
        <v>783.0</v>
      </c>
      <c r="B784" s="5" t="s">
        <v>2576</v>
      </c>
      <c r="C784" s="5" t="s">
        <v>2577</v>
      </c>
      <c r="D784" s="5" t="s">
        <v>2578</v>
      </c>
      <c r="E784" s="5" t="s">
        <v>1321</v>
      </c>
    </row>
    <row r="785">
      <c r="A785" s="5">
        <v>784.0</v>
      </c>
      <c r="B785" s="5" t="s">
        <v>2579</v>
      </c>
      <c r="C785" s="5" t="s">
        <v>2580</v>
      </c>
      <c r="D785" s="5" t="s">
        <v>2581</v>
      </c>
      <c r="E785" s="5" t="s">
        <v>1321</v>
      </c>
    </row>
    <row r="786">
      <c r="A786" s="5">
        <v>785.0</v>
      </c>
      <c r="B786" s="5" t="s">
        <v>2582</v>
      </c>
      <c r="C786" s="5" t="s">
        <v>2583</v>
      </c>
      <c r="D786" s="5" t="s">
        <v>2584</v>
      </c>
      <c r="E786" s="5" t="s">
        <v>1321</v>
      </c>
    </row>
    <row r="787">
      <c r="A787" s="5">
        <v>786.0</v>
      </c>
      <c r="B787" s="5" t="s">
        <v>2585</v>
      </c>
      <c r="C787" s="5" t="s">
        <v>2586</v>
      </c>
      <c r="D787" s="5" t="s">
        <v>2587</v>
      </c>
      <c r="E787" s="5" t="s">
        <v>1321</v>
      </c>
    </row>
    <row r="788">
      <c r="A788" s="5">
        <v>787.0</v>
      </c>
      <c r="B788" s="5" t="s">
        <v>2588</v>
      </c>
      <c r="C788" s="5" t="s">
        <v>2589</v>
      </c>
      <c r="D788" s="5" t="s">
        <v>2590</v>
      </c>
      <c r="E788" s="5" t="s">
        <v>1321</v>
      </c>
    </row>
    <row r="789">
      <c r="A789" s="5">
        <v>788.0</v>
      </c>
      <c r="B789" s="5" t="s">
        <v>2591</v>
      </c>
      <c r="C789" s="5" t="s">
        <v>2592</v>
      </c>
      <c r="D789" s="5" t="s">
        <v>2593</v>
      </c>
      <c r="E789" s="5" t="s">
        <v>1321</v>
      </c>
    </row>
    <row r="790">
      <c r="A790" s="5">
        <v>789.0</v>
      </c>
      <c r="B790" s="5" t="s">
        <v>2594</v>
      </c>
      <c r="C790" s="5" t="s">
        <v>2595</v>
      </c>
      <c r="D790" s="5" t="s">
        <v>2596</v>
      </c>
      <c r="E790" s="5" t="s">
        <v>1321</v>
      </c>
    </row>
    <row r="791">
      <c r="A791" s="5">
        <v>790.0</v>
      </c>
      <c r="B791" s="5" t="s">
        <v>2597</v>
      </c>
      <c r="C791" s="5" t="s">
        <v>2598</v>
      </c>
      <c r="D791" s="5" t="s">
        <v>2599</v>
      </c>
      <c r="E791" s="5" t="s">
        <v>1321</v>
      </c>
    </row>
    <row r="792">
      <c r="A792" s="5">
        <v>791.0</v>
      </c>
      <c r="B792" s="5" t="s">
        <v>2600</v>
      </c>
      <c r="C792" s="5" t="s">
        <v>2601</v>
      </c>
      <c r="D792" s="5" t="s">
        <v>2602</v>
      </c>
      <c r="E792" s="5" t="s">
        <v>1321</v>
      </c>
    </row>
    <row r="793">
      <c r="A793" s="5">
        <v>792.0</v>
      </c>
      <c r="B793" s="5" t="s">
        <v>2603</v>
      </c>
      <c r="C793" s="5" t="s">
        <v>2604</v>
      </c>
      <c r="D793" s="5" t="s">
        <v>2605</v>
      </c>
      <c r="E793" s="5" t="s">
        <v>1321</v>
      </c>
    </row>
    <row r="794">
      <c r="A794" s="5">
        <v>793.0</v>
      </c>
      <c r="B794" s="5" t="s">
        <v>2606</v>
      </c>
      <c r="C794" s="5" t="s">
        <v>2607</v>
      </c>
      <c r="D794" s="5" t="s">
        <v>2608</v>
      </c>
      <c r="E794" s="5" t="s">
        <v>1321</v>
      </c>
    </row>
    <row r="795">
      <c r="A795" s="5">
        <v>794.0</v>
      </c>
      <c r="B795" s="5" t="s">
        <v>2609</v>
      </c>
      <c r="C795" s="5" t="s">
        <v>2610</v>
      </c>
      <c r="D795" s="5" t="s">
        <v>2611</v>
      </c>
      <c r="E795" s="5" t="s">
        <v>1321</v>
      </c>
    </row>
    <row r="796">
      <c r="A796" s="5">
        <v>795.0</v>
      </c>
      <c r="B796" s="5" t="s">
        <v>2612</v>
      </c>
      <c r="C796" s="5" t="s">
        <v>2613</v>
      </c>
      <c r="D796" s="5" t="s">
        <v>2614</v>
      </c>
      <c r="E796" s="5" t="s">
        <v>1321</v>
      </c>
    </row>
    <row r="797">
      <c r="A797" s="5">
        <v>796.0</v>
      </c>
      <c r="B797" s="5" t="s">
        <v>2615</v>
      </c>
      <c r="C797" s="5" t="s">
        <v>2616</v>
      </c>
      <c r="D797" s="5" t="s">
        <v>2617</v>
      </c>
      <c r="E797" s="5" t="s">
        <v>1321</v>
      </c>
    </row>
    <row r="798">
      <c r="A798" s="5">
        <v>797.0</v>
      </c>
      <c r="B798" s="5" t="s">
        <v>2618</v>
      </c>
      <c r="C798" s="5" t="s">
        <v>2619</v>
      </c>
      <c r="D798" s="5" t="s">
        <v>2620</v>
      </c>
      <c r="E798" s="5" t="s">
        <v>1321</v>
      </c>
    </row>
    <row r="799">
      <c r="A799" s="5">
        <v>798.0</v>
      </c>
      <c r="B799" s="5" t="s">
        <v>2621</v>
      </c>
      <c r="C799" s="5" t="s">
        <v>2622</v>
      </c>
      <c r="D799" s="5" t="s">
        <v>2623</v>
      </c>
      <c r="E799" s="5" t="s">
        <v>1321</v>
      </c>
    </row>
    <row r="800">
      <c r="A800" s="5">
        <v>799.0</v>
      </c>
      <c r="B800" s="5" t="s">
        <v>2624</v>
      </c>
      <c r="C800" s="5" t="s">
        <v>2625</v>
      </c>
      <c r="D800" s="5" t="s">
        <v>2626</v>
      </c>
      <c r="E800" s="5" t="s">
        <v>1321</v>
      </c>
    </row>
    <row r="801">
      <c r="A801" s="5">
        <v>800.0</v>
      </c>
      <c r="B801" s="5" t="s">
        <v>2627</v>
      </c>
      <c r="C801" s="5" t="s">
        <v>2628</v>
      </c>
      <c r="D801" s="5" t="s">
        <v>2629</v>
      </c>
      <c r="E801" s="5" t="s">
        <v>1321</v>
      </c>
    </row>
    <row r="802">
      <c r="A802" s="5">
        <v>801.0</v>
      </c>
      <c r="B802" s="5" t="s">
        <v>2630</v>
      </c>
      <c r="C802" s="5" t="s">
        <v>2631</v>
      </c>
      <c r="D802" s="5" t="s">
        <v>2632</v>
      </c>
      <c r="E802" s="5" t="s">
        <v>1321</v>
      </c>
    </row>
    <row r="803">
      <c r="A803" s="5">
        <v>802.0</v>
      </c>
      <c r="B803" s="5" t="s">
        <v>2633</v>
      </c>
      <c r="C803" s="5" t="s">
        <v>2634</v>
      </c>
      <c r="D803" s="5" t="s">
        <v>2635</v>
      </c>
      <c r="E803" s="5" t="s">
        <v>1321</v>
      </c>
    </row>
    <row r="804">
      <c r="A804" s="5">
        <v>803.0</v>
      </c>
      <c r="B804" s="5" t="s">
        <v>2636</v>
      </c>
      <c r="C804" s="5" t="s">
        <v>2637</v>
      </c>
      <c r="D804" s="5" t="s">
        <v>2638</v>
      </c>
      <c r="E804" s="5" t="s">
        <v>1321</v>
      </c>
    </row>
    <row r="805">
      <c r="A805" s="5">
        <v>804.0</v>
      </c>
      <c r="B805" s="5" t="s">
        <v>2639</v>
      </c>
      <c r="C805" s="5" t="s">
        <v>2640</v>
      </c>
      <c r="D805" s="5" t="s">
        <v>2641</v>
      </c>
      <c r="E805" s="5" t="s">
        <v>1321</v>
      </c>
    </row>
    <row r="806">
      <c r="A806" s="5">
        <v>805.0</v>
      </c>
      <c r="B806" s="5" t="s">
        <v>2642</v>
      </c>
      <c r="C806" s="5" t="s">
        <v>2643</v>
      </c>
      <c r="D806" s="5" t="s">
        <v>2644</v>
      </c>
      <c r="E806" s="5" t="s">
        <v>1321</v>
      </c>
    </row>
    <row r="807">
      <c r="A807" s="5">
        <v>806.0</v>
      </c>
      <c r="B807" s="5" t="s">
        <v>2645</v>
      </c>
      <c r="C807" s="5" t="s">
        <v>2646</v>
      </c>
      <c r="D807" s="5" t="s">
        <v>2647</v>
      </c>
      <c r="E807" s="5" t="s">
        <v>1321</v>
      </c>
    </row>
    <row r="808">
      <c r="A808" s="5">
        <v>807.0</v>
      </c>
      <c r="B808" s="5" t="s">
        <v>2648</v>
      </c>
      <c r="C808" s="5" t="s">
        <v>2649</v>
      </c>
      <c r="D808" s="5" t="s">
        <v>2650</v>
      </c>
      <c r="E808" s="5" t="s">
        <v>1321</v>
      </c>
    </row>
    <row r="809">
      <c r="A809" s="5">
        <v>808.0</v>
      </c>
      <c r="B809" s="5" t="s">
        <v>2651</v>
      </c>
      <c r="C809" s="5" t="s">
        <v>2652</v>
      </c>
      <c r="D809" s="5" t="s">
        <v>2653</v>
      </c>
      <c r="E809" s="5" t="s">
        <v>1321</v>
      </c>
    </row>
    <row r="810">
      <c r="A810" s="5">
        <v>809.0</v>
      </c>
      <c r="B810" s="5" t="s">
        <v>2654</v>
      </c>
      <c r="C810" s="5" t="s">
        <v>2655</v>
      </c>
      <c r="D810" s="5" t="s">
        <v>2656</v>
      </c>
      <c r="E810" s="5" t="s">
        <v>1321</v>
      </c>
    </row>
    <row r="811">
      <c r="A811" s="5">
        <v>810.0</v>
      </c>
      <c r="B811" s="5" t="s">
        <v>2657</v>
      </c>
      <c r="C811" s="5" t="s">
        <v>2658</v>
      </c>
      <c r="D811" s="5" t="s">
        <v>2659</v>
      </c>
      <c r="E811" s="5" t="s">
        <v>1321</v>
      </c>
    </row>
    <row r="812">
      <c r="A812" s="5">
        <v>811.0</v>
      </c>
      <c r="B812" s="5" t="s">
        <v>2660</v>
      </c>
      <c r="C812" s="5" t="s">
        <v>2661</v>
      </c>
      <c r="D812" s="5" t="s">
        <v>2662</v>
      </c>
      <c r="E812" s="5" t="s">
        <v>1321</v>
      </c>
    </row>
    <row r="813">
      <c r="A813" s="5">
        <v>812.0</v>
      </c>
      <c r="B813" s="5" t="s">
        <v>2663</v>
      </c>
      <c r="C813" s="5" t="s">
        <v>2664</v>
      </c>
      <c r="D813" s="5" t="s">
        <v>2665</v>
      </c>
      <c r="E813" s="5" t="s">
        <v>1321</v>
      </c>
    </row>
    <row r="814">
      <c r="A814" s="5">
        <v>813.0</v>
      </c>
      <c r="B814" s="5" t="s">
        <v>2666</v>
      </c>
      <c r="C814" s="5" t="s">
        <v>2667</v>
      </c>
      <c r="D814" s="5" t="s">
        <v>2668</v>
      </c>
      <c r="E814" s="5" t="s">
        <v>1321</v>
      </c>
    </row>
    <row r="815">
      <c r="A815" s="5">
        <v>814.0</v>
      </c>
      <c r="B815" s="5" t="s">
        <v>2669</v>
      </c>
      <c r="C815" s="5" t="s">
        <v>2670</v>
      </c>
      <c r="D815" s="5" t="s">
        <v>2671</v>
      </c>
      <c r="E815" s="5" t="s">
        <v>1321</v>
      </c>
    </row>
    <row r="816">
      <c r="A816" s="5">
        <v>815.0</v>
      </c>
      <c r="B816" s="5" t="s">
        <v>2672</v>
      </c>
      <c r="C816" s="5" t="s">
        <v>2673</v>
      </c>
      <c r="D816" s="5" t="s">
        <v>2674</v>
      </c>
      <c r="E816" s="5" t="s">
        <v>1321</v>
      </c>
    </row>
    <row r="817">
      <c r="A817" s="5">
        <v>816.0</v>
      </c>
      <c r="B817" s="5" t="s">
        <v>2675</v>
      </c>
      <c r="C817" s="5" t="s">
        <v>2676</v>
      </c>
      <c r="D817" s="5" t="s">
        <v>2677</v>
      </c>
      <c r="E817" s="5" t="s">
        <v>1321</v>
      </c>
    </row>
    <row r="818">
      <c r="A818" s="5">
        <v>817.0</v>
      </c>
      <c r="B818" s="5" t="s">
        <v>2678</v>
      </c>
      <c r="C818" s="5" t="s">
        <v>2679</v>
      </c>
      <c r="D818" s="5" t="s">
        <v>2680</v>
      </c>
      <c r="E818" s="5" t="s">
        <v>1321</v>
      </c>
    </row>
    <row r="819">
      <c r="A819" s="5">
        <v>818.0</v>
      </c>
      <c r="B819" s="5" t="s">
        <v>2681</v>
      </c>
      <c r="C819" s="5" t="s">
        <v>2682</v>
      </c>
      <c r="D819" s="5" t="s">
        <v>2683</v>
      </c>
      <c r="E819" s="5" t="s">
        <v>1321</v>
      </c>
    </row>
    <row r="820">
      <c r="A820" s="5">
        <v>819.0</v>
      </c>
      <c r="B820" s="5" t="s">
        <v>2684</v>
      </c>
      <c r="C820" s="5" t="s">
        <v>2685</v>
      </c>
      <c r="D820" s="5" t="s">
        <v>2686</v>
      </c>
      <c r="E820" s="5" t="s">
        <v>1321</v>
      </c>
    </row>
    <row r="821">
      <c r="A821" s="5">
        <v>820.0</v>
      </c>
      <c r="B821" s="5" t="s">
        <v>2687</v>
      </c>
      <c r="C821" s="5" t="s">
        <v>2688</v>
      </c>
      <c r="D821" s="5" t="s">
        <v>2689</v>
      </c>
      <c r="E821" s="5" t="s">
        <v>1321</v>
      </c>
    </row>
    <row r="822">
      <c r="A822" s="5">
        <v>821.0</v>
      </c>
      <c r="B822" s="5" t="s">
        <v>2690</v>
      </c>
      <c r="C822" s="5" t="s">
        <v>2691</v>
      </c>
      <c r="D822" s="5" t="s">
        <v>2692</v>
      </c>
      <c r="E822" s="5" t="s">
        <v>1321</v>
      </c>
    </row>
    <row r="823">
      <c r="A823" s="5">
        <v>822.0</v>
      </c>
      <c r="B823" s="5" t="s">
        <v>2693</v>
      </c>
      <c r="C823" s="5" t="s">
        <v>2694</v>
      </c>
      <c r="D823" s="5" t="s">
        <v>2695</v>
      </c>
      <c r="E823" s="5" t="s">
        <v>1321</v>
      </c>
    </row>
    <row r="824">
      <c r="A824" s="5">
        <v>823.0</v>
      </c>
      <c r="B824" s="5" t="s">
        <v>2696</v>
      </c>
      <c r="C824" s="5" t="s">
        <v>2697</v>
      </c>
      <c r="D824" s="5" t="s">
        <v>2698</v>
      </c>
      <c r="E824" s="5" t="s">
        <v>1321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5.71"/>
    <col customWidth="1" min="3" max="3" width="14.71"/>
    <col customWidth="1" min="4" max="4" width="8.0"/>
    <col customWidth="1" min="5" max="9" width="12.0"/>
    <col customWidth="1" min="10" max="10" width="14.29"/>
    <col customWidth="1" min="11" max="11" width="17.0"/>
    <col customWidth="1" min="12" max="12" width="16.29"/>
    <col customWidth="1" min="13" max="13" width="21.43"/>
    <col customWidth="1" min="14" max="14" width="15.0"/>
    <col customWidth="1" min="15" max="45" width="12.0"/>
    <col customWidth="1" min="46" max="46" width="9.86"/>
    <col customWidth="1" min="47" max="47" width="0.43"/>
    <col customWidth="1" min="48" max="56" width="12.0"/>
    <col customWidth="1" min="57" max="57" width="78.71"/>
    <col customWidth="1" min="58" max="65" width="12.0"/>
    <col customWidth="1" min="66" max="66" width="23.57"/>
    <col customWidth="1" min="67" max="68" width="12.0"/>
    <col customWidth="1" min="69" max="71" width="21.57"/>
    <col customWidth="1" min="72" max="72" width="23.0"/>
    <col customWidth="1" min="73" max="73" width="23.14"/>
    <col customWidth="1" min="74" max="76" width="21.57"/>
    <col customWidth="1" min="77" max="80" width="12.0"/>
    <col customWidth="1" min="81" max="81" width="26.57"/>
    <col customWidth="1" min="82" max="82" width="16.71"/>
    <col customWidth="1" min="83" max="85" width="12.0"/>
  </cols>
  <sheetData>
    <row r="1" ht="74.25" customHeight="1">
      <c r="A1" s="10" t="s">
        <v>2699</v>
      </c>
      <c r="B1" s="10" t="s">
        <v>2700</v>
      </c>
      <c r="C1" s="10" t="s">
        <v>2701</v>
      </c>
      <c r="D1" s="11" t="s">
        <v>224</v>
      </c>
      <c r="E1" s="10" t="s">
        <v>2702</v>
      </c>
      <c r="F1" s="10" t="s">
        <v>2703</v>
      </c>
      <c r="G1" s="10" t="s">
        <v>2704</v>
      </c>
      <c r="H1" s="10" t="s">
        <v>2705</v>
      </c>
      <c r="I1" s="10" t="s">
        <v>2706</v>
      </c>
      <c r="J1" s="10" t="s">
        <v>2707</v>
      </c>
      <c r="K1" s="10" t="s">
        <v>2708</v>
      </c>
      <c r="L1" s="10" t="s">
        <v>2709</v>
      </c>
      <c r="M1" s="10" t="s">
        <v>2710</v>
      </c>
      <c r="N1" s="10" t="s">
        <v>2711</v>
      </c>
      <c r="O1" s="10" t="s">
        <v>2712</v>
      </c>
      <c r="P1" s="10" t="s">
        <v>2713</v>
      </c>
      <c r="Q1" s="10" t="s">
        <v>2714</v>
      </c>
      <c r="R1" s="10" t="s">
        <v>2715</v>
      </c>
      <c r="S1" s="10" t="s">
        <v>2716</v>
      </c>
      <c r="T1" s="10" t="s">
        <v>2717</v>
      </c>
      <c r="U1" s="10" t="s">
        <v>2718</v>
      </c>
      <c r="V1" s="10" t="s">
        <v>2719</v>
      </c>
      <c r="W1" s="10" t="s">
        <v>2720</v>
      </c>
      <c r="X1" s="10" t="s">
        <v>2721</v>
      </c>
      <c r="Y1" s="10" t="s">
        <v>2722</v>
      </c>
      <c r="Z1" s="10" t="s">
        <v>2723</v>
      </c>
      <c r="AA1" s="10" t="s">
        <v>2724</v>
      </c>
      <c r="AB1" s="10" t="s">
        <v>2725</v>
      </c>
      <c r="AC1" s="10" t="s">
        <v>2726</v>
      </c>
      <c r="AD1" s="10" t="s">
        <v>2727</v>
      </c>
      <c r="AE1" s="10" t="s">
        <v>2728</v>
      </c>
      <c r="AF1" s="10" t="s">
        <v>2729</v>
      </c>
      <c r="AG1" s="10" t="s">
        <v>2730</v>
      </c>
      <c r="AH1" s="10" t="s">
        <v>2731</v>
      </c>
      <c r="AI1" s="10" t="s">
        <v>2732</v>
      </c>
      <c r="AJ1" s="10" t="s">
        <v>2733</v>
      </c>
      <c r="AK1" s="10" t="s">
        <v>2734</v>
      </c>
      <c r="AL1" s="10" t="s">
        <v>2735</v>
      </c>
      <c r="AM1" s="10" t="s">
        <v>2736</v>
      </c>
      <c r="AN1" s="10" t="s">
        <v>2737</v>
      </c>
      <c r="AO1" s="10" t="s">
        <v>2738</v>
      </c>
      <c r="AP1" s="10" t="s">
        <v>2739</v>
      </c>
      <c r="AQ1" s="10" t="s">
        <v>2740</v>
      </c>
      <c r="AR1" s="10" t="s">
        <v>2741</v>
      </c>
      <c r="AS1" s="10" t="s">
        <v>2742</v>
      </c>
      <c r="AT1" s="10" t="s">
        <v>2743</v>
      </c>
      <c r="AU1" s="10" t="s">
        <v>2744</v>
      </c>
      <c r="AV1" s="10" t="s">
        <v>2745</v>
      </c>
      <c r="AW1" s="10" t="s">
        <v>2746</v>
      </c>
      <c r="AX1" s="10" t="s">
        <v>2747</v>
      </c>
      <c r="AY1" s="10" t="s">
        <v>2748</v>
      </c>
      <c r="AZ1" s="10" t="s">
        <v>2749</v>
      </c>
      <c r="BA1" s="10" t="s">
        <v>2750</v>
      </c>
      <c r="BB1" s="10" t="s">
        <v>2751</v>
      </c>
      <c r="BC1" s="10" t="s">
        <v>2752</v>
      </c>
      <c r="BD1" s="10" t="s">
        <v>2753</v>
      </c>
      <c r="BE1" s="10" t="s">
        <v>2754</v>
      </c>
      <c r="BF1" s="10" t="s">
        <v>2755</v>
      </c>
      <c r="BG1" s="10" t="s">
        <v>2756</v>
      </c>
      <c r="BH1" s="10" t="s">
        <v>2757</v>
      </c>
      <c r="BI1" s="10" t="s">
        <v>2758</v>
      </c>
      <c r="BJ1" s="12" t="s">
        <v>2759</v>
      </c>
      <c r="BK1" s="10" t="s">
        <v>2760</v>
      </c>
      <c r="BL1" s="10" t="s">
        <v>2761</v>
      </c>
      <c r="BM1" s="10" t="s">
        <v>2762</v>
      </c>
      <c r="BN1" s="10" t="s">
        <v>2763</v>
      </c>
      <c r="BO1" s="10" t="s">
        <v>2764</v>
      </c>
      <c r="BP1" s="10" t="s">
        <v>2765</v>
      </c>
      <c r="BQ1" s="12" t="s">
        <v>224</v>
      </c>
      <c r="BR1" s="12" t="s">
        <v>2766</v>
      </c>
      <c r="BS1" s="12" t="s">
        <v>2767</v>
      </c>
      <c r="BT1" s="12" t="s">
        <v>2768</v>
      </c>
      <c r="BU1" s="12" t="s">
        <v>2769</v>
      </c>
      <c r="BV1" s="12" t="s">
        <v>2770</v>
      </c>
      <c r="BW1" s="12" t="s">
        <v>2771</v>
      </c>
      <c r="BX1" s="12" t="s">
        <v>2772</v>
      </c>
      <c r="BY1" s="12" t="s">
        <v>2773</v>
      </c>
      <c r="BZ1" s="12" t="s">
        <v>2774</v>
      </c>
      <c r="CA1" s="12" t="s">
        <v>2775</v>
      </c>
      <c r="CB1" s="12" t="s">
        <v>2776</v>
      </c>
      <c r="CC1" s="12" t="s">
        <v>2777</v>
      </c>
      <c r="CD1" s="13" t="s">
        <v>2778</v>
      </c>
      <c r="CE1" s="12" t="s">
        <v>2779</v>
      </c>
      <c r="CF1" s="12" t="s">
        <v>2780</v>
      </c>
      <c r="CG1" s="10"/>
    </row>
    <row r="2" ht="18.75" hidden="1" customHeight="1">
      <c r="A2" s="14">
        <v>44736.975858101854</v>
      </c>
      <c r="B2" s="15" t="s">
        <v>486</v>
      </c>
      <c r="C2" s="16" t="s">
        <v>2781</v>
      </c>
      <c r="D2" s="15" t="str">
        <f>IFERROR(__xludf.DUMMYFUNCTION("QUERY(TY_ALL_2023_Batch!$A$1:$E$824, ""SELECT E WHERE C='""&amp;B2&amp;""'"", 0)"),"CHEM")</f>
        <v>CHEM</v>
      </c>
      <c r="E2" s="15" t="s">
        <v>2782</v>
      </c>
      <c r="F2" s="15" t="s">
        <v>2783</v>
      </c>
      <c r="G2" s="15" t="s">
        <v>2784</v>
      </c>
      <c r="H2" s="15" t="s">
        <v>2785</v>
      </c>
      <c r="I2" s="17">
        <v>36982.0</v>
      </c>
      <c r="J2" s="15">
        <v>2019.0</v>
      </c>
      <c r="K2" s="15" t="s">
        <v>2786</v>
      </c>
      <c r="L2" s="15" t="s">
        <v>2787</v>
      </c>
      <c r="M2" s="18"/>
      <c r="N2" s="15" t="s">
        <v>2788</v>
      </c>
      <c r="O2" s="15" t="s">
        <v>2789</v>
      </c>
      <c r="P2" s="19" t="s">
        <v>2790</v>
      </c>
      <c r="Q2" s="15">
        <v>8.208233484E9</v>
      </c>
      <c r="R2" s="15">
        <v>8.208233484E9</v>
      </c>
      <c r="S2" s="15">
        <v>7.709493484E9</v>
      </c>
      <c r="T2" s="15" t="s">
        <v>2791</v>
      </c>
      <c r="U2" s="15" t="s">
        <v>2792</v>
      </c>
      <c r="V2" s="15" t="s">
        <v>2793</v>
      </c>
      <c r="W2" s="15" t="s">
        <v>2794</v>
      </c>
      <c r="X2" s="15">
        <v>95.0</v>
      </c>
      <c r="Y2" s="15" t="s">
        <v>2795</v>
      </c>
      <c r="Z2" s="15">
        <v>9.71</v>
      </c>
      <c r="AA2" s="15">
        <v>10.0</v>
      </c>
      <c r="AB2" s="15" t="s">
        <v>2796</v>
      </c>
      <c r="AC2" s="15" t="s">
        <v>2796</v>
      </c>
      <c r="AD2" s="15" t="s">
        <v>2796</v>
      </c>
      <c r="AE2" s="15" t="s">
        <v>2796</v>
      </c>
      <c r="AF2" s="15">
        <v>9.37</v>
      </c>
      <c r="AG2" s="15">
        <v>9.14</v>
      </c>
      <c r="AH2" s="15">
        <v>83.2</v>
      </c>
      <c r="AI2" s="18"/>
      <c r="AJ2" s="15" t="s">
        <v>2787</v>
      </c>
      <c r="AK2" s="15" t="s">
        <v>2787</v>
      </c>
      <c r="AL2" s="15">
        <v>633.33</v>
      </c>
      <c r="AM2" s="15">
        <v>621.66</v>
      </c>
      <c r="AN2" s="15" t="s">
        <v>2797</v>
      </c>
      <c r="AO2" s="18"/>
      <c r="AP2" s="18"/>
      <c r="AQ2" s="15" t="s">
        <v>2798</v>
      </c>
      <c r="AR2" s="15" t="s">
        <v>2799</v>
      </c>
      <c r="AS2" s="15" t="s">
        <v>2800</v>
      </c>
      <c r="AT2" s="18"/>
      <c r="AU2" s="15" t="s">
        <v>2801</v>
      </c>
      <c r="AV2" s="15" t="s">
        <v>2802</v>
      </c>
      <c r="AW2" s="15" t="s">
        <v>2803</v>
      </c>
      <c r="AX2" s="18"/>
      <c r="AY2" s="15" t="s">
        <v>2804</v>
      </c>
      <c r="AZ2" s="15" t="s">
        <v>2805</v>
      </c>
      <c r="BA2" s="15" t="s">
        <v>2806</v>
      </c>
      <c r="BB2" s="15" t="s">
        <v>2807</v>
      </c>
      <c r="BC2" s="15" t="s">
        <v>2808</v>
      </c>
      <c r="BD2" s="15" t="s">
        <v>2807</v>
      </c>
      <c r="BE2" s="15" t="s">
        <v>2809</v>
      </c>
      <c r="BF2" s="15" t="s">
        <v>2810</v>
      </c>
      <c r="BG2" s="18"/>
      <c r="BH2" s="18"/>
      <c r="BI2" s="15" t="s">
        <v>2811</v>
      </c>
      <c r="BJ2" s="19" t="s">
        <v>2812</v>
      </c>
      <c r="BK2" s="20" t="s">
        <v>2813</v>
      </c>
      <c r="BL2" s="20" t="s">
        <v>2814</v>
      </c>
      <c r="BM2" s="19" t="s">
        <v>2815</v>
      </c>
      <c r="BN2" s="19" t="s">
        <v>2816</v>
      </c>
      <c r="BO2" s="19" t="s">
        <v>2817</v>
      </c>
      <c r="BP2" s="21" t="s">
        <v>2818</v>
      </c>
      <c r="BQ2" s="22" t="s">
        <v>451</v>
      </c>
      <c r="BR2" s="23"/>
      <c r="BS2" s="23"/>
      <c r="BT2" s="21" t="s">
        <v>2819</v>
      </c>
      <c r="BU2" s="23"/>
      <c r="BV2" s="23"/>
      <c r="BW2" s="22" t="s">
        <v>2820</v>
      </c>
      <c r="BX2" s="23"/>
      <c r="BY2" s="18" t="str">
        <f t="shared" ref="BY2:BY54" si="2">IF(NOT(ISBLANK(BQ2)), BQ2, D2)</f>
        <v>CHEM</v>
      </c>
      <c r="BZ2" s="24" t="str">
        <f t="shared" ref="BZ2:CA2" si="1">IF(ISBLANK(BU2), BL2, BU2)</f>
        <v>https://drive.google.com/open?id=1bG6ZDiif4hIZIAM8JvFphmay3f2SS3u5</v>
      </c>
      <c r="CA2" s="24" t="str">
        <f t="shared" si="1"/>
        <v>https://drive.google.com/open?id=1XbKQlxHzwUYrF6-8ZsVSn_sooaNW5BiU</v>
      </c>
      <c r="CB2" s="15" t="s">
        <v>2821</v>
      </c>
      <c r="CC2" s="15" t="s">
        <v>2821</v>
      </c>
      <c r="CD2" s="25" t="s">
        <v>2787</v>
      </c>
      <c r="CE2" s="18"/>
      <c r="CF2" s="18"/>
      <c r="CG2" s="18"/>
    </row>
    <row r="3" ht="18.75" hidden="1" customHeight="1">
      <c r="A3" s="14">
        <v>44734.48157984954</v>
      </c>
      <c r="B3" s="15" t="s">
        <v>459</v>
      </c>
      <c r="C3" s="16" t="s">
        <v>2822</v>
      </c>
      <c r="D3" s="15" t="str">
        <f>IFERROR(__xludf.DUMMYFUNCTION("QUERY(TY_ALL_2023_Batch!$A$1:$E$824, ""SELECT E WHERE C='""&amp;B3&amp;""'"", 0)"),"CHEM")</f>
        <v>CHEM</v>
      </c>
      <c r="E3" s="15" t="s">
        <v>2823</v>
      </c>
      <c r="F3" s="15" t="s">
        <v>2824</v>
      </c>
      <c r="G3" s="15" t="s">
        <v>2825</v>
      </c>
      <c r="H3" s="15" t="s">
        <v>2826</v>
      </c>
      <c r="I3" s="17">
        <v>36819.0</v>
      </c>
      <c r="J3" s="15">
        <v>2019.0</v>
      </c>
      <c r="K3" s="15" t="s">
        <v>2786</v>
      </c>
      <c r="L3" s="15" t="s">
        <v>2787</v>
      </c>
      <c r="M3" s="18"/>
      <c r="N3" s="15" t="s">
        <v>2827</v>
      </c>
      <c r="O3" s="15" t="s">
        <v>459</v>
      </c>
      <c r="P3" s="19" t="s">
        <v>2828</v>
      </c>
      <c r="Q3" s="15">
        <v>7.387331074E9</v>
      </c>
      <c r="R3" s="15">
        <v>7.387331074E9</v>
      </c>
      <c r="S3" s="15">
        <v>9.422441438E9</v>
      </c>
      <c r="T3" s="15" t="s">
        <v>2829</v>
      </c>
      <c r="U3" s="15" t="s">
        <v>2830</v>
      </c>
      <c r="V3" s="15" t="s">
        <v>2831</v>
      </c>
      <c r="W3" s="18"/>
      <c r="X3" s="15">
        <v>86.0</v>
      </c>
      <c r="Y3" s="15" t="s">
        <v>2795</v>
      </c>
      <c r="Z3" s="15">
        <v>8.86</v>
      </c>
      <c r="AA3" s="15">
        <v>9.14</v>
      </c>
      <c r="AB3" s="15" t="s">
        <v>2796</v>
      </c>
      <c r="AC3" s="15" t="s">
        <v>2796</v>
      </c>
      <c r="AD3" s="15" t="s">
        <v>2796</v>
      </c>
      <c r="AE3" s="15" t="s">
        <v>2796</v>
      </c>
      <c r="AF3" s="15">
        <v>8.86</v>
      </c>
      <c r="AG3" s="15">
        <v>8.86</v>
      </c>
      <c r="AH3" s="15">
        <v>73.23</v>
      </c>
      <c r="AI3" s="18"/>
      <c r="AJ3" s="15" t="s">
        <v>2787</v>
      </c>
      <c r="AK3" s="15" t="s">
        <v>2787</v>
      </c>
      <c r="AL3" s="15">
        <v>3.0</v>
      </c>
      <c r="AM3" s="15">
        <v>99.0</v>
      </c>
      <c r="AN3" s="15" t="s">
        <v>2787</v>
      </c>
      <c r="AO3" s="18"/>
      <c r="AP3" s="15" t="s">
        <v>2832</v>
      </c>
      <c r="AQ3" s="15" t="s">
        <v>2833</v>
      </c>
      <c r="AR3" s="15" t="s">
        <v>2834</v>
      </c>
      <c r="AS3" s="18"/>
      <c r="AT3" s="18"/>
      <c r="AU3" s="18"/>
      <c r="AV3" s="15" t="s">
        <v>2835</v>
      </c>
      <c r="AW3" s="15" t="s">
        <v>2836</v>
      </c>
      <c r="AX3" s="15" t="s">
        <v>2837</v>
      </c>
      <c r="AY3" s="15" t="s">
        <v>2838</v>
      </c>
      <c r="AZ3" s="15" t="s">
        <v>2805</v>
      </c>
      <c r="BA3" s="15" t="s">
        <v>2839</v>
      </c>
      <c r="BB3" s="15" t="s">
        <v>2840</v>
      </c>
      <c r="BC3" s="15" t="s">
        <v>2841</v>
      </c>
      <c r="BD3" s="15" t="s">
        <v>2842</v>
      </c>
      <c r="BE3" s="15" t="s">
        <v>2843</v>
      </c>
      <c r="BF3" s="15" t="s">
        <v>2844</v>
      </c>
      <c r="BG3" s="18"/>
      <c r="BH3" s="15" t="s">
        <v>2845</v>
      </c>
      <c r="BI3" s="15" t="s">
        <v>2846</v>
      </c>
      <c r="BJ3" s="19" t="s">
        <v>2847</v>
      </c>
      <c r="BK3" s="19" t="s">
        <v>2848</v>
      </c>
      <c r="BL3" s="19" t="s">
        <v>2849</v>
      </c>
      <c r="BM3" s="19" t="s">
        <v>2850</v>
      </c>
      <c r="BN3" s="19" t="s">
        <v>2851</v>
      </c>
      <c r="BO3" s="19" t="s">
        <v>2852</v>
      </c>
      <c r="BP3" s="19" t="s">
        <v>2853</v>
      </c>
      <c r="BQ3" s="15" t="s">
        <v>451</v>
      </c>
      <c r="BR3" s="26"/>
      <c r="BS3" s="26"/>
      <c r="BT3" s="26"/>
      <c r="BU3" s="26"/>
      <c r="BV3" s="26"/>
      <c r="BW3" s="26"/>
      <c r="BX3" s="26"/>
      <c r="BY3" s="18" t="str">
        <f t="shared" si="2"/>
        <v>CHEM</v>
      </c>
      <c r="BZ3" s="24" t="str">
        <f t="shared" ref="BZ3:CA3" si="3">IF(ISBLANK(BU3), BL3, BU3)</f>
        <v>https://drive.google.com/open?id=1D38XNgPF4207HfSWul6vK-exbKx49zxN</v>
      </c>
      <c r="CA3" s="24" t="str">
        <f t="shared" si="3"/>
        <v>https://drive.google.com/open?id=1IFnpHwUMaP55EWtf6gh-7qsa6vGSqWDZ</v>
      </c>
      <c r="CB3" s="15" t="s">
        <v>2821</v>
      </c>
      <c r="CC3" s="15" t="s">
        <v>2821</v>
      </c>
      <c r="CD3" s="25" t="s">
        <v>2787</v>
      </c>
      <c r="CE3" s="18"/>
      <c r="CF3" s="18"/>
      <c r="CG3" s="18"/>
    </row>
    <row r="4" ht="18.75" hidden="1" customHeight="1">
      <c r="A4" s="14">
        <v>44743.64719275463</v>
      </c>
      <c r="B4" s="15" t="s">
        <v>534</v>
      </c>
      <c r="C4" s="16" t="s">
        <v>2854</v>
      </c>
      <c r="D4" s="15" t="str">
        <f>IFERROR(__xludf.DUMMYFUNCTION("QUERY(TY_ALL_2023_Batch!$A$1:$E$824, ""SELECT E WHERE C='""&amp;B4&amp;""'"", 0)"),"CHEM")</f>
        <v>CHEM</v>
      </c>
      <c r="E4" s="15" t="s">
        <v>2855</v>
      </c>
      <c r="F4" s="15" t="s">
        <v>2856</v>
      </c>
      <c r="G4" s="15" t="s">
        <v>2857</v>
      </c>
      <c r="H4" s="15" t="s">
        <v>2826</v>
      </c>
      <c r="I4" s="17">
        <v>37322.0</v>
      </c>
      <c r="J4" s="15">
        <v>2019.0</v>
      </c>
      <c r="K4" s="15" t="s">
        <v>2786</v>
      </c>
      <c r="L4" s="15" t="s">
        <v>2787</v>
      </c>
      <c r="M4" s="18"/>
      <c r="N4" s="15" t="s">
        <v>2858</v>
      </c>
      <c r="O4" s="15" t="s">
        <v>534</v>
      </c>
      <c r="P4" s="19" t="s">
        <v>2859</v>
      </c>
      <c r="Q4" s="15">
        <v>8.433589137E9</v>
      </c>
      <c r="R4" s="15">
        <v>8.433589137E9</v>
      </c>
      <c r="S4" s="15">
        <v>9.867074932E9</v>
      </c>
      <c r="T4" s="15" t="s">
        <v>2860</v>
      </c>
      <c r="U4" s="15" t="s">
        <v>2861</v>
      </c>
      <c r="V4" s="15" t="s">
        <v>2862</v>
      </c>
      <c r="W4" s="15" t="s">
        <v>2863</v>
      </c>
      <c r="X4" s="15">
        <v>82.8</v>
      </c>
      <c r="Y4" s="15" t="s">
        <v>2795</v>
      </c>
      <c r="Z4" s="15">
        <v>8.44</v>
      </c>
      <c r="AA4" s="15">
        <v>7.81</v>
      </c>
      <c r="AB4" s="15" t="s">
        <v>2796</v>
      </c>
      <c r="AC4" s="15" t="s">
        <v>2796</v>
      </c>
      <c r="AD4" s="15" t="s">
        <v>2796</v>
      </c>
      <c r="AE4" s="15" t="s">
        <v>2796</v>
      </c>
      <c r="AF4" s="15">
        <v>8.65</v>
      </c>
      <c r="AG4" s="15">
        <v>8.47</v>
      </c>
      <c r="AH4" s="15">
        <v>74.15</v>
      </c>
      <c r="AI4" s="18"/>
      <c r="AJ4" s="15" t="s">
        <v>2787</v>
      </c>
      <c r="AK4" s="15" t="s">
        <v>2787</v>
      </c>
      <c r="AL4" s="15">
        <v>543.333</v>
      </c>
      <c r="AM4" s="15">
        <v>558.333</v>
      </c>
      <c r="AN4" s="15" t="s">
        <v>2787</v>
      </c>
      <c r="AO4" s="18"/>
      <c r="AP4" s="15" t="s">
        <v>2864</v>
      </c>
      <c r="AQ4" s="15" t="s">
        <v>2865</v>
      </c>
      <c r="AR4" s="18"/>
      <c r="AS4" s="15"/>
      <c r="AT4" s="18"/>
      <c r="AU4" s="15" t="s">
        <v>2866</v>
      </c>
      <c r="AV4" s="15" t="s">
        <v>2867</v>
      </c>
      <c r="AW4" s="15" t="s">
        <v>2868</v>
      </c>
      <c r="AX4" s="18"/>
      <c r="AY4" s="15" t="s">
        <v>2869</v>
      </c>
      <c r="AZ4" s="15" t="s">
        <v>2805</v>
      </c>
      <c r="BA4" s="15" t="s">
        <v>2870</v>
      </c>
      <c r="BB4" s="15" t="s">
        <v>2807</v>
      </c>
      <c r="BC4" s="15" t="s">
        <v>2871</v>
      </c>
      <c r="BD4" s="15" t="s">
        <v>2807</v>
      </c>
      <c r="BE4" s="15" t="s">
        <v>2872</v>
      </c>
      <c r="BF4" s="15" t="s">
        <v>2873</v>
      </c>
      <c r="BG4" s="15" t="s">
        <v>2874</v>
      </c>
      <c r="BH4" s="18"/>
      <c r="BI4" s="15" t="s">
        <v>2875</v>
      </c>
      <c r="BJ4" s="19" t="s">
        <v>2876</v>
      </c>
      <c r="BK4" s="19" t="s">
        <v>2877</v>
      </c>
      <c r="BL4" s="19" t="s">
        <v>2878</v>
      </c>
      <c r="BM4" s="19" t="s">
        <v>2879</v>
      </c>
      <c r="BN4" s="27" t="s">
        <v>2880</v>
      </c>
      <c r="BO4" s="19" t="s">
        <v>2881</v>
      </c>
      <c r="BP4" s="19" t="s">
        <v>2882</v>
      </c>
      <c r="BQ4" s="15" t="s">
        <v>451</v>
      </c>
      <c r="BR4" s="26"/>
      <c r="BS4" s="26"/>
      <c r="BT4" s="26"/>
      <c r="BU4" s="26"/>
      <c r="BV4" s="26"/>
      <c r="BW4" s="15" t="s">
        <v>2883</v>
      </c>
      <c r="BX4" s="26"/>
      <c r="BY4" s="18" t="str">
        <f t="shared" si="2"/>
        <v>CHEM</v>
      </c>
      <c r="BZ4" s="24" t="str">
        <f t="shared" ref="BZ4:CA4" si="4">IF(ISBLANK(BU4), BL4, BU4)</f>
        <v>https://drive.google.com/open?id=1y1UuHz84RkFGAFl6bxrD4spvJaoLMmvr</v>
      </c>
      <c r="CA4" s="24" t="str">
        <f t="shared" si="4"/>
        <v>https://drive.google.com/open?id=1kqAYWZJ-0gSB_QytXttIN7eXRDF5RV2g</v>
      </c>
      <c r="CB4" s="15" t="s">
        <v>2821</v>
      </c>
      <c r="CC4" s="15" t="s">
        <v>2821</v>
      </c>
      <c r="CD4" s="25" t="s">
        <v>2787</v>
      </c>
      <c r="CE4" s="18"/>
      <c r="CF4" s="18"/>
      <c r="CG4" s="18"/>
    </row>
    <row r="5" ht="18.75" hidden="1" customHeight="1">
      <c r="A5" s="14">
        <v>44742.87556111111</v>
      </c>
      <c r="B5" s="15" t="s">
        <v>525</v>
      </c>
      <c r="C5" s="16" t="s">
        <v>2884</v>
      </c>
      <c r="D5" s="15" t="str">
        <f>IFERROR(__xludf.DUMMYFUNCTION("QUERY(TY_ALL_2023_Batch!$A$1:$E$824, ""SELECT E WHERE C='""&amp;B5&amp;""'"", 0)"),"CHEM")</f>
        <v>CHEM</v>
      </c>
      <c r="E5" s="15" t="s">
        <v>2885</v>
      </c>
      <c r="F5" s="15" t="s">
        <v>2886</v>
      </c>
      <c r="G5" s="15" t="s">
        <v>2887</v>
      </c>
      <c r="H5" s="15" t="s">
        <v>2785</v>
      </c>
      <c r="I5" s="17">
        <v>37131.0</v>
      </c>
      <c r="J5" s="15">
        <v>2019.0</v>
      </c>
      <c r="K5" s="15" t="s">
        <v>2786</v>
      </c>
      <c r="L5" s="15" t="s">
        <v>2787</v>
      </c>
      <c r="M5" s="18"/>
      <c r="N5" s="15" t="s">
        <v>2888</v>
      </c>
      <c r="O5" s="15" t="s">
        <v>2889</v>
      </c>
      <c r="P5" s="19" t="s">
        <v>2890</v>
      </c>
      <c r="Q5" s="15">
        <v>9.834773166E9</v>
      </c>
      <c r="R5" s="15">
        <v>9.834773166E9</v>
      </c>
      <c r="S5" s="15">
        <v>9.552076931E9</v>
      </c>
      <c r="T5" s="15" t="s">
        <v>2886</v>
      </c>
      <c r="U5" s="15" t="s">
        <v>2891</v>
      </c>
      <c r="V5" s="15" t="s">
        <v>2892</v>
      </c>
      <c r="W5" s="18"/>
      <c r="X5" s="15">
        <v>85.0</v>
      </c>
      <c r="Y5" s="15" t="s">
        <v>2795</v>
      </c>
      <c r="Z5" s="15">
        <v>8.33</v>
      </c>
      <c r="AA5" s="15">
        <v>8.33</v>
      </c>
      <c r="AB5" s="15">
        <v>8.41</v>
      </c>
      <c r="AC5" s="15" t="s">
        <v>2796</v>
      </c>
      <c r="AD5" s="15" t="s">
        <v>2796</v>
      </c>
      <c r="AE5" s="15" t="s">
        <v>2796</v>
      </c>
      <c r="AF5" s="15">
        <v>7.5</v>
      </c>
      <c r="AG5" s="15">
        <v>6.5</v>
      </c>
      <c r="AH5" s="15">
        <v>70.62</v>
      </c>
      <c r="AI5" s="18"/>
      <c r="AJ5" s="15" t="s">
        <v>2797</v>
      </c>
      <c r="AK5" s="15" t="s">
        <v>2797</v>
      </c>
      <c r="AL5" s="18"/>
      <c r="AM5" s="18"/>
      <c r="AN5" s="15" t="s">
        <v>2797</v>
      </c>
      <c r="AO5" s="15" t="s">
        <v>2893</v>
      </c>
      <c r="AP5" s="15" t="s">
        <v>2893</v>
      </c>
      <c r="AQ5" s="15" t="s">
        <v>2894</v>
      </c>
      <c r="AR5" s="18"/>
      <c r="AS5" s="18"/>
      <c r="AT5" s="18"/>
      <c r="AU5" s="15" t="s">
        <v>2895</v>
      </c>
      <c r="AV5" s="15" t="s">
        <v>2896</v>
      </c>
      <c r="AW5" s="15" t="s">
        <v>2897</v>
      </c>
      <c r="AX5" s="18"/>
      <c r="AY5" s="15" t="s">
        <v>2898</v>
      </c>
      <c r="AZ5" s="15" t="s">
        <v>2805</v>
      </c>
      <c r="BA5" s="15" t="s">
        <v>2899</v>
      </c>
      <c r="BB5" s="15" t="s">
        <v>2807</v>
      </c>
      <c r="BC5" s="15" t="s">
        <v>2900</v>
      </c>
      <c r="BD5" s="15" t="s">
        <v>2807</v>
      </c>
      <c r="BE5" s="15" t="s">
        <v>2796</v>
      </c>
      <c r="BF5" s="18"/>
      <c r="BG5" s="18"/>
      <c r="BH5" s="18"/>
      <c r="BI5" s="15" t="s">
        <v>2901</v>
      </c>
      <c r="BJ5" s="19" t="s">
        <v>2902</v>
      </c>
      <c r="BK5" s="19" t="s">
        <v>2903</v>
      </c>
      <c r="BL5" s="18"/>
      <c r="BM5" s="18"/>
      <c r="BN5" s="19" t="s">
        <v>2904</v>
      </c>
      <c r="BO5" s="19" t="s">
        <v>2905</v>
      </c>
      <c r="BP5" s="18"/>
      <c r="BQ5" s="15" t="s">
        <v>451</v>
      </c>
      <c r="BR5" s="26"/>
      <c r="BS5" s="26"/>
      <c r="BT5" s="19" t="s">
        <v>2906</v>
      </c>
      <c r="BU5" s="26"/>
      <c r="BV5" s="26"/>
      <c r="BW5" s="15" t="s">
        <v>2907</v>
      </c>
      <c r="BX5" s="26"/>
      <c r="BY5" s="18" t="str">
        <f t="shared" si="2"/>
        <v>CHEM</v>
      </c>
      <c r="BZ5" s="18" t="str">
        <f t="shared" ref="BZ5:CA5" si="5">IF(ISBLANK(BU5), BL5, BU5)</f>
        <v/>
      </c>
      <c r="CA5" s="18" t="str">
        <f t="shared" si="5"/>
        <v/>
      </c>
      <c r="CB5" s="15" t="s">
        <v>2908</v>
      </c>
      <c r="CC5" s="15" t="s">
        <v>2908</v>
      </c>
      <c r="CD5" s="25" t="s">
        <v>2909</v>
      </c>
      <c r="CE5" s="18"/>
      <c r="CF5" s="18"/>
      <c r="CG5" s="18"/>
    </row>
    <row r="6" ht="18.75" hidden="1" customHeight="1">
      <c r="A6" s="14">
        <v>44743.84028763889</v>
      </c>
      <c r="B6" s="15" t="s">
        <v>498</v>
      </c>
      <c r="C6" s="16" t="s">
        <v>2910</v>
      </c>
      <c r="D6" s="15" t="str">
        <f>IFERROR(__xludf.DUMMYFUNCTION("QUERY(TY_ALL_2023_Batch!$A$1:$E$824, ""SELECT E WHERE C='""&amp;B6&amp;""'"", 0)"),"CHEM")</f>
        <v>CHEM</v>
      </c>
      <c r="E6" s="15" t="s">
        <v>2911</v>
      </c>
      <c r="F6" s="15" t="s">
        <v>2912</v>
      </c>
      <c r="G6" s="15" t="s">
        <v>2913</v>
      </c>
      <c r="H6" s="15" t="s">
        <v>2785</v>
      </c>
      <c r="I6" s="17">
        <v>37216.0</v>
      </c>
      <c r="J6" s="15">
        <v>2019.0</v>
      </c>
      <c r="K6" s="15" t="s">
        <v>2786</v>
      </c>
      <c r="L6" s="15" t="s">
        <v>2787</v>
      </c>
      <c r="M6" s="18"/>
      <c r="N6" s="15" t="s">
        <v>2914</v>
      </c>
      <c r="O6" s="15" t="s">
        <v>498</v>
      </c>
      <c r="P6" s="19" t="s">
        <v>2915</v>
      </c>
      <c r="Q6" s="15">
        <v>7.776887634E9</v>
      </c>
      <c r="R6" s="15">
        <v>7.776887634E9</v>
      </c>
      <c r="S6" s="18"/>
      <c r="T6" s="15" t="s">
        <v>2912</v>
      </c>
      <c r="U6" s="15" t="s">
        <v>2916</v>
      </c>
      <c r="V6" s="15" t="s">
        <v>2917</v>
      </c>
      <c r="W6" s="18"/>
      <c r="X6" s="15">
        <v>89.0</v>
      </c>
      <c r="Y6" s="15" t="s">
        <v>2795</v>
      </c>
      <c r="Z6" s="15">
        <v>9.43</v>
      </c>
      <c r="AA6" s="15">
        <v>9.67</v>
      </c>
      <c r="AB6" s="15" t="s">
        <v>2796</v>
      </c>
      <c r="AC6" s="15" t="s">
        <v>2796</v>
      </c>
      <c r="AD6" s="15" t="s">
        <v>2796</v>
      </c>
      <c r="AE6" s="15" t="s">
        <v>2796</v>
      </c>
      <c r="AF6" s="15">
        <v>8.37</v>
      </c>
      <c r="AG6" s="15">
        <v>8.9</v>
      </c>
      <c r="AH6" s="15">
        <v>86.0</v>
      </c>
      <c r="AI6" s="18"/>
      <c r="AJ6" s="15" t="s">
        <v>2787</v>
      </c>
      <c r="AK6" s="15" t="s">
        <v>2787</v>
      </c>
      <c r="AL6" s="15">
        <v>50.0</v>
      </c>
      <c r="AM6" s="15">
        <v>89.0</v>
      </c>
      <c r="AN6" s="15" t="s">
        <v>2797</v>
      </c>
      <c r="AO6" s="18"/>
      <c r="AP6" s="15" t="s">
        <v>2918</v>
      </c>
      <c r="AQ6" s="15" t="s">
        <v>2919</v>
      </c>
      <c r="AR6" s="15" t="s">
        <v>2920</v>
      </c>
      <c r="AS6" s="15" t="s">
        <v>2921</v>
      </c>
      <c r="AT6" s="18"/>
      <c r="AU6" s="18"/>
      <c r="AV6" s="15" t="s">
        <v>2922</v>
      </c>
      <c r="AW6" s="15" t="s">
        <v>2923</v>
      </c>
      <c r="AX6" s="18"/>
      <c r="AY6" s="15" t="s">
        <v>2924</v>
      </c>
      <c r="AZ6" s="15" t="s">
        <v>2805</v>
      </c>
      <c r="BA6" s="15" t="s">
        <v>2925</v>
      </c>
      <c r="BB6" s="15" t="s">
        <v>2807</v>
      </c>
      <c r="BC6" s="15" t="s">
        <v>2926</v>
      </c>
      <c r="BD6" s="15" t="s">
        <v>2807</v>
      </c>
      <c r="BE6" s="15" t="s">
        <v>2927</v>
      </c>
      <c r="BF6" s="18"/>
      <c r="BG6" s="18"/>
      <c r="BH6" s="18"/>
      <c r="BI6" s="15" t="s">
        <v>2928</v>
      </c>
      <c r="BJ6" s="19" t="s">
        <v>2929</v>
      </c>
      <c r="BK6" s="19" t="s">
        <v>2930</v>
      </c>
      <c r="BL6" s="18"/>
      <c r="BM6" s="18"/>
      <c r="BN6" s="28" t="s">
        <v>2931</v>
      </c>
      <c r="BO6" s="19" t="s">
        <v>2932</v>
      </c>
      <c r="BP6" s="19" t="s">
        <v>2933</v>
      </c>
      <c r="BQ6" s="15" t="s">
        <v>451</v>
      </c>
      <c r="BR6" s="26"/>
      <c r="BS6" s="26"/>
      <c r="BT6" s="26"/>
      <c r="BU6" s="19" t="s">
        <v>2934</v>
      </c>
      <c r="BV6" s="19" t="s">
        <v>2935</v>
      </c>
      <c r="BW6" s="15" t="s">
        <v>2936</v>
      </c>
      <c r="BX6" s="26"/>
      <c r="BY6" s="18" t="str">
        <f t="shared" si="2"/>
        <v>CHEM</v>
      </c>
      <c r="BZ6" s="24" t="str">
        <f t="shared" ref="BZ6:CA6" si="6">IF(ISBLANK(BU6), BL6, BU6)</f>
        <v>https://drive.google.com/open?id=1KxUZrRfTKuPxHnpas_4R8kG226FCMfK9</v>
      </c>
      <c r="CA6" s="24" t="str">
        <f t="shared" si="6"/>
        <v>https://drive.google.com/open?id=1tmTPqwStAq8mxF28JO2CSgwo0YDr2FN1</v>
      </c>
      <c r="CB6" s="15" t="s">
        <v>2908</v>
      </c>
      <c r="CC6" s="15" t="s">
        <v>2908</v>
      </c>
      <c r="CD6" s="25" t="s">
        <v>2797</v>
      </c>
      <c r="CE6" s="18"/>
      <c r="CF6" s="18"/>
      <c r="CG6" s="18"/>
    </row>
    <row r="7" ht="18.75" hidden="1" customHeight="1">
      <c r="A7" s="14">
        <v>44736.87440905093</v>
      </c>
      <c r="B7" s="15" t="s">
        <v>987</v>
      </c>
      <c r="C7" s="16" t="s">
        <v>2937</v>
      </c>
      <c r="D7" s="15" t="str">
        <f>IFERROR(__xludf.DUMMYFUNCTION("QUERY(TY_ALL_2023_Batch!$A$1:$E$824, ""SELECT E WHERE C='""&amp;B7&amp;""'"", 0)"),"CHEM")</f>
        <v>CHEM</v>
      </c>
      <c r="E7" s="15" t="s">
        <v>2938</v>
      </c>
      <c r="F7" s="15" t="s">
        <v>2939</v>
      </c>
      <c r="G7" s="15" t="s">
        <v>2940</v>
      </c>
      <c r="H7" s="15" t="s">
        <v>2785</v>
      </c>
      <c r="I7" s="17">
        <v>37005.0</v>
      </c>
      <c r="J7" s="15">
        <v>2020.0</v>
      </c>
      <c r="K7" s="15" t="s">
        <v>2941</v>
      </c>
      <c r="L7" s="15" t="s">
        <v>2787</v>
      </c>
      <c r="M7" s="18"/>
      <c r="N7" s="15" t="s">
        <v>2942</v>
      </c>
      <c r="O7" s="15" t="s">
        <v>987</v>
      </c>
      <c r="P7" s="19" t="s">
        <v>2943</v>
      </c>
      <c r="Q7" s="15">
        <v>9.146930905E9</v>
      </c>
      <c r="R7" s="15">
        <v>9.146930905E9</v>
      </c>
      <c r="S7" s="18"/>
      <c r="T7" s="15" t="s">
        <v>2944</v>
      </c>
      <c r="U7" s="15" t="s">
        <v>2945</v>
      </c>
      <c r="V7" s="15" t="s">
        <v>2946</v>
      </c>
      <c r="W7" s="15" t="s">
        <v>2947</v>
      </c>
      <c r="X7" s="15">
        <v>86.8</v>
      </c>
      <c r="Y7" s="15" t="s">
        <v>2948</v>
      </c>
      <c r="Z7" s="15">
        <v>9.24</v>
      </c>
      <c r="AA7" s="15">
        <v>8.71</v>
      </c>
      <c r="AB7" s="15" t="s">
        <v>2796</v>
      </c>
      <c r="AC7" s="15" t="s">
        <v>2796</v>
      </c>
      <c r="AD7" s="15" t="s">
        <v>2796</v>
      </c>
      <c r="AE7" s="15" t="s">
        <v>2796</v>
      </c>
      <c r="AF7" s="18"/>
      <c r="AG7" s="18"/>
      <c r="AH7" s="18"/>
      <c r="AI7" s="15">
        <v>90.24</v>
      </c>
      <c r="AJ7" s="15" t="s">
        <v>2787</v>
      </c>
      <c r="AK7" s="15" t="s">
        <v>2787</v>
      </c>
      <c r="AL7" s="15" t="s">
        <v>2949</v>
      </c>
      <c r="AM7" s="15" t="s">
        <v>2950</v>
      </c>
      <c r="AN7" s="15" t="s">
        <v>2797</v>
      </c>
      <c r="AO7" s="15" t="s">
        <v>2796</v>
      </c>
      <c r="AP7" s="15" t="s">
        <v>2796</v>
      </c>
      <c r="AQ7" s="15" t="s">
        <v>2951</v>
      </c>
      <c r="AR7" s="15" t="s">
        <v>2952</v>
      </c>
      <c r="AS7" s="15"/>
      <c r="AT7" s="18"/>
      <c r="AU7" s="18"/>
      <c r="AV7" s="15" t="s">
        <v>2953</v>
      </c>
      <c r="AW7" s="15" t="s">
        <v>2954</v>
      </c>
      <c r="AX7" s="18"/>
      <c r="AY7" s="15" t="s">
        <v>2955</v>
      </c>
      <c r="AZ7" s="15" t="s">
        <v>2805</v>
      </c>
      <c r="BA7" s="15" t="s">
        <v>2870</v>
      </c>
      <c r="BB7" s="15" t="s">
        <v>2807</v>
      </c>
      <c r="BC7" s="15" t="s">
        <v>2956</v>
      </c>
      <c r="BD7" s="15" t="s">
        <v>2807</v>
      </c>
      <c r="BE7" s="15" t="s">
        <v>2957</v>
      </c>
      <c r="BF7" s="15" t="s">
        <v>2796</v>
      </c>
      <c r="BG7" s="18"/>
      <c r="BH7" s="15" t="s">
        <v>2958</v>
      </c>
      <c r="BI7" s="15" t="s">
        <v>2959</v>
      </c>
      <c r="BJ7" s="19" t="s">
        <v>2960</v>
      </c>
      <c r="BK7" s="19" t="s">
        <v>2961</v>
      </c>
      <c r="BL7" s="19" t="s">
        <v>2962</v>
      </c>
      <c r="BM7" s="19" t="s">
        <v>2963</v>
      </c>
      <c r="BN7" s="19" t="s">
        <v>2964</v>
      </c>
      <c r="BO7" s="19" t="s">
        <v>2965</v>
      </c>
      <c r="BP7" s="19" t="s">
        <v>2966</v>
      </c>
      <c r="BQ7" s="15" t="s">
        <v>451</v>
      </c>
      <c r="BR7" s="26"/>
      <c r="BS7" s="26"/>
      <c r="BT7" s="26"/>
      <c r="BU7" s="19" t="s">
        <v>2967</v>
      </c>
      <c r="BV7" s="19" t="s">
        <v>2968</v>
      </c>
      <c r="BW7" s="15" t="s">
        <v>2969</v>
      </c>
      <c r="BX7" s="26"/>
      <c r="BY7" s="18" t="str">
        <f t="shared" si="2"/>
        <v>CHEM</v>
      </c>
      <c r="BZ7" s="24" t="str">
        <f t="shared" ref="BZ7:CA7" si="7">IF(ISBLANK(BU7), BL7, BU7)</f>
        <v>https://drive.google.com/open?id=18dzCKu4r8ilKCOmCETNuKIOXHubEjlXm</v>
      </c>
      <c r="CA7" s="24" t="str">
        <f t="shared" si="7"/>
        <v>https://drive.google.com/open?id=15Ig3Y9hHmqNB8pKxQgSJ6iye1QESUeTI</v>
      </c>
      <c r="CB7" s="15" t="s">
        <v>2821</v>
      </c>
      <c r="CC7" s="15" t="s">
        <v>2821</v>
      </c>
      <c r="CD7" s="25" t="s">
        <v>2797</v>
      </c>
      <c r="CE7" s="18"/>
      <c r="CF7" s="18"/>
      <c r="CG7" s="18"/>
    </row>
    <row r="8" ht="18.75" hidden="1" customHeight="1">
      <c r="A8" s="14">
        <v>44735.62581203703</v>
      </c>
      <c r="B8" s="15" t="s">
        <v>1062</v>
      </c>
      <c r="C8" s="16" t="s">
        <v>2970</v>
      </c>
      <c r="D8" s="15" t="str">
        <f>IFERROR(__xludf.DUMMYFUNCTION("QUERY(TY_ALL_2023_Batch!$A$1:$E$824, ""SELECT E WHERE C='""&amp;B8&amp;""'"", 0)"),"CHEM")</f>
        <v>CHEM</v>
      </c>
      <c r="E8" s="15" t="s">
        <v>2971</v>
      </c>
      <c r="F8" s="15" t="s">
        <v>2972</v>
      </c>
      <c r="G8" s="15" t="s">
        <v>2973</v>
      </c>
      <c r="H8" s="15" t="s">
        <v>2785</v>
      </c>
      <c r="I8" s="17">
        <v>37446.0</v>
      </c>
      <c r="J8" s="15">
        <v>2020.0</v>
      </c>
      <c r="K8" s="15" t="s">
        <v>2941</v>
      </c>
      <c r="L8" s="15" t="s">
        <v>2787</v>
      </c>
      <c r="M8" s="18"/>
      <c r="N8" s="15" t="s">
        <v>2974</v>
      </c>
      <c r="O8" s="15" t="s">
        <v>1062</v>
      </c>
      <c r="P8" s="19" t="s">
        <v>2975</v>
      </c>
      <c r="Q8" s="15">
        <v>8.66826376E9</v>
      </c>
      <c r="R8" s="15">
        <v>8.66826376E9</v>
      </c>
      <c r="S8" s="18"/>
      <c r="T8" s="15" t="s">
        <v>2976</v>
      </c>
      <c r="U8" s="15" t="s">
        <v>2977</v>
      </c>
      <c r="V8" s="15" t="s">
        <v>2978</v>
      </c>
      <c r="W8" s="15" t="s">
        <v>2979</v>
      </c>
      <c r="X8" s="15">
        <v>81.7</v>
      </c>
      <c r="Y8" s="15" t="s">
        <v>2948</v>
      </c>
      <c r="Z8" s="15">
        <v>8.67</v>
      </c>
      <c r="AA8" s="15">
        <v>8.67</v>
      </c>
      <c r="AB8" s="15" t="s">
        <v>2796</v>
      </c>
      <c r="AC8" s="15" t="s">
        <v>2796</v>
      </c>
      <c r="AD8" s="15" t="s">
        <v>2796</v>
      </c>
      <c r="AE8" s="15" t="s">
        <v>2796</v>
      </c>
      <c r="AF8" s="18"/>
      <c r="AG8" s="18"/>
      <c r="AH8" s="18"/>
      <c r="AI8" s="15">
        <v>88.0</v>
      </c>
      <c r="AJ8" s="15" t="s">
        <v>2787</v>
      </c>
      <c r="AK8" s="15" t="s">
        <v>2787</v>
      </c>
      <c r="AL8" s="15">
        <v>87.33</v>
      </c>
      <c r="AM8" s="15">
        <v>94.0</v>
      </c>
      <c r="AN8" s="15" t="s">
        <v>2797</v>
      </c>
      <c r="AO8" s="15" t="s">
        <v>2796</v>
      </c>
      <c r="AP8" s="15" t="s">
        <v>2796</v>
      </c>
      <c r="AQ8" s="15" t="s">
        <v>2980</v>
      </c>
      <c r="AR8" s="15" t="s">
        <v>2981</v>
      </c>
      <c r="AS8" s="15" t="s">
        <v>2982</v>
      </c>
      <c r="AT8" s="18"/>
      <c r="AU8" s="18"/>
      <c r="AV8" s="15" t="s">
        <v>2983</v>
      </c>
      <c r="AW8" s="15" t="s">
        <v>2984</v>
      </c>
      <c r="AX8" s="18"/>
      <c r="AY8" s="15" t="s">
        <v>2985</v>
      </c>
      <c r="AZ8" s="15" t="s">
        <v>2805</v>
      </c>
      <c r="BA8" s="15" t="s">
        <v>2870</v>
      </c>
      <c r="BB8" s="15" t="s">
        <v>2807</v>
      </c>
      <c r="BC8" s="15" t="s">
        <v>2986</v>
      </c>
      <c r="BD8" s="15" t="s">
        <v>2807</v>
      </c>
      <c r="BE8" s="15" t="s">
        <v>2796</v>
      </c>
      <c r="BF8" s="15" t="s">
        <v>2796</v>
      </c>
      <c r="BG8" s="18"/>
      <c r="BH8" s="15" t="s">
        <v>2987</v>
      </c>
      <c r="BI8" s="15" t="s">
        <v>2988</v>
      </c>
      <c r="BJ8" s="19" t="s">
        <v>2989</v>
      </c>
      <c r="BK8" s="19" t="s">
        <v>2990</v>
      </c>
      <c r="BL8" s="18"/>
      <c r="BM8" s="18"/>
      <c r="BN8" s="19" t="s">
        <v>2991</v>
      </c>
      <c r="BO8" s="19" t="s">
        <v>2992</v>
      </c>
      <c r="BP8" s="19" t="s">
        <v>2993</v>
      </c>
      <c r="BQ8" s="15" t="s">
        <v>451</v>
      </c>
      <c r="BR8" s="26"/>
      <c r="BS8" s="26"/>
      <c r="BT8" s="26"/>
      <c r="BU8" s="26"/>
      <c r="BV8" s="26"/>
      <c r="BW8" s="26"/>
      <c r="BX8" s="26"/>
      <c r="BY8" s="18" t="str">
        <f t="shared" si="2"/>
        <v>CHEM</v>
      </c>
      <c r="BZ8" s="18" t="str">
        <f t="shared" ref="BZ8:CA8" si="8">IF(ISBLANK(BU8), BL8, BU8)</f>
        <v/>
      </c>
      <c r="CA8" s="18" t="str">
        <f t="shared" si="8"/>
        <v/>
      </c>
      <c r="CB8" s="15" t="s">
        <v>2908</v>
      </c>
      <c r="CC8" s="15" t="s">
        <v>2908</v>
      </c>
      <c r="CD8" s="25" t="s">
        <v>2797</v>
      </c>
      <c r="CE8" s="18"/>
      <c r="CF8" s="18"/>
      <c r="CG8" s="18"/>
    </row>
    <row r="9" ht="18.75" hidden="1" customHeight="1">
      <c r="A9" s="14">
        <v>44736.475138124995</v>
      </c>
      <c r="B9" s="15" t="s">
        <v>1026</v>
      </c>
      <c r="C9" s="16" t="s">
        <v>2994</v>
      </c>
      <c r="D9" s="15" t="str">
        <f>IFERROR(__xludf.DUMMYFUNCTION("QUERY(TY_ALL_2023_Batch!$A$1:$E$824, ""SELECT E WHERE C='""&amp;B9&amp;""'"", 0)"),"CHEM")</f>
        <v>CHEM</v>
      </c>
      <c r="E9" s="15" t="s">
        <v>2995</v>
      </c>
      <c r="F9" s="15" t="s">
        <v>2972</v>
      </c>
      <c r="G9" s="15" t="s">
        <v>2996</v>
      </c>
      <c r="H9" s="15" t="s">
        <v>2785</v>
      </c>
      <c r="I9" s="17">
        <v>36769.0</v>
      </c>
      <c r="J9" s="15">
        <v>2020.0</v>
      </c>
      <c r="K9" s="15" t="s">
        <v>2941</v>
      </c>
      <c r="L9" s="15" t="s">
        <v>2787</v>
      </c>
      <c r="M9" s="18"/>
      <c r="N9" s="15" t="s">
        <v>2997</v>
      </c>
      <c r="O9" s="15" t="s">
        <v>1026</v>
      </c>
      <c r="P9" s="19" t="s">
        <v>2998</v>
      </c>
      <c r="Q9" s="15">
        <v>8.262823195E9</v>
      </c>
      <c r="R9" s="15">
        <v>9.146836639E9</v>
      </c>
      <c r="S9" s="15">
        <v>9.146836639E9</v>
      </c>
      <c r="T9" s="15" t="s">
        <v>2972</v>
      </c>
      <c r="U9" s="15" t="s">
        <v>2999</v>
      </c>
      <c r="V9" s="15" t="s">
        <v>3000</v>
      </c>
      <c r="W9" s="18"/>
      <c r="X9" s="15">
        <v>68.4</v>
      </c>
      <c r="Y9" s="15" t="s">
        <v>2795</v>
      </c>
      <c r="Z9" s="15">
        <v>8.14</v>
      </c>
      <c r="AA9" s="15">
        <v>8.38</v>
      </c>
      <c r="AB9" s="15" t="s">
        <v>2796</v>
      </c>
      <c r="AC9" s="15" t="s">
        <v>2796</v>
      </c>
      <c r="AD9" s="15" t="s">
        <v>2796</v>
      </c>
      <c r="AE9" s="15" t="s">
        <v>2796</v>
      </c>
      <c r="AF9" s="15">
        <v>0.0</v>
      </c>
      <c r="AG9" s="15">
        <v>0.0</v>
      </c>
      <c r="AH9" s="15">
        <v>56.77</v>
      </c>
      <c r="AI9" s="18"/>
      <c r="AJ9" s="15" t="s">
        <v>2787</v>
      </c>
      <c r="AK9" s="15" t="s">
        <v>2787</v>
      </c>
      <c r="AL9" s="15" t="s">
        <v>3001</v>
      </c>
      <c r="AM9" s="15" t="s">
        <v>3002</v>
      </c>
      <c r="AN9" s="15" t="s">
        <v>2797</v>
      </c>
      <c r="AO9" s="15" t="s">
        <v>3003</v>
      </c>
      <c r="AP9" s="15" t="s">
        <v>3003</v>
      </c>
      <c r="AQ9" s="15" t="s">
        <v>3004</v>
      </c>
      <c r="AR9" s="15" t="s">
        <v>3005</v>
      </c>
      <c r="AS9" s="15" t="s">
        <v>2796</v>
      </c>
      <c r="AT9" s="15" t="s">
        <v>3005</v>
      </c>
      <c r="AU9" s="15" t="s">
        <v>3006</v>
      </c>
      <c r="AV9" s="15" t="s">
        <v>2796</v>
      </c>
      <c r="AW9" s="15" t="s">
        <v>3007</v>
      </c>
      <c r="AX9" s="15" t="s">
        <v>3008</v>
      </c>
      <c r="AY9" s="15" t="s">
        <v>3009</v>
      </c>
      <c r="AZ9" s="15" t="s">
        <v>2805</v>
      </c>
      <c r="BA9" s="15" t="s">
        <v>3010</v>
      </c>
      <c r="BB9" s="15" t="s">
        <v>3011</v>
      </c>
      <c r="BC9" s="15" t="s">
        <v>3012</v>
      </c>
      <c r="BD9" s="15" t="s">
        <v>3013</v>
      </c>
      <c r="BE9" s="15" t="s">
        <v>3014</v>
      </c>
      <c r="BF9" s="15" t="s">
        <v>3015</v>
      </c>
      <c r="BG9" s="18"/>
      <c r="BH9" s="15" t="s">
        <v>2796</v>
      </c>
      <c r="BI9" s="15" t="s">
        <v>3016</v>
      </c>
      <c r="BJ9" s="19" t="s">
        <v>3017</v>
      </c>
      <c r="BK9" s="19" t="s">
        <v>3018</v>
      </c>
      <c r="BL9" s="18"/>
      <c r="BM9" s="18"/>
      <c r="BN9" s="19" t="s">
        <v>3019</v>
      </c>
      <c r="BO9" s="19" t="s">
        <v>3020</v>
      </c>
      <c r="BP9" s="18"/>
      <c r="BQ9" s="15" t="s">
        <v>451</v>
      </c>
      <c r="BR9" s="26"/>
      <c r="BS9" s="26"/>
      <c r="BT9" s="26"/>
      <c r="BU9" s="26"/>
      <c r="BV9" s="26"/>
      <c r="BW9" s="26"/>
      <c r="BX9" s="26"/>
      <c r="BY9" s="18" t="str">
        <f t="shared" si="2"/>
        <v>CHEM</v>
      </c>
      <c r="BZ9" s="18" t="str">
        <f t="shared" ref="BZ9:CA9" si="9">IF(ISBLANK(BU9), BL9, BU9)</f>
        <v/>
      </c>
      <c r="CA9" s="18" t="str">
        <f t="shared" si="9"/>
        <v/>
      </c>
      <c r="CB9" s="15" t="s">
        <v>2908</v>
      </c>
      <c r="CC9" s="15" t="s">
        <v>2908</v>
      </c>
      <c r="CD9" s="25" t="s">
        <v>2797</v>
      </c>
      <c r="CE9" s="18"/>
      <c r="CF9" s="18"/>
      <c r="CG9" s="18"/>
    </row>
    <row r="10" ht="18.75" hidden="1" customHeight="1">
      <c r="A10" s="14">
        <v>44739.42261734954</v>
      </c>
      <c r="B10" s="15" t="s">
        <v>1092</v>
      </c>
      <c r="C10" s="16" t="s">
        <v>3021</v>
      </c>
      <c r="D10" s="15" t="str">
        <f>IFERROR(__xludf.DUMMYFUNCTION("QUERY(TY_ALL_2023_Batch!$A$1:$E$824, ""SELECT E WHERE C='""&amp;B10&amp;""'"", 0)"),"CHEM")</f>
        <v>CHEM</v>
      </c>
      <c r="E10" s="15" t="s">
        <v>3022</v>
      </c>
      <c r="F10" s="15" t="s">
        <v>3023</v>
      </c>
      <c r="G10" s="15" t="s">
        <v>3024</v>
      </c>
      <c r="H10" s="15" t="s">
        <v>2785</v>
      </c>
      <c r="I10" s="17">
        <v>37171.0</v>
      </c>
      <c r="J10" s="15">
        <v>2020.0</v>
      </c>
      <c r="K10" s="15" t="s">
        <v>2941</v>
      </c>
      <c r="L10" s="15" t="s">
        <v>2787</v>
      </c>
      <c r="M10" s="18"/>
      <c r="N10" s="15" t="s">
        <v>3025</v>
      </c>
      <c r="O10" s="15" t="s">
        <v>1092</v>
      </c>
      <c r="P10" s="19" t="s">
        <v>3026</v>
      </c>
      <c r="Q10" s="15">
        <v>9.61957173E9</v>
      </c>
      <c r="R10" s="15">
        <v>9.61957173E9</v>
      </c>
      <c r="S10" s="18"/>
      <c r="T10" s="15" t="s">
        <v>3027</v>
      </c>
      <c r="U10" s="15" t="s">
        <v>3028</v>
      </c>
      <c r="V10" s="15" t="s">
        <v>3029</v>
      </c>
      <c r="W10" s="15" t="s">
        <v>3030</v>
      </c>
      <c r="X10" s="15">
        <v>77.4</v>
      </c>
      <c r="Y10" s="15" t="s">
        <v>2948</v>
      </c>
      <c r="Z10" s="15">
        <v>8.29</v>
      </c>
      <c r="AA10" s="15">
        <v>8.33</v>
      </c>
      <c r="AB10" s="15" t="s">
        <v>2796</v>
      </c>
      <c r="AC10" s="15" t="s">
        <v>2796</v>
      </c>
      <c r="AD10" s="15" t="s">
        <v>2796</v>
      </c>
      <c r="AE10" s="15" t="s">
        <v>2796</v>
      </c>
      <c r="AF10" s="18"/>
      <c r="AG10" s="18"/>
      <c r="AH10" s="18"/>
      <c r="AI10" s="15">
        <v>83.06</v>
      </c>
      <c r="AJ10" s="15" t="s">
        <v>2787</v>
      </c>
      <c r="AK10" s="15" t="s">
        <v>2787</v>
      </c>
      <c r="AL10" s="15" t="s">
        <v>3031</v>
      </c>
      <c r="AM10" s="15" t="s">
        <v>3032</v>
      </c>
      <c r="AN10" s="15" t="s">
        <v>2797</v>
      </c>
      <c r="AO10" s="15" t="s">
        <v>3005</v>
      </c>
      <c r="AP10" s="15" t="s">
        <v>3005</v>
      </c>
      <c r="AQ10" s="15" t="s">
        <v>3033</v>
      </c>
      <c r="AR10" s="15" t="s">
        <v>3034</v>
      </c>
      <c r="AS10" s="15" t="s">
        <v>3035</v>
      </c>
      <c r="AT10" s="15" t="s">
        <v>3005</v>
      </c>
      <c r="AU10" s="15" t="s">
        <v>2796</v>
      </c>
      <c r="AV10" s="15" t="s">
        <v>3036</v>
      </c>
      <c r="AW10" s="15" t="s">
        <v>3037</v>
      </c>
      <c r="AX10" s="18"/>
      <c r="AY10" s="15" t="s">
        <v>3038</v>
      </c>
      <c r="AZ10" s="15" t="s">
        <v>2805</v>
      </c>
      <c r="BA10" s="15" t="s">
        <v>2870</v>
      </c>
      <c r="BB10" s="15" t="s">
        <v>2807</v>
      </c>
      <c r="BC10" s="15" t="s">
        <v>3039</v>
      </c>
      <c r="BD10" s="15" t="s">
        <v>2842</v>
      </c>
      <c r="BE10" s="15" t="s">
        <v>3005</v>
      </c>
      <c r="BF10" s="15" t="s">
        <v>3005</v>
      </c>
      <c r="BG10" s="18"/>
      <c r="BH10" s="15" t="s">
        <v>2958</v>
      </c>
      <c r="BI10" s="15" t="s">
        <v>3040</v>
      </c>
      <c r="BJ10" s="19" t="s">
        <v>3041</v>
      </c>
      <c r="BK10" s="19" t="s">
        <v>3042</v>
      </c>
      <c r="BL10" s="19" t="s">
        <v>3043</v>
      </c>
      <c r="BM10" s="19" t="s">
        <v>3044</v>
      </c>
      <c r="BN10" s="19" t="s">
        <v>3045</v>
      </c>
      <c r="BO10" s="19" t="s">
        <v>3046</v>
      </c>
      <c r="BP10" s="19" t="s">
        <v>3047</v>
      </c>
      <c r="BQ10" s="15" t="s">
        <v>451</v>
      </c>
      <c r="BR10" s="19" t="s">
        <v>3048</v>
      </c>
      <c r="BS10" s="19" t="s">
        <v>3049</v>
      </c>
      <c r="BT10" s="19" t="s">
        <v>3050</v>
      </c>
      <c r="BU10" s="19" t="s">
        <v>3051</v>
      </c>
      <c r="BV10" s="19" t="s">
        <v>3052</v>
      </c>
      <c r="BW10" s="15" t="s">
        <v>3053</v>
      </c>
      <c r="BX10" s="26"/>
      <c r="BY10" s="18" t="str">
        <f t="shared" si="2"/>
        <v>CHEM</v>
      </c>
      <c r="BZ10" s="24" t="str">
        <f t="shared" ref="BZ10:CA10" si="10">IF(ISBLANK(BU10), BL10, BU10)</f>
        <v>https://drive.google.com/open?id=1vz9yWXEUDRS3xAqZlWvXV4bGmIvqhoNw</v>
      </c>
      <c r="CA10" s="24" t="str">
        <f t="shared" si="10"/>
        <v>https://drive.google.com/open?id=1T6t5rYg3vbxwMBMM_l-qeiLWQ89cD7E1</v>
      </c>
      <c r="CB10" s="15" t="s">
        <v>2821</v>
      </c>
      <c r="CC10" s="15" t="s">
        <v>2821</v>
      </c>
      <c r="CD10" s="25" t="s">
        <v>2909</v>
      </c>
      <c r="CE10" s="18"/>
      <c r="CF10" s="18"/>
      <c r="CG10" s="18"/>
    </row>
    <row r="11" ht="18.75" hidden="1" customHeight="1">
      <c r="A11" s="14">
        <v>44735.870641875</v>
      </c>
      <c r="B11" s="15" t="s">
        <v>1011</v>
      </c>
      <c r="C11" s="16" t="s">
        <v>3054</v>
      </c>
      <c r="D11" s="15" t="str">
        <f>IFERROR(__xludf.DUMMYFUNCTION("QUERY(TY_ALL_2023_Batch!$A$1:$E$824, ""SELECT E WHERE C='""&amp;B11&amp;""'"", 0)"),"CHEM")</f>
        <v>CHEM</v>
      </c>
      <c r="E11" s="15" t="s">
        <v>3055</v>
      </c>
      <c r="F11" s="15" t="s">
        <v>3056</v>
      </c>
      <c r="G11" s="15" t="s">
        <v>3057</v>
      </c>
      <c r="H11" s="15" t="s">
        <v>2785</v>
      </c>
      <c r="I11" s="17">
        <v>36858.0</v>
      </c>
      <c r="J11" s="15">
        <v>2020.0</v>
      </c>
      <c r="K11" s="15" t="s">
        <v>2941</v>
      </c>
      <c r="L11" s="15" t="s">
        <v>2787</v>
      </c>
      <c r="M11" s="18"/>
      <c r="N11" s="15" t="s">
        <v>3058</v>
      </c>
      <c r="O11" s="15" t="s">
        <v>1011</v>
      </c>
      <c r="P11" s="19" t="s">
        <v>3059</v>
      </c>
      <c r="Q11" s="15">
        <v>8.66947621E9</v>
      </c>
      <c r="R11" s="15">
        <v>8.66947621E9</v>
      </c>
      <c r="S11" s="15">
        <v>8.668693869E9</v>
      </c>
      <c r="T11" s="15" t="s">
        <v>3060</v>
      </c>
      <c r="U11" s="15" t="s">
        <v>3061</v>
      </c>
      <c r="V11" s="15" t="s">
        <v>3062</v>
      </c>
      <c r="W11" s="15" t="s">
        <v>3062</v>
      </c>
      <c r="X11" s="15">
        <v>81.2</v>
      </c>
      <c r="Y11" s="15" t="s">
        <v>2948</v>
      </c>
      <c r="Z11" s="15">
        <v>8.43</v>
      </c>
      <c r="AA11" s="15">
        <v>8.43</v>
      </c>
      <c r="AB11" s="15" t="s">
        <v>2796</v>
      </c>
      <c r="AC11" s="15" t="s">
        <v>2796</v>
      </c>
      <c r="AD11" s="15" t="s">
        <v>2796</v>
      </c>
      <c r="AE11" s="15" t="s">
        <v>2796</v>
      </c>
      <c r="AF11" s="18"/>
      <c r="AG11" s="18"/>
      <c r="AH11" s="18"/>
      <c r="AI11" s="15">
        <v>86.0</v>
      </c>
      <c r="AJ11" s="15" t="s">
        <v>2797</v>
      </c>
      <c r="AK11" s="15" t="s">
        <v>2787</v>
      </c>
      <c r="AL11" s="15" t="s">
        <v>3063</v>
      </c>
      <c r="AM11" s="15" t="s">
        <v>3064</v>
      </c>
      <c r="AN11" s="15" t="s">
        <v>2797</v>
      </c>
      <c r="AO11" s="15" t="s">
        <v>2796</v>
      </c>
      <c r="AP11" s="15" t="s">
        <v>2796</v>
      </c>
      <c r="AQ11" s="15" t="s">
        <v>3065</v>
      </c>
      <c r="AR11" s="18"/>
      <c r="AS11" s="15"/>
      <c r="AT11" s="18"/>
      <c r="AU11" s="18"/>
      <c r="AV11" s="15" t="s">
        <v>3066</v>
      </c>
      <c r="AW11" s="15" t="s">
        <v>3067</v>
      </c>
      <c r="AX11" s="18"/>
      <c r="AY11" s="15" t="s">
        <v>3068</v>
      </c>
      <c r="AZ11" s="15" t="s">
        <v>2805</v>
      </c>
      <c r="BA11" s="15" t="s">
        <v>2870</v>
      </c>
      <c r="BB11" s="15" t="s">
        <v>2807</v>
      </c>
      <c r="BC11" s="15" t="s">
        <v>3069</v>
      </c>
      <c r="BD11" s="15" t="s">
        <v>2807</v>
      </c>
      <c r="BE11" s="15" t="s">
        <v>3070</v>
      </c>
      <c r="BF11" s="15" t="s">
        <v>3071</v>
      </c>
      <c r="BG11" s="18"/>
      <c r="BH11" s="18"/>
      <c r="BI11" s="15" t="s">
        <v>3072</v>
      </c>
      <c r="BJ11" s="19" t="s">
        <v>3073</v>
      </c>
      <c r="BK11" s="19" t="s">
        <v>3074</v>
      </c>
      <c r="BL11" s="18"/>
      <c r="BM11" s="18"/>
      <c r="BN11" s="18"/>
      <c r="BO11" s="19" t="s">
        <v>3075</v>
      </c>
      <c r="BP11" s="19" t="s">
        <v>3076</v>
      </c>
      <c r="BQ11" s="15" t="s">
        <v>451</v>
      </c>
      <c r="BR11" s="26"/>
      <c r="BS11" s="26"/>
      <c r="BT11" s="26"/>
      <c r="BU11" s="26"/>
      <c r="BV11" s="26"/>
      <c r="BW11" s="26"/>
      <c r="BX11" s="26"/>
      <c r="BY11" s="18" t="str">
        <f t="shared" si="2"/>
        <v>CHEM</v>
      </c>
      <c r="BZ11" s="18" t="str">
        <f t="shared" ref="BZ11:CA11" si="11">IF(ISBLANK(BU11), BL11, BU11)</f>
        <v/>
      </c>
      <c r="CA11" s="18" t="str">
        <f t="shared" si="11"/>
        <v/>
      </c>
      <c r="CB11" s="15" t="s">
        <v>2908</v>
      </c>
      <c r="CC11" s="15" t="s">
        <v>2908</v>
      </c>
      <c r="CD11" s="25" t="s">
        <v>2797</v>
      </c>
      <c r="CE11" s="18"/>
      <c r="CF11" s="18"/>
      <c r="CG11" s="18"/>
    </row>
    <row r="12" ht="18.75" hidden="1" customHeight="1">
      <c r="A12" s="14">
        <v>44737.40972015046</v>
      </c>
      <c r="B12" s="15" t="s">
        <v>1023</v>
      </c>
      <c r="C12" s="16" t="s">
        <v>3077</v>
      </c>
      <c r="D12" s="15" t="str">
        <f>IFERROR(__xludf.DUMMYFUNCTION("QUERY(TY_ALL_2023_Batch!$A$1:$E$824, ""SELECT E WHERE C='""&amp;B12&amp;""'"", 0)"),"CHEM")</f>
        <v>CHEM</v>
      </c>
      <c r="E12" s="15" t="s">
        <v>3078</v>
      </c>
      <c r="F12" s="15" t="s">
        <v>3079</v>
      </c>
      <c r="G12" s="15" t="s">
        <v>3080</v>
      </c>
      <c r="H12" s="15" t="s">
        <v>2785</v>
      </c>
      <c r="I12" s="17">
        <v>36944.0</v>
      </c>
      <c r="J12" s="15">
        <v>2020.0</v>
      </c>
      <c r="K12" s="15" t="s">
        <v>2941</v>
      </c>
      <c r="L12" s="15" t="s">
        <v>2787</v>
      </c>
      <c r="M12" s="18"/>
      <c r="N12" s="15" t="s">
        <v>3081</v>
      </c>
      <c r="O12" s="15" t="s">
        <v>1023</v>
      </c>
      <c r="P12" s="19" t="s">
        <v>3082</v>
      </c>
      <c r="Q12" s="15">
        <v>9.403485209E9</v>
      </c>
      <c r="R12" s="15">
        <v>7.775881196E9</v>
      </c>
      <c r="S12" s="15">
        <v>9.325346746E9</v>
      </c>
      <c r="T12" s="15" t="s">
        <v>3079</v>
      </c>
      <c r="U12" s="15" t="s">
        <v>3083</v>
      </c>
      <c r="V12" s="15" t="s">
        <v>3084</v>
      </c>
      <c r="W12" s="15" t="s">
        <v>3085</v>
      </c>
      <c r="X12" s="15">
        <v>57.0</v>
      </c>
      <c r="Y12" s="15" t="s">
        <v>2948</v>
      </c>
      <c r="Z12" s="15">
        <v>8.0</v>
      </c>
      <c r="AA12" s="15">
        <v>8.24</v>
      </c>
      <c r="AB12" s="15" t="s">
        <v>2796</v>
      </c>
      <c r="AC12" s="15" t="s">
        <v>2796</v>
      </c>
      <c r="AD12" s="15" t="s">
        <v>2796</v>
      </c>
      <c r="AE12" s="15" t="s">
        <v>2796</v>
      </c>
      <c r="AF12" s="18"/>
      <c r="AG12" s="18"/>
      <c r="AH12" s="18"/>
      <c r="AI12" s="15">
        <v>8.3</v>
      </c>
      <c r="AJ12" s="15" t="s">
        <v>2797</v>
      </c>
      <c r="AK12" s="15" t="s">
        <v>2787</v>
      </c>
      <c r="AL12" s="15" t="s">
        <v>2796</v>
      </c>
      <c r="AM12" s="15">
        <v>36.0</v>
      </c>
      <c r="AN12" s="15" t="s">
        <v>2797</v>
      </c>
      <c r="AO12" s="15" t="s">
        <v>2796</v>
      </c>
      <c r="AP12" s="15" t="s">
        <v>2796</v>
      </c>
      <c r="AQ12" s="15" t="s">
        <v>2796</v>
      </c>
      <c r="AR12" s="18"/>
      <c r="AS12" s="15" t="s">
        <v>3086</v>
      </c>
      <c r="AT12" s="18"/>
      <c r="AU12" s="18"/>
      <c r="AV12" s="18"/>
      <c r="AW12" s="15" t="s">
        <v>3087</v>
      </c>
      <c r="AX12" s="18"/>
      <c r="AY12" s="15" t="s">
        <v>3088</v>
      </c>
      <c r="AZ12" s="15" t="s">
        <v>2805</v>
      </c>
      <c r="BA12" s="15" t="s">
        <v>3089</v>
      </c>
      <c r="BB12" s="15" t="s">
        <v>2807</v>
      </c>
      <c r="BC12" s="15" t="s">
        <v>3090</v>
      </c>
      <c r="BD12" s="15" t="s">
        <v>2842</v>
      </c>
      <c r="BE12" s="15" t="s">
        <v>3091</v>
      </c>
      <c r="BF12" s="18"/>
      <c r="BG12" s="18"/>
      <c r="BH12" s="18"/>
      <c r="BI12" s="18"/>
      <c r="BJ12" s="19" t="s">
        <v>3092</v>
      </c>
      <c r="BK12" s="19" t="s">
        <v>3093</v>
      </c>
      <c r="BL12" s="18"/>
      <c r="BM12" s="18"/>
      <c r="BN12" s="18"/>
      <c r="BO12" s="19" t="s">
        <v>3094</v>
      </c>
      <c r="BP12" s="18"/>
      <c r="BQ12" s="15" t="s">
        <v>451</v>
      </c>
      <c r="BR12" s="18"/>
      <c r="BS12" s="18"/>
      <c r="BT12" s="18"/>
      <c r="BU12" s="18"/>
      <c r="BV12" s="18"/>
      <c r="BW12" s="15" t="s">
        <v>3095</v>
      </c>
      <c r="BX12" s="18"/>
      <c r="BY12" s="18" t="str">
        <f t="shared" si="2"/>
        <v>CHEM</v>
      </c>
      <c r="BZ12" s="18" t="str">
        <f t="shared" ref="BZ12:CA12" si="12">IF(ISBLANK(BU12), BL12, BU12)</f>
        <v/>
      </c>
      <c r="CA12" s="18" t="str">
        <f t="shared" si="12"/>
        <v/>
      </c>
      <c r="CB12" s="15" t="s">
        <v>2908</v>
      </c>
      <c r="CC12" s="15" t="s">
        <v>2908</v>
      </c>
      <c r="CD12" s="25" t="s">
        <v>2797</v>
      </c>
      <c r="CE12" s="18"/>
      <c r="CF12" s="18"/>
      <c r="CG12" s="18"/>
    </row>
    <row r="13" ht="18.75" hidden="1" customHeight="1">
      <c r="A13" s="14">
        <v>44745.58435107639</v>
      </c>
      <c r="B13" s="15" t="s">
        <v>489</v>
      </c>
      <c r="C13" s="16" t="s">
        <v>3096</v>
      </c>
      <c r="D13" s="15" t="str">
        <f>IFERROR(__xludf.DUMMYFUNCTION("QUERY(TY_ALL_2023_Batch!$A$1:$E$824, ""SELECT E WHERE C='""&amp;B13&amp;""'"", 0)"),"CHEM")</f>
        <v>CHEM</v>
      </c>
      <c r="E13" s="15" t="s">
        <v>3097</v>
      </c>
      <c r="F13" s="15" t="s">
        <v>3098</v>
      </c>
      <c r="G13" s="15" t="s">
        <v>3099</v>
      </c>
      <c r="H13" s="15" t="s">
        <v>2785</v>
      </c>
      <c r="I13" s="17">
        <v>37168.0</v>
      </c>
      <c r="J13" s="15">
        <v>2019.0</v>
      </c>
      <c r="K13" s="15" t="s">
        <v>2786</v>
      </c>
      <c r="L13" s="15" t="s">
        <v>2787</v>
      </c>
      <c r="M13" s="18"/>
      <c r="N13" s="15" t="s">
        <v>3100</v>
      </c>
      <c r="O13" s="15" t="s">
        <v>489</v>
      </c>
      <c r="P13" s="19" t="s">
        <v>3101</v>
      </c>
      <c r="Q13" s="15">
        <v>7.218737419E9</v>
      </c>
      <c r="R13" s="15">
        <v>7.218737419E9</v>
      </c>
      <c r="S13" s="15">
        <v>7.218737419E9</v>
      </c>
      <c r="T13" s="15" t="s">
        <v>3098</v>
      </c>
      <c r="U13" s="15" t="s">
        <v>3102</v>
      </c>
      <c r="V13" s="15" t="s">
        <v>3103</v>
      </c>
      <c r="W13" s="15" t="s">
        <v>3104</v>
      </c>
      <c r="X13" s="15">
        <v>76.6</v>
      </c>
      <c r="Y13" s="15" t="s">
        <v>2795</v>
      </c>
      <c r="Z13" s="15">
        <v>8.62</v>
      </c>
      <c r="AA13" s="15">
        <v>8.62</v>
      </c>
      <c r="AB13" s="15" t="s">
        <v>3005</v>
      </c>
      <c r="AC13" s="15" t="s">
        <v>3005</v>
      </c>
      <c r="AD13" s="15" t="s">
        <v>2796</v>
      </c>
      <c r="AE13" s="15" t="s">
        <v>2796</v>
      </c>
      <c r="AF13" s="15">
        <v>7.64</v>
      </c>
      <c r="AG13" s="15">
        <v>7.48</v>
      </c>
      <c r="AH13" s="15">
        <v>71.23</v>
      </c>
      <c r="AI13" s="18"/>
      <c r="AJ13" s="15" t="s">
        <v>2787</v>
      </c>
      <c r="AK13" s="15" t="s">
        <v>2787</v>
      </c>
      <c r="AL13" s="15">
        <v>575.0</v>
      </c>
      <c r="AM13" s="15">
        <v>598.33</v>
      </c>
      <c r="AN13" s="15" t="s">
        <v>2797</v>
      </c>
      <c r="AO13" s="15" t="s">
        <v>3005</v>
      </c>
      <c r="AP13" s="15" t="s">
        <v>3005</v>
      </c>
      <c r="AQ13" s="15" t="s">
        <v>3105</v>
      </c>
      <c r="AR13" s="15" t="s">
        <v>3106</v>
      </c>
      <c r="AS13" s="15" t="s">
        <v>3005</v>
      </c>
      <c r="AT13" s="15" t="s">
        <v>3005</v>
      </c>
      <c r="AU13" s="18"/>
      <c r="AV13" s="18"/>
      <c r="AW13" s="15" t="s">
        <v>3107</v>
      </c>
      <c r="AX13" s="18"/>
      <c r="AY13" s="15" t="s">
        <v>3108</v>
      </c>
      <c r="AZ13" s="15" t="s">
        <v>2805</v>
      </c>
      <c r="BA13" s="15" t="s">
        <v>2870</v>
      </c>
      <c r="BB13" s="15" t="s">
        <v>3109</v>
      </c>
      <c r="BC13" s="15" t="s">
        <v>3110</v>
      </c>
      <c r="BD13" s="15" t="s">
        <v>2842</v>
      </c>
      <c r="BE13" s="15" t="s">
        <v>3111</v>
      </c>
      <c r="BF13" s="18"/>
      <c r="BG13" s="18"/>
      <c r="BH13" s="18"/>
      <c r="BI13" s="18"/>
      <c r="BJ13" s="19" t="s">
        <v>3112</v>
      </c>
      <c r="BK13" s="19" t="s">
        <v>3113</v>
      </c>
      <c r="BL13" s="19" t="s">
        <v>3114</v>
      </c>
      <c r="BM13" s="19" t="s">
        <v>3115</v>
      </c>
      <c r="BN13" s="18"/>
      <c r="BO13" s="19" t="s">
        <v>3116</v>
      </c>
      <c r="BP13" s="18"/>
      <c r="BQ13" s="15" t="s">
        <v>451</v>
      </c>
      <c r="BR13" s="18"/>
      <c r="BS13" s="18"/>
      <c r="BT13" s="18"/>
      <c r="BU13" s="18"/>
      <c r="BV13" s="18"/>
      <c r="BW13" s="15" t="s">
        <v>3117</v>
      </c>
      <c r="BX13" s="18"/>
      <c r="BY13" s="18" t="str">
        <f t="shared" si="2"/>
        <v>CHEM</v>
      </c>
      <c r="BZ13" s="24" t="str">
        <f t="shared" ref="BZ13:CA13" si="13">IF(ISBLANK(BU13), BL13, BU13)</f>
        <v>https://drive.google.com/open?id=1Fc7ScvjNcn1wLhOSmslzhmMK13TnvjRp</v>
      </c>
      <c r="CA13" s="24" t="str">
        <f t="shared" si="13"/>
        <v>https://drive.google.com/open?id=1P7XyhErceNpdKpfFsoIr1LKevkCY40Hu</v>
      </c>
      <c r="CB13" s="15" t="s">
        <v>2821</v>
      </c>
      <c r="CC13" s="15" t="s">
        <v>2821</v>
      </c>
      <c r="CD13" s="25" t="s">
        <v>2797</v>
      </c>
      <c r="CE13" s="18"/>
      <c r="CF13" s="18"/>
      <c r="CG13" s="18"/>
    </row>
    <row r="14" ht="18.75" hidden="1" customHeight="1">
      <c r="A14" s="14">
        <v>44736.48529003472</v>
      </c>
      <c r="B14" s="15" t="s">
        <v>549</v>
      </c>
      <c r="C14" s="16" t="s">
        <v>3118</v>
      </c>
      <c r="D14" s="15" t="str">
        <f>IFERROR(__xludf.DUMMYFUNCTION("QUERY(TY_ALL_2023_Batch!$A$1:$E$824, ""SELECT E WHERE C='""&amp;B14&amp;""'"", 0)"),"CHEM")</f>
        <v>CHEM</v>
      </c>
      <c r="E14" s="15" t="s">
        <v>3119</v>
      </c>
      <c r="F14" s="15" t="s">
        <v>2972</v>
      </c>
      <c r="G14" s="15" t="s">
        <v>3120</v>
      </c>
      <c r="H14" s="15" t="s">
        <v>2785</v>
      </c>
      <c r="I14" s="17">
        <v>37139.0</v>
      </c>
      <c r="J14" s="15">
        <v>2019.0</v>
      </c>
      <c r="K14" s="15" t="s">
        <v>2786</v>
      </c>
      <c r="L14" s="15" t="s">
        <v>2787</v>
      </c>
      <c r="M14" s="18"/>
      <c r="N14" s="15" t="s">
        <v>3121</v>
      </c>
      <c r="O14" s="15" t="s">
        <v>549</v>
      </c>
      <c r="P14" s="19" t="s">
        <v>3122</v>
      </c>
      <c r="Q14" s="15">
        <v>7.666658902E9</v>
      </c>
      <c r="R14" s="15">
        <v>8.806914678E9</v>
      </c>
      <c r="S14" s="18"/>
      <c r="T14" s="15" t="s">
        <v>3123</v>
      </c>
      <c r="U14" s="15" t="s">
        <v>3124</v>
      </c>
      <c r="V14" s="15" t="s">
        <v>3125</v>
      </c>
      <c r="W14" s="18"/>
      <c r="X14" s="15">
        <v>82.0</v>
      </c>
      <c r="Y14" s="15" t="s">
        <v>2795</v>
      </c>
      <c r="Z14" s="15">
        <v>6.8</v>
      </c>
      <c r="AA14" s="15">
        <v>7.0</v>
      </c>
      <c r="AB14" s="15" t="s">
        <v>2796</v>
      </c>
      <c r="AC14" s="15" t="s">
        <v>2796</v>
      </c>
      <c r="AD14" s="15" t="s">
        <v>2796</v>
      </c>
      <c r="AE14" s="15" t="s">
        <v>2796</v>
      </c>
      <c r="AF14" s="15">
        <v>7.6</v>
      </c>
      <c r="AG14" s="15">
        <v>7.8</v>
      </c>
      <c r="AH14" s="15">
        <v>73.0</v>
      </c>
      <c r="AI14" s="18"/>
      <c r="AJ14" s="15" t="s">
        <v>2797</v>
      </c>
      <c r="AK14" s="15" t="s">
        <v>2787</v>
      </c>
      <c r="AL14" s="15" t="s">
        <v>3126</v>
      </c>
      <c r="AM14" s="29">
        <v>5.70550535E8</v>
      </c>
      <c r="AN14" s="15" t="s">
        <v>2797</v>
      </c>
      <c r="AO14" s="18"/>
      <c r="AP14" s="18"/>
      <c r="AQ14" s="15" t="s">
        <v>3127</v>
      </c>
      <c r="AR14" s="18"/>
      <c r="AS14" s="18"/>
      <c r="AT14" s="18"/>
      <c r="AU14" s="15" t="s">
        <v>3128</v>
      </c>
      <c r="AV14" s="15" t="s">
        <v>3129</v>
      </c>
      <c r="AW14" s="15" t="s">
        <v>3130</v>
      </c>
      <c r="AX14" s="18"/>
      <c r="AY14" s="15" t="s">
        <v>3131</v>
      </c>
      <c r="AZ14" s="15" t="s">
        <v>2805</v>
      </c>
      <c r="BA14" s="15" t="s">
        <v>2899</v>
      </c>
      <c r="BB14" s="15" t="s">
        <v>2807</v>
      </c>
      <c r="BC14" s="15" t="s">
        <v>3132</v>
      </c>
      <c r="BD14" s="15" t="s">
        <v>2807</v>
      </c>
      <c r="BE14" s="15" t="s">
        <v>3133</v>
      </c>
      <c r="BF14" s="18"/>
      <c r="BG14" s="15" t="s">
        <v>3134</v>
      </c>
      <c r="BH14" s="18"/>
      <c r="BI14" s="15" t="s">
        <v>3135</v>
      </c>
      <c r="BJ14" s="19" t="s">
        <v>3136</v>
      </c>
      <c r="BK14" s="19" t="s">
        <v>3137</v>
      </c>
      <c r="BL14" s="18"/>
      <c r="BM14" s="18"/>
      <c r="BN14" s="19" t="s">
        <v>3138</v>
      </c>
      <c r="BO14" s="19" t="s">
        <v>3139</v>
      </c>
      <c r="BP14" s="18"/>
      <c r="BQ14" s="15" t="s">
        <v>451</v>
      </c>
      <c r="BR14" s="26"/>
      <c r="BS14" s="26"/>
      <c r="BT14" s="26"/>
      <c r="BU14" s="26"/>
      <c r="BV14" s="26"/>
      <c r="BW14" s="26"/>
      <c r="BX14" s="26"/>
      <c r="BY14" s="18" t="str">
        <f t="shared" si="2"/>
        <v>CHEM</v>
      </c>
      <c r="BZ14" s="18" t="str">
        <f t="shared" ref="BZ14:CA14" si="14">IF(ISBLANK(BU14), BL14, BU14)</f>
        <v/>
      </c>
      <c r="CA14" s="18" t="str">
        <f t="shared" si="14"/>
        <v/>
      </c>
      <c r="CB14" s="15" t="s">
        <v>2908</v>
      </c>
      <c r="CC14" s="15" t="s">
        <v>2908</v>
      </c>
      <c r="CD14" s="25" t="s">
        <v>2797</v>
      </c>
      <c r="CE14" s="18"/>
      <c r="CF14" s="18"/>
      <c r="CG14" s="18"/>
    </row>
    <row r="15" ht="18.75" hidden="1" customHeight="1">
      <c r="A15" s="14">
        <v>44743.123050787035</v>
      </c>
      <c r="B15" s="15" t="s">
        <v>1005</v>
      </c>
      <c r="C15" s="16" t="s">
        <v>3140</v>
      </c>
      <c r="D15" s="15" t="str">
        <f>IFERROR(__xludf.DUMMYFUNCTION("QUERY(TY_ALL_2023_Batch!$A$1:$E$824, ""SELECT E WHERE C='""&amp;B15&amp;""'"", 0)"),"CHEM")</f>
        <v>CHEM</v>
      </c>
      <c r="E15" s="15" t="s">
        <v>3141</v>
      </c>
      <c r="F15" s="15" t="s">
        <v>3142</v>
      </c>
      <c r="G15" s="15" t="s">
        <v>3143</v>
      </c>
      <c r="H15" s="15" t="s">
        <v>2826</v>
      </c>
      <c r="I15" s="17">
        <v>37221.0</v>
      </c>
      <c r="J15" s="15">
        <v>2020.0</v>
      </c>
      <c r="K15" s="15" t="s">
        <v>2941</v>
      </c>
      <c r="L15" s="15" t="s">
        <v>2787</v>
      </c>
      <c r="M15" s="18"/>
      <c r="N15" s="15" t="s">
        <v>3144</v>
      </c>
      <c r="O15" s="15" t="s">
        <v>3145</v>
      </c>
      <c r="P15" s="19" t="s">
        <v>3146</v>
      </c>
      <c r="Q15" s="15">
        <v>8.600917168E9</v>
      </c>
      <c r="R15" s="15">
        <v>8.600917168E9</v>
      </c>
      <c r="S15" s="15">
        <v>9.834948524E9</v>
      </c>
      <c r="T15" s="15" t="s">
        <v>3142</v>
      </c>
      <c r="U15" s="15" t="s">
        <v>3147</v>
      </c>
      <c r="V15" s="15" t="s">
        <v>3148</v>
      </c>
      <c r="W15" s="15" t="s">
        <v>3149</v>
      </c>
      <c r="X15" s="15">
        <v>79.8</v>
      </c>
      <c r="Y15" s="15" t="s">
        <v>2948</v>
      </c>
      <c r="Z15" s="15">
        <v>8.48</v>
      </c>
      <c r="AA15" s="15">
        <v>8.1</v>
      </c>
      <c r="AB15" s="15" t="s">
        <v>2796</v>
      </c>
      <c r="AC15" s="15" t="s">
        <v>2796</v>
      </c>
      <c r="AD15" s="15" t="s">
        <v>2796</v>
      </c>
      <c r="AE15" s="15" t="s">
        <v>2796</v>
      </c>
      <c r="AF15" s="18"/>
      <c r="AG15" s="18"/>
      <c r="AH15" s="18"/>
      <c r="AI15" s="15">
        <v>82.5</v>
      </c>
      <c r="AJ15" s="15" t="s">
        <v>2787</v>
      </c>
      <c r="AK15" s="15" t="s">
        <v>2787</v>
      </c>
      <c r="AL15" s="15">
        <v>490.0</v>
      </c>
      <c r="AM15" s="15">
        <v>371.66</v>
      </c>
      <c r="AN15" s="15" t="s">
        <v>2797</v>
      </c>
      <c r="AO15" s="15" t="s">
        <v>2796</v>
      </c>
      <c r="AP15" s="15" t="s">
        <v>2796</v>
      </c>
      <c r="AQ15" s="15" t="s">
        <v>2787</v>
      </c>
      <c r="AR15" s="18"/>
      <c r="AS15" s="15"/>
      <c r="AT15" s="18"/>
      <c r="AU15" s="15" t="s">
        <v>2796</v>
      </c>
      <c r="AV15" s="15" t="s">
        <v>3005</v>
      </c>
      <c r="AW15" s="15" t="s">
        <v>3150</v>
      </c>
      <c r="AX15" s="18"/>
      <c r="AY15" s="15" t="s">
        <v>3151</v>
      </c>
      <c r="AZ15" s="15" t="s">
        <v>2805</v>
      </c>
      <c r="BA15" s="15" t="s">
        <v>2870</v>
      </c>
      <c r="BB15" s="15" t="s">
        <v>2807</v>
      </c>
      <c r="BC15" s="15" t="s">
        <v>3152</v>
      </c>
      <c r="BD15" s="15" t="s">
        <v>2807</v>
      </c>
      <c r="BE15" s="15" t="s">
        <v>3005</v>
      </c>
      <c r="BF15" s="15" t="s">
        <v>3153</v>
      </c>
      <c r="BG15" s="18"/>
      <c r="BH15" s="18"/>
      <c r="BI15" s="15" t="s">
        <v>3154</v>
      </c>
      <c r="BJ15" s="19" t="s">
        <v>3155</v>
      </c>
      <c r="BK15" s="19" t="s">
        <v>3156</v>
      </c>
      <c r="BL15" s="19" t="s">
        <v>3157</v>
      </c>
      <c r="BM15" s="18"/>
      <c r="BN15" s="18"/>
      <c r="BO15" s="19" t="s">
        <v>3158</v>
      </c>
      <c r="BP15" s="18"/>
      <c r="BQ15" s="15" t="s">
        <v>451</v>
      </c>
      <c r="BR15" s="26"/>
      <c r="BS15" s="19" t="s">
        <v>3159</v>
      </c>
      <c r="BT15" s="19" t="s">
        <v>3160</v>
      </c>
      <c r="BU15" s="19" t="s">
        <v>3161</v>
      </c>
      <c r="BV15" s="19" t="s">
        <v>3162</v>
      </c>
      <c r="BW15" s="15" t="s">
        <v>3163</v>
      </c>
      <c r="BX15" s="26"/>
      <c r="BY15" s="18" t="str">
        <f t="shared" si="2"/>
        <v>CHEM</v>
      </c>
      <c r="BZ15" s="24" t="str">
        <f t="shared" ref="BZ15:CA15" si="15">IF(ISBLANK(BU15), BL15, BU15)</f>
        <v>https://drive.google.com/open?id=1Mnd1CLht39bf9DpJDCGSP34HQNYKZZ3a</v>
      </c>
      <c r="CA15" s="24" t="str">
        <f t="shared" si="15"/>
        <v>https://drive.google.com/open?id=1MbNuN1N2ZPwCjcXNmgPRrMZLjf4bMbbS</v>
      </c>
      <c r="CB15" s="15" t="s">
        <v>2821</v>
      </c>
      <c r="CC15" s="15" t="s">
        <v>2908</v>
      </c>
      <c r="CD15" s="25" t="s">
        <v>2909</v>
      </c>
      <c r="CE15" s="18"/>
      <c r="CF15" s="18"/>
      <c r="CG15" s="18"/>
    </row>
    <row r="16" ht="18.75" hidden="1" customHeight="1">
      <c r="A16" s="14">
        <v>44736.34799314815</v>
      </c>
      <c r="B16" s="15" t="s">
        <v>480</v>
      </c>
      <c r="C16" s="16" t="s">
        <v>3164</v>
      </c>
      <c r="D16" s="15" t="str">
        <f>IFERROR(__xludf.DUMMYFUNCTION("QUERY(TY_ALL_2023_Batch!$A$1:$E$824, ""SELECT E WHERE C='""&amp;B16&amp;""'"", 0)"),"CHEM")</f>
        <v>CHEM</v>
      </c>
      <c r="E16" s="15" t="s">
        <v>3165</v>
      </c>
      <c r="F16" s="15" t="s">
        <v>3166</v>
      </c>
      <c r="G16" s="15" t="s">
        <v>3167</v>
      </c>
      <c r="H16" s="15" t="s">
        <v>2785</v>
      </c>
      <c r="I16" s="17">
        <v>37265.0</v>
      </c>
      <c r="J16" s="15">
        <v>2019.0</v>
      </c>
      <c r="K16" s="15" t="s">
        <v>2786</v>
      </c>
      <c r="L16" s="15" t="s">
        <v>2787</v>
      </c>
      <c r="M16" s="18"/>
      <c r="N16" s="15" t="s">
        <v>3168</v>
      </c>
      <c r="O16" s="15" t="s">
        <v>480</v>
      </c>
      <c r="P16" s="19" t="s">
        <v>3169</v>
      </c>
      <c r="Q16" s="15">
        <v>8.080155492E9</v>
      </c>
      <c r="R16" s="15">
        <v>8.080155492E9</v>
      </c>
      <c r="S16" s="15">
        <v>7.391930541E9</v>
      </c>
      <c r="T16" s="15" t="s">
        <v>3170</v>
      </c>
      <c r="U16" s="15" t="s">
        <v>3171</v>
      </c>
      <c r="V16" s="15" t="s">
        <v>3172</v>
      </c>
      <c r="W16" s="15" t="s">
        <v>3173</v>
      </c>
      <c r="X16" s="15">
        <v>94.0</v>
      </c>
      <c r="Y16" s="15" t="s">
        <v>2795</v>
      </c>
      <c r="Z16" s="15">
        <v>8.95</v>
      </c>
      <c r="AA16" s="15">
        <v>9.19</v>
      </c>
      <c r="AB16" s="15" t="s">
        <v>2796</v>
      </c>
      <c r="AC16" s="15" t="s">
        <v>2796</v>
      </c>
      <c r="AD16" s="15" t="s">
        <v>2796</v>
      </c>
      <c r="AE16" s="15" t="s">
        <v>2796</v>
      </c>
      <c r="AF16" s="15">
        <v>8.21</v>
      </c>
      <c r="AG16" s="15">
        <v>8.43</v>
      </c>
      <c r="AH16" s="15">
        <v>79.0</v>
      </c>
      <c r="AI16" s="18"/>
      <c r="AJ16" s="15" t="s">
        <v>2787</v>
      </c>
      <c r="AK16" s="15" t="s">
        <v>2787</v>
      </c>
      <c r="AL16" s="15">
        <v>627.0</v>
      </c>
      <c r="AM16" s="15">
        <v>685.0</v>
      </c>
      <c r="AN16" s="15" t="s">
        <v>2797</v>
      </c>
      <c r="AO16" s="18"/>
      <c r="AP16" s="18"/>
      <c r="AQ16" s="15" t="s">
        <v>3174</v>
      </c>
      <c r="AR16" s="18"/>
      <c r="AS16" s="18"/>
      <c r="AT16" s="18"/>
      <c r="AU16" s="15" t="s">
        <v>3175</v>
      </c>
      <c r="AV16" s="15" t="s">
        <v>3176</v>
      </c>
      <c r="AW16" s="15" t="s">
        <v>3177</v>
      </c>
      <c r="AX16" s="18"/>
      <c r="AY16" s="15" t="s">
        <v>3178</v>
      </c>
      <c r="AZ16" s="15" t="s">
        <v>3179</v>
      </c>
      <c r="BA16" s="15" t="s">
        <v>2870</v>
      </c>
      <c r="BB16" s="15" t="s">
        <v>2807</v>
      </c>
      <c r="BC16" s="15" t="s">
        <v>3180</v>
      </c>
      <c r="BD16" s="15" t="s">
        <v>2807</v>
      </c>
      <c r="BE16" s="15" t="s">
        <v>3181</v>
      </c>
      <c r="BF16" s="18"/>
      <c r="BG16" s="15" t="s">
        <v>3182</v>
      </c>
      <c r="BH16" s="18"/>
      <c r="BI16" s="15" t="s">
        <v>3183</v>
      </c>
      <c r="BJ16" s="19" t="s">
        <v>3184</v>
      </c>
      <c r="BK16" s="19" t="s">
        <v>3185</v>
      </c>
      <c r="BL16" s="19" t="s">
        <v>3186</v>
      </c>
      <c r="BM16" s="19" t="s">
        <v>3187</v>
      </c>
      <c r="BN16" s="19" t="s">
        <v>3188</v>
      </c>
      <c r="BO16" s="19" t="s">
        <v>3189</v>
      </c>
      <c r="BP16" s="19" t="s">
        <v>3190</v>
      </c>
      <c r="BQ16" s="15" t="s">
        <v>451</v>
      </c>
      <c r="BR16" s="26"/>
      <c r="BS16" s="26"/>
      <c r="BT16" s="26"/>
      <c r="BU16" s="26"/>
      <c r="BV16" s="26"/>
      <c r="BW16" s="26"/>
      <c r="BX16" s="26"/>
      <c r="BY16" s="18" t="str">
        <f t="shared" si="2"/>
        <v>CHEM</v>
      </c>
      <c r="BZ16" s="24" t="str">
        <f t="shared" ref="BZ16:CA16" si="16">IF(ISBLANK(BU16), BL16, BU16)</f>
        <v>https://drive.google.com/open?id=1dkjXD-sVGOKaSSmiwEPhYUx11vKZDmtQ</v>
      </c>
      <c r="CA16" s="24" t="str">
        <f t="shared" si="16"/>
        <v>https://drive.google.com/open?id=103pgvfoNJs2ZlmaLmyBezcePa-ag6VM-</v>
      </c>
      <c r="CB16" s="15" t="s">
        <v>2821</v>
      </c>
      <c r="CC16" s="15" t="s">
        <v>2821</v>
      </c>
      <c r="CD16" s="25" t="s">
        <v>2797</v>
      </c>
      <c r="CE16" s="18"/>
      <c r="CF16" s="18"/>
      <c r="CG16" s="18"/>
    </row>
    <row r="17" ht="18.75" hidden="1" customHeight="1">
      <c r="A17" s="14">
        <v>44734.51676438657</v>
      </c>
      <c r="B17" s="15" t="s">
        <v>543</v>
      </c>
      <c r="C17" s="16" t="s">
        <v>3191</v>
      </c>
      <c r="D17" s="15" t="str">
        <f>IFERROR(__xludf.DUMMYFUNCTION("QUERY(TY_ALL_2023_Batch!$A$1:$E$824, ""SELECT E WHERE C='""&amp;B17&amp;""'"", 0)"),"CHEM")</f>
        <v>CHEM</v>
      </c>
      <c r="E17" s="15" t="s">
        <v>3192</v>
      </c>
      <c r="F17" s="15" t="s">
        <v>3193</v>
      </c>
      <c r="G17" s="15" t="s">
        <v>3194</v>
      </c>
      <c r="H17" s="15" t="s">
        <v>2785</v>
      </c>
      <c r="I17" s="17">
        <v>37050.0</v>
      </c>
      <c r="J17" s="15">
        <v>2019.0</v>
      </c>
      <c r="K17" s="15" t="s">
        <v>2786</v>
      </c>
      <c r="L17" s="15" t="s">
        <v>2787</v>
      </c>
      <c r="M17" s="18"/>
      <c r="N17" s="15" t="s">
        <v>3195</v>
      </c>
      <c r="O17" s="15" t="s">
        <v>3196</v>
      </c>
      <c r="P17" s="19" t="s">
        <v>3197</v>
      </c>
      <c r="Q17" s="15">
        <v>9.960083392E9</v>
      </c>
      <c r="R17" s="15">
        <v>9.960083392E9</v>
      </c>
      <c r="S17" s="15">
        <v>9.28459551E9</v>
      </c>
      <c r="T17" s="15" t="s">
        <v>3198</v>
      </c>
      <c r="U17" s="15" t="s">
        <v>3199</v>
      </c>
      <c r="V17" s="15" t="s">
        <v>3200</v>
      </c>
      <c r="W17" s="18"/>
      <c r="X17" s="15">
        <v>92.0</v>
      </c>
      <c r="Y17" s="15" t="s">
        <v>2795</v>
      </c>
      <c r="Z17" s="15">
        <v>9.43</v>
      </c>
      <c r="AA17" s="15">
        <v>9.62</v>
      </c>
      <c r="AB17" s="15" t="s">
        <v>2796</v>
      </c>
      <c r="AC17" s="15" t="s">
        <v>2796</v>
      </c>
      <c r="AD17" s="15" t="s">
        <v>2796</v>
      </c>
      <c r="AE17" s="15" t="s">
        <v>2796</v>
      </c>
      <c r="AF17" s="15">
        <v>7.74</v>
      </c>
      <c r="AG17" s="15">
        <v>8.62</v>
      </c>
      <c r="AH17" s="15">
        <v>73.38</v>
      </c>
      <c r="AI17" s="18"/>
      <c r="AJ17" s="15" t="s">
        <v>2787</v>
      </c>
      <c r="AK17" s="15" t="s">
        <v>2787</v>
      </c>
      <c r="AL17" s="15">
        <v>630.0</v>
      </c>
      <c r="AM17" s="15">
        <v>650.0</v>
      </c>
      <c r="AN17" s="15" t="s">
        <v>2787</v>
      </c>
      <c r="AO17" s="18"/>
      <c r="AP17" s="15" t="s">
        <v>3201</v>
      </c>
      <c r="AQ17" s="15" t="s">
        <v>3202</v>
      </c>
      <c r="AR17" s="15" t="s">
        <v>3203</v>
      </c>
      <c r="AS17" s="15" t="s">
        <v>3204</v>
      </c>
      <c r="AT17" s="18"/>
      <c r="AU17" s="15" t="s">
        <v>3205</v>
      </c>
      <c r="AV17" s="15" t="s">
        <v>3206</v>
      </c>
      <c r="AW17" s="15" t="s">
        <v>3207</v>
      </c>
      <c r="AX17" s="15" t="s">
        <v>3208</v>
      </c>
      <c r="AY17" s="15" t="s">
        <v>3209</v>
      </c>
      <c r="AZ17" s="15" t="s">
        <v>2805</v>
      </c>
      <c r="BA17" s="15" t="s">
        <v>3210</v>
      </c>
      <c r="BB17" s="15" t="s">
        <v>3109</v>
      </c>
      <c r="BC17" s="15" t="s">
        <v>3211</v>
      </c>
      <c r="BD17" s="15" t="s">
        <v>2807</v>
      </c>
      <c r="BE17" s="15" t="s">
        <v>3212</v>
      </c>
      <c r="BF17" s="15" t="s">
        <v>3213</v>
      </c>
      <c r="BG17" s="18"/>
      <c r="BH17" s="15" t="s">
        <v>3214</v>
      </c>
      <c r="BI17" s="15" t="s">
        <v>3215</v>
      </c>
      <c r="BJ17" s="19" t="s">
        <v>3216</v>
      </c>
      <c r="BK17" s="19" t="s">
        <v>3217</v>
      </c>
      <c r="BL17" s="19" t="s">
        <v>3218</v>
      </c>
      <c r="BM17" s="18"/>
      <c r="BN17" s="19" t="s">
        <v>3219</v>
      </c>
      <c r="BO17" s="19" t="s">
        <v>3220</v>
      </c>
      <c r="BP17" s="19" t="s">
        <v>3221</v>
      </c>
      <c r="BQ17" s="15" t="s">
        <v>451</v>
      </c>
      <c r="BR17" s="26"/>
      <c r="BS17" s="26"/>
      <c r="BT17" s="26"/>
      <c r="BU17" s="26"/>
      <c r="BV17" s="26"/>
      <c r="BW17" s="26"/>
      <c r="BX17" s="26"/>
      <c r="BY17" s="18" t="str">
        <f t="shared" si="2"/>
        <v>CHEM</v>
      </c>
      <c r="BZ17" s="24" t="str">
        <f t="shared" ref="BZ17:CA17" si="17">IF(ISBLANK(BU17), BL17, BU17)</f>
        <v>https://drive.google.com/open?id=12TbaA5bN97wUAmnRwPy6KTj3sFoxi91Y</v>
      </c>
      <c r="CA17" s="18" t="str">
        <f t="shared" si="17"/>
        <v/>
      </c>
      <c r="CB17" s="15" t="s">
        <v>2821</v>
      </c>
      <c r="CC17" s="15" t="s">
        <v>2908</v>
      </c>
      <c r="CD17" s="25" t="s">
        <v>2797</v>
      </c>
      <c r="CE17" s="18"/>
      <c r="CF17" s="18"/>
      <c r="CG17" s="18"/>
    </row>
    <row r="18" ht="18.75" hidden="1" customHeight="1">
      <c r="A18" s="14">
        <v>44740.434257754634</v>
      </c>
      <c r="B18" s="15" t="s">
        <v>495</v>
      </c>
      <c r="C18" s="16" t="s">
        <v>3222</v>
      </c>
      <c r="D18" s="15" t="str">
        <f>IFERROR(__xludf.DUMMYFUNCTION("QUERY(TY_ALL_2023_Batch!$A$1:$E$824, ""SELECT E WHERE C='""&amp;B18&amp;""'"", 0)"),"CHEM")</f>
        <v>CHEM</v>
      </c>
      <c r="E18" s="15" t="s">
        <v>3223</v>
      </c>
      <c r="F18" s="15" t="s">
        <v>2972</v>
      </c>
      <c r="G18" s="15" t="s">
        <v>3224</v>
      </c>
      <c r="H18" s="15" t="s">
        <v>2785</v>
      </c>
      <c r="I18" s="17">
        <v>36912.0</v>
      </c>
      <c r="J18" s="15">
        <v>2019.0</v>
      </c>
      <c r="K18" s="15" t="s">
        <v>2786</v>
      </c>
      <c r="L18" s="15" t="s">
        <v>2787</v>
      </c>
      <c r="M18" s="18"/>
      <c r="N18" s="15" t="s">
        <v>3225</v>
      </c>
      <c r="O18" s="15" t="s">
        <v>495</v>
      </c>
      <c r="P18" s="19" t="s">
        <v>3226</v>
      </c>
      <c r="Q18" s="15">
        <v>9.06779159E9</v>
      </c>
      <c r="R18" s="15">
        <v>9.06779159E9</v>
      </c>
      <c r="S18" s="15">
        <v>9.404235782E9</v>
      </c>
      <c r="T18" s="15" t="s">
        <v>2972</v>
      </c>
      <c r="U18" s="15" t="s">
        <v>3227</v>
      </c>
      <c r="V18" s="15" t="s">
        <v>3228</v>
      </c>
      <c r="W18" s="15" t="s">
        <v>3229</v>
      </c>
      <c r="X18" s="15">
        <v>94.0</v>
      </c>
      <c r="Y18" s="15" t="s">
        <v>2795</v>
      </c>
      <c r="Z18" s="15">
        <v>9.0</v>
      </c>
      <c r="AA18" s="15">
        <v>9.33</v>
      </c>
      <c r="AB18" s="15" t="s">
        <v>2796</v>
      </c>
      <c r="AC18" s="15" t="s">
        <v>2796</v>
      </c>
      <c r="AD18" s="15" t="s">
        <v>2796</v>
      </c>
      <c r="AE18" s="15" t="s">
        <v>2796</v>
      </c>
      <c r="AF18" s="15">
        <v>8.47</v>
      </c>
      <c r="AG18" s="15">
        <v>8.1</v>
      </c>
      <c r="AH18" s="15">
        <v>79.84</v>
      </c>
      <c r="AI18" s="18"/>
      <c r="AJ18" s="15" t="s">
        <v>2787</v>
      </c>
      <c r="AK18" s="15" t="s">
        <v>2787</v>
      </c>
      <c r="AL18" s="18"/>
      <c r="AM18" s="15">
        <v>650.0</v>
      </c>
      <c r="AN18" s="15" t="s">
        <v>2787</v>
      </c>
      <c r="AO18" s="15" t="s">
        <v>3230</v>
      </c>
      <c r="AP18" s="15" t="s">
        <v>3231</v>
      </c>
      <c r="AQ18" s="15" t="s">
        <v>3232</v>
      </c>
      <c r="AR18" s="18"/>
      <c r="AS18" s="18"/>
      <c r="AT18" s="18"/>
      <c r="AU18" s="15" t="s">
        <v>3233</v>
      </c>
      <c r="AV18" s="15" t="s">
        <v>3234</v>
      </c>
      <c r="AW18" s="15" t="s">
        <v>3235</v>
      </c>
      <c r="AX18" s="18"/>
      <c r="AY18" s="15" t="s">
        <v>3236</v>
      </c>
      <c r="AZ18" s="15" t="s">
        <v>3179</v>
      </c>
      <c r="BA18" s="15" t="s">
        <v>2870</v>
      </c>
      <c r="BB18" s="15" t="s">
        <v>2807</v>
      </c>
      <c r="BC18" s="15" t="s">
        <v>3132</v>
      </c>
      <c r="BD18" s="15" t="s">
        <v>2807</v>
      </c>
      <c r="BE18" s="15" t="s">
        <v>3237</v>
      </c>
      <c r="BF18" s="18"/>
      <c r="BG18" s="18"/>
      <c r="BH18" s="18"/>
      <c r="BI18" s="15" t="s">
        <v>3238</v>
      </c>
      <c r="BJ18" s="19" t="s">
        <v>3239</v>
      </c>
      <c r="BK18" s="19" t="s">
        <v>3240</v>
      </c>
      <c r="BL18" s="18"/>
      <c r="BM18" s="19" t="s">
        <v>3241</v>
      </c>
      <c r="BN18" s="18"/>
      <c r="BO18" s="19" t="s">
        <v>3242</v>
      </c>
      <c r="BP18" s="18"/>
      <c r="BQ18" s="15" t="s">
        <v>451</v>
      </c>
      <c r="BR18" s="26"/>
      <c r="BS18" s="19" t="s">
        <v>3243</v>
      </c>
      <c r="BT18" s="26"/>
      <c r="BU18" s="26"/>
      <c r="BV18" s="26"/>
      <c r="BW18" s="15" t="s">
        <v>3244</v>
      </c>
      <c r="BX18" s="26"/>
      <c r="BY18" s="18" t="str">
        <f t="shared" si="2"/>
        <v>CHEM</v>
      </c>
      <c r="BZ18" s="18" t="str">
        <f t="shared" ref="BZ18:CA18" si="18">IF(ISBLANK(BU18), BL18, BU18)</f>
        <v/>
      </c>
      <c r="CA18" s="24" t="str">
        <f t="shared" si="18"/>
        <v>https://drive.google.com/open?id=1lfIHDGjeb4M6_jc6OvsrpBkNTKhzXDKj</v>
      </c>
      <c r="CB18" s="15" t="s">
        <v>2908</v>
      </c>
      <c r="CC18" s="15" t="s">
        <v>2821</v>
      </c>
      <c r="CD18" s="25" t="s">
        <v>2797</v>
      </c>
      <c r="CE18" s="18"/>
      <c r="CF18" s="18"/>
      <c r="CG18" s="18"/>
    </row>
    <row r="19" ht="18.75" hidden="1" customHeight="1">
      <c r="A19" s="14">
        <v>44743.62389743056</v>
      </c>
      <c r="B19" s="15" t="s">
        <v>492</v>
      </c>
      <c r="C19" s="16" t="s">
        <v>3245</v>
      </c>
      <c r="D19" s="15" t="str">
        <f>IFERROR(__xludf.DUMMYFUNCTION("QUERY(TY_ALL_2023_Batch!$A$1:$E$824, ""SELECT E WHERE C='""&amp;B19&amp;""'"", 0)"),"CHEM")</f>
        <v>CHEM</v>
      </c>
      <c r="E19" s="15" t="s">
        <v>3246</v>
      </c>
      <c r="F19" s="15" t="s">
        <v>3247</v>
      </c>
      <c r="G19" s="15" t="s">
        <v>3248</v>
      </c>
      <c r="H19" s="15" t="s">
        <v>2785</v>
      </c>
      <c r="I19" s="17">
        <v>37026.0</v>
      </c>
      <c r="J19" s="15">
        <v>2019.0</v>
      </c>
      <c r="K19" s="15" t="s">
        <v>2786</v>
      </c>
      <c r="L19" s="15" t="s">
        <v>2787</v>
      </c>
      <c r="M19" s="18"/>
      <c r="N19" s="15" t="s">
        <v>3249</v>
      </c>
      <c r="O19" s="15" t="s">
        <v>492</v>
      </c>
      <c r="P19" s="19" t="s">
        <v>3250</v>
      </c>
      <c r="Q19" s="15">
        <v>7.84196745E9</v>
      </c>
      <c r="R19" s="15">
        <v>7.84196745E9</v>
      </c>
      <c r="S19" s="18"/>
      <c r="T19" s="15" t="s">
        <v>3251</v>
      </c>
      <c r="U19" s="15" t="s">
        <v>3252</v>
      </c>
      <c r="V19" s="15" t="s">
        <v>3253</v>
      </c>
      <c r="W19" s="18"/>
      <c r="X19" s="15">
        <v>81.7</v>
      </c>
      <c r="Y19" s="15" t="s">
        <v>2795</v>
      </c>
      <c r="Z19" s="15">
        <v>6.43</v>
      </c>
      <c r="AA19" s="15">
        <v>8.0</v>
      </c>
      <c r="AB19" s="15" t="s">
        <v>2796</v>
      </c>
      <c r="AC19" s="15" t="s">
        <v>2796</v>
      </c>
      <c r="AD19" s="15" t="s">
        <v>2796</v>
      </c>
      <c r="AE19" s="15" t="s">
        <v>2796</v>
      </c>
      <c r="AF19" s="15">
        <v>8.21</v>
      </c>
      <c r="AG19" s="15">
        <v>7.19</v>
      </c>
      <c r="AH19" s="15">
        <v>70.92</v>
      </c>
      <c r="AI19" s="18"/>
      <c r="AJ19" s="15" t="s">
        <v>2787</v>
      </c>
      <c r="AK19" s="15" t="s">
        <v>2787</v>
      </c>
      <c r="AL19" s="18"/>
      <c r="AM19" s="18"/>
      <c r="AN19" s="15" t="s">
        <v>2787</v>
      </c>
      <c r="AO19" s="15" t="s">
        <v>3254</v>
      </c>
      <c r="AP19" s="18"/>
      <c r="AQ19" s="15" t="s">
        <v>3255</v>
      </c>
      <c r="AR19" s="18"/>
      <c r="AS19" s="15"/>
      <c r="AT19" s="18"/>
      <c r="AU19" s="15" t="s">
        <v>3256</v>
      </c>
      <c r="AV19" s="15" t="s">
        <v>3257</v>
      </c>
      <c r="AW19" s="15" t="s">
        <v>3258</v>
      </c>
      <c r="AX19" s="18"/>
      <c r="AY19" s="15" t="s">
        <v>3236</v>
      </c>
      <c r="AZ19" s="15" t="s">
        <v>2805</v>
      </c>
      <c r="BA19" s="15" t="s">
        <v>2870</v>
      </c>
      <c r="BB19" s="15" t="s">
        <v>2807</v>
      </c>
      <c r="BC19" s="15" t="s">
        <v>3132</v>
      </c>
      <c r="BD19" s="15" t="s">
        <v>2807</v>
      </c>
      <c r="BE19" s="15" t="s">
        <v>3259</v>
      </c>
      <c r="BF19" s="18"/>
      <c r="BG19" s="18"/>
      <c r="BH19" s="18"/>
      <c r="BI19" s="15" t="s">
        <v>3260</v>
      </c>
      <c r="BJ19" s="19" t="s">
        <v>3261</v>
      </c>
      <c r="BK19" s="19" t="s">
        <v>3262</v>
      </c>
      <c r="BL19" s="18"/>
      <c r="BM19" s="18"/>
      <c r="BN19" s="19" t="s">
        <v>3263</v>
      </c>
      <c r="BO19" s="19" t="s">
        <v>3264</v>
      </c>
      <c r="BP19" s="19" t="s">
        <v>3265</v>
      </c>
      <c r="BQ19" s="15" t="s">
        <v>451</v>
      </c>
      <c r="BR19" s="26"/>
      <c r="BS19" s="26"/>
      <c r="BT19" s="26"/>
      <c r="BU19" s="26"/>
      <c r="BV19" s="26"/>
      <c r="BW19" s="15" t="s">
        <v>3266</v>
      </c>
      <c r="BX19" s="26"/>
      <c r="BY19" s="18" t="str">
        <f t="shared" si="2"/>
        <v>CHEM</v>
      </c>
      <c r="BZ19" s="18" t="str">
        <f t="shared" ref="BZ19:CA19" si="19">IF(ISBLANK(BU19), BL19, BU19)</f>
        <v/>
      </c>
      <c r="CA19" s="18" t="str">
        <f t="shared" si="19"/>
        <v/>
      </c>
      <c r="CB19" s="15" t="s">
        <v>2908</v>
      </c>
      <c r="CC19" s="15" t="s">
        <v>2908</v>
      </c>
      <c r="CD19" s="25" t="s">
        <v>2797</v>
      </c>
      <c r="CE19" s="18"/>
      <c r="CF19" s="18"/>
      <c r="CG19" s="18"/>
    </row>
    <row r="20" ht="18.75" hidden="1" customHeight="1">
      <c r="A20" s="14">
        <v>44742.91892644676</v>
      </c>
      <c r="B20" s="15" t="s">
        <v>519</v>
      </c>
      <c r="C20" s="16" t="s">
        <v>3267</v>
      </c>
      <c r="D20" s="15" t="str">
        <f>IFERROR(__xludf.DUMMYFUNCTION("QUERY(TY_ALL_2023_Batch!$A$1:$E$824, ""SELECT E WHERE C='""&amp;B20&amp;""'"", 0)"),"CHEM")</f>
        <v>CHEM</v>
      </c>
      <c r="E20" s="15" t="s">
        <v>3023</v>
      </c>
      <c r="F20" s="15" t="s">
        <v>3268</v>
      </c>
      <c r="G20" s="15" t="s">
        <v>3269</v>
      </c>
      <c r="H20" s="15" t="s">
        <v>2785</v>
      </c>
      <c r="I20" s="17">
        <v>37011.0</v>
      </c>
      <c r="J20" s="15">
        <v>2019.0</v>
      </c>
      <c r="K20" s="15" t="s">
        <v>2786</v>
      </c>
      <c r="L20" s="15" t="s">
        <v>2787</v>
      </c>
      <c r="M20" s="18"/>
      <c r="N20" s="15" t="s">
        <v>3270</v>
      </c>
      <c r="O20" s="15" t="s">
        <v>519</v>
      </c>
      <c r="P20" s="19" t="s">
        <v>3271</v>
      </c>
      <c r="Q20" s="15">
        <v>8.669664434E9</v>
      </c>
      <c r="R20" s="15">
        <v>8.669664434E9</v>
      </c>
      <c r="S20" s="15">
        <v>9.028044407E9</v>
      </c>
      <c r="T20" s="15" t="s">
        <v>3272</v>
      </c>
      <c r="U20" s="15" t="s">
        <v>3273</v>
      </c>
      <c r="V20" s="15" t="s">
        <v>3274</v>
      </c>
      <c r="W20" s="18"/>
      <c r="X20" s="15">
        <v>85.6</v>
      </c>
      <c r="Y20" s="15" t="s">
        <v>2795</v>
      </c>
      <c r="Z20" s="15">
        <v>8.9</v>
      </c>
      <c r="AA20" s="15">
        <v>8.57</v>
      </c>
      <c r="AB20" s="15" t="s">
        <v>2796</v>
      </c>
      <c r="AC20" s="15" t="s">
        <v>2796</v>
      </c>
      <c r="AD20" s="15" t="s">
        <v>2796</v>
      </c>
      <c r="AE20" s="15" t="s">
        <v>2796</v>
      </c>
      <c r="AF20" s="15">
        <v>7.79</v>
      </c>
      <c r="AG20" s="15">
        <v>8.67</v>
      </c>
      <c r="AH20" s="15">
        <v>76.0</v>
      </c>
      <c r="AI20" s="18"/>
      <c r="AJ20" s="15" t="s">
        <v>2787</v>
      </c>
      <c r="AK20" s="15" t="s">
        <v>2787</v>
      </c>
      <c r="AL20" s="15">
        <v>94.66</v>
      </c>
      <c r="AM20" s="15">
        <v>85.66</v>
      </c>
      <c r="AN20" s="15" t="s">
        <v>2787</v>
      </c>
      <c r="AO20" s="18"/>
      <c r="AP20" s="15" t="s">
        <v>3275</v>
      </c>
      <c r="AQ20" s="15" t="s">
        <v>2952</v>
      </c>
      <c r="AR20" s="18"/>
      <c r="AS20" s="15"/>
      <c r="AT20" s="18"/>
      <c r="AU20" s="15" t="s">
        <v>3276</v>
      </c>
      <c r="AV20" s="15" t="s">
        <v>3277</v>
      </c>
      <c r="AW20" s="15" t="s">
        <v>3278</v>
      </c>
      <c r="AX20" s="15" t="s">
        <v>3279</v>
      </c>
      <c r="AY20" s="15" t="s">
        <v>3280</v>
      </c>
      <c r="AZ20" s="15" t="s">
        <v>2805</v>
      </c>
      <c r="BA20" s="15" t="s">
        <v>2899</v>
      </c>
      <c r="BB20" s="15" t="s">
        <v>2807</v>
      </c>
      <c r="BC20" s="15" t="s">
        <v>3281</v>
      </c>
      <c r="BD20" s="15" t="s">
        <v>2807</v>
      </c>
      <c r="BE20" s="15" t="s">
        <v>3282</v>
      </c>
      <c r="BF20" s="15" t="s">
        <v>3283</v>
      </c>
      <c r="BG20" s="18"/>
      <c r="BH20" s="18"/>
      <c r="BI20" s="15" t="s">
        <v>3284</v>
      </c>
      <c r="BJ20" s="19" t="s">
        <v>3285</v>
      </c>
      <c r="BK20" s="19" t="s">
        <v>3286</v>
      </c>
      <c r="BL20" s="19" t="s">
        <v>3287</v>
      </c>
      <c r="BM20" s="19" t="s">
        <v>3288</v>
      </c>
      <c r="BN20" s="19" t="s">
        <v>3289</v>
      </c>
      <c r="BO20" s="19" t="s">
        <v>3290</v>
      </c>
      <c r="BP20" s="19" t="s">
        <v>3291</v>
      </c>
      <c r="BQ20" s="15" t="s">
        <v>451</v>
      </c>
      <c r="BR20" s="26"/>
      <c r="BS20" s="26"/>
      <c r="BT20" s="26"/>
      <c r="BU20" s="26"/>
      <c r="BV20" s="26"/>
      <c r="BW20" s="15" t="s">
        <v>3292</v>
      </c>
      <c r="BX20" s="26"/>
      <c r="BY20" s="18" t="str">
        <f t="shared" si="2"/>
        <v>CHEM</v>
      </c>
      <c r="BZ20" s="24" t="str">
        <f t="shared" ref="BZ20:CA20" si="20">IF(ISBLANK(BU20), BL20, BU20)</f>
        <v>https://drive.google.com/open?id=1GghKr_fCQNo6ehevfucExehBBgXeiHNj</v>
      </c>
      <c r="CA20" s="24" t="str">
        <f t="shared" si="20"/>
        <v>https://drive.google.com/open?id=1QYyO-mrt7jA_YMPiWXLjmeGwY9veMT2o</v>
      </c>
      <c r="CB20" s="15" t="s">
        <v>2821</v>
      </c>
      <c r="CC20" s="15" t="s">
        <v>2821</v>
      </c>
      <c r="CD20" s="25" t="s">
        <v>2797</v>
      </c>
      <c r="CE20" s="18"/>
      <c r="CF20" s="18"/>
      <c r="CG20" s="18"/>
    </row>
    <row r="21" ht="18.75" hidden="1" customHeight="1">
      <c r="A21" s="14">
        <v>44740.454335358794</v>
      </c>
      <c r="B21" s="15" t="s">
        <v>468</v>
      </c>
      <c r="C21" s="16" t="s">
        <v>3293</v>
      </c>
      <c r="D21" s="15" t="str">
        <f>IFERROR(__xludf.DUMMYFUNCTION("QUERY(TY_ALL_2023_Batch!$A$1:$E$824, ""SELECT E WHERE C='""&amp;B21&amp;""'"", 0)"),"CHEM")</f>
        <v>CHEM</v>
      </c>
      <c r="E21" s="15" t="s">
        <v>3294</v>
      </c>
      <c r="F21" s="15" t="s">
        <v>3295</v>
      </c>
      <c r="G21" s="15" t="s">
        <v>3296</v>
      </c>
      <c r="H21" s="15" t="s">
        <v>2826</v>
      </c>
      <c r="I21" s="17">
        <v>36905.0</v>
      </c>
      <c r="J21" s="15">
        <v>2019.0</v>
      </c>
      <c r="K21" s="15" t="s">
        <v>2786</v>
      </c>
      <c r="L21" s="15" t="s">
        <v>2787</v>
      </c>
      <c r="M21" s="18"/>
      <c r="N21" s="15" t="s">
        <v>3297</v>
      </c>
      <c r="O21" s="15" t="s">
        <v>3298</v>
      </c>
      <c r="P21" s="19" t="s">
        <v>3299</v>
      </c>
      <c r="Q21" s="15">
        <v>9.588623179E9</v>
      </c>
      <c r="R21" s="15">
        <v>9.588623179E9</v>
      </c>
      <c r="S21" s="15">
        <v>8.261967227E9</v>
      </c>
      <c r="T21" s="15" t="s">
        <v>3300</v>
      </c>
      <c r="U21" s="15" t="s">
        <v>3301</v>
      </c>
      <c r="V21" s="15" t="s">
        <v>3302</v>
      </c>
      <c r="W21" s="15" t="s">
        <v>3303</v>
      </c>
      <c r="X21" s="15">
        <v>90.6</v>
      </c>
      <c r="Y21" s="15" t="s">
        <v>2795</v>
      </c>
      <c r="Z21" s="15">
        <v>8.24</v>
      </c>
      <c r="AA21" s="15">
        <v>7.81</v>
      </c>
      <c r="AB21" s="15" t="s">
        <v>2796</v>
      </c>
      <c r="AC21" s="15" t="s">
        <v>2796</v>
      </c>
      <c r="AD21" s="15" t="s">
        <v>2796</v>
      </c>
      <c r="AE21" s="15" t="s">
        <v>2796</v>
      </c>
      <c r="AF21" s="15">
        <v>7.37</v>
      </c>
      <c r="AG21" s="15">
        <v>7.4</v>
      </c>
      <c r="AH21" s="15">
        <v>85.85</v>
      </c>
      <c r="AI21" s="18"/>
      <c r="AJ21" s="15" t="s">
        <v>2787</v>
      </c>
      <c r="AK21" s="15" t="s">
        <v>2787</v>
      </c>
      <c r="AL21" s="15" t="s">
        <v>3304</v>
      </c>
      <c r="AM21" s="15" t="s">
        <v>3305</v>
      </c>
      <c r="AN21" s="15" t="s">
        <v>2797</v>
      </c>
      <c r="AO21" s="15" t="s">
        <v>2797</v>
      </c>
      <c r="AP21" s="15" t="s">
        <v>3306</v>
      </c>
      <c r="AQ21" s="15" t="s">
        <v>3307</v>
      </c>
      <c r="AR21" s="15" t="s">
        <v>2797</v>
      </c>
      <c r="AS21" s="15" t="s">
        <v>3308</v>
      </c>
      <c r="AT21" s="15" t="s">
        <v>3309</v>
      </c>
      <c r="AU21" s="15" t="s">
        <v>3310</v>
      </c>
      <c r="AV21" s="15" t="s">
        <v>3311</v>
      </c>
      <c r="AW21" s="15" t="s">
        <v>3312</v>
      </c>
      <c r="AX21" s="15" t="s">
        <v>3313</v>
      </c>
      <c r="AY21" s="15" t="s">
        <v>3314</v>
      </c>
      <c r="AZ21" s="15" t="s">
        <v>2805</v>
      </c>
      <c r="BA21" s="15" t="s">
        <v>2870</v>
      </c>
      <c r="BB21" s="15" t="s">
        <v>2807</v>
      </c>
      <c r="BC21" s="15" t="s">
        <v>3132</v>
      </c>
      <c r="BD21" s="15" t="s">
        <v>2807</v>
      </c>
      <c r="BE21" s="15" t="s">
        <v>3315</v>
      </c>
      <c r="BF21" s="15" t="s">
        <v>2797</v>
      </c>
      <c r="BG21" s="15" t="s">
        <v>2797</v>
      </c>
      <c r="BH21" s="15" t="s">
        <v>2797</v>
      </c>
      <c r="BI21" s="15" t="s">
        <v>3316</v>
      </c>
      <c r="BJ21" s="19" t="s">
        <v>3317</v>
      </c>
      <c r="BK21" s="19" t="s">
        <v>3318</v>
      </c>
      <c r="BL21" s="19" t="s">
        <v>3319</v>
      </c>
      <c r="BM21" s="20" t="s">
        <v>3320</v>
      </c>
      <c r="BN21" s="19" t="s">
        <v>3321</v>
      </c>
      <c r="BO21" s="19" t="s">
        <v>3322</v>
      </c>
      <c r="BP21" s="19" t="s">
        <v>3323</v>
      </c>
      <c r="BQ21" s="15" t="s">
        <v>451</v>
      </c>
      <c r="BR21" s="26"/>
      <c r="BS21" s="26"/>
      <c r="BT21" s="26"/>
      <c r="BU21" s="19" t="s">
        <v>3324</v>
      </c>
      <c r="BV21" s="19" t="s">
        <v>3325</v>
      </c>
      <c r="BW21" s="15" t="s">
        <v>3326</v>
      </c>
      <c r="BX21" s="26"/>
      <c r="BY21" s="18" t="str">
        <f t="shared" si="2"/>
        <v>CHEM</v>
      </c>
      <c r="BZ21" s="24" t="str">
        <f t="shared" ref="BZ21:CA21" si="21">IF(ISBLANK(BU21), BL21, BU21)</f>
        <v>https://drive.google.com/open?id=1CHEG0iN2hPcek_8b5J44llfDQmj5UZFE</v>
      </c>
      <c r="CA21" s="24" t="str">
        <f t="shared" si="21"/>
        <v>https://drive.google.com/open?id=1ggj80GUjr6boO1RLgvpGigSsCUYqB-D1</v>
      </c>
      <c r="CB21" s="15" t="s">
        <v>2821</v>
      </c>
      <c r="CC21" s="15" t="s">
        <v>2821</v>
      </c>
      <c r="CD21" s="25" t="s">
        <v>2797</v>
      </c>
      <c r="CE21" s="18"/>
      <c r="CF21" s="18"/>
      <c r="CG21" s="18"/>
    </row>
    <row r="22" ht="18.75" hidden="1" customHeight="1">
      <c r="A22" s="14">
        <v>44737.55726887731</v>
      </c>
      <c r="B22" s="15" t="s">
        <v>456</v>
      </c>
      <c r="C22" s="16" t="s">
        <v>3327</v>
      </c>
      <c r="D22" s="15" t="str">
        <f>IFERROR(__xludf.DUMMYFUNCTION("QUERY(TY_ALL_2023_Batch!$A$1:$E$824, ""SELECT E WHERE C='""&amp;B22&amp;""'"", 0)"),"CHEM")</f>
        <v>CHEM</v>
      </c>
      <c r="E22" s="15" t="s">
        <v>3328</v>
      </c>
      <c r="F22" s="15" t="s">
        <v>3329</v>
      </c>
      <c r="G22" s="15" t="s">
        <v>3330</v>
      </c>
      <c r="H22" s="15" t="s">
        <v>2785</v>
      </c>
      <c r="I22" s="17">
        <v>37054.0</v>
      </c>
      <c r="J22" s="15">
        <v>2019.0</v>
      </c>
      <c r="K22" s="15" t="s">
        <v>2786</v>
      </c>
      <c r="L22" s="15" t="s">
        <v>2787</v>
      </c>
      <c r="M22" s="18"/>
      <c r="N22" s="15" t="s">
        <v>3331</v>
      </c>
      <c r="O22" s="15" t="s">
        <v>456</v>
      </c>
      <c r="P22" s="19" t="s">
        <v>3332</v>
      </c>
      <c r="Q22" s="15">
        <v>7.218062146E9</v>
      </c>
      <c r="R22" s="15">
        <v>7.218062146E9</v>
      </c>
      <c r="S22" s="15">
        <v>9.403092275E9</v>
      </c>
      <c r="T22" s="15" t="s">
        <v>3329</v>
      </c>
      <c r="U22" s="15" t="s">
        <v>3333</v>
      </c>
      <c r="V22" s="15" t="s">
        <v>3334</v>
      </c>
      <c r="W22" s="15" t="s">
        <v>3335</v>
      </c>
      <c r="X22" s="15">
        <v>95.4</v>
      </c>
      <c r="Y22" s="15" t="s">
        <v>2795</v>
      </c>
      <c r="Z22" s="15">
        <v>8.43</v>
      </c>
      <c r="AA22" s="15">
        <v>8.81</v>
      </c>
      <c r="AB22" s="15">
        <v>8.0</v>
      </c>
      <c r="AC22" s="15" t="s">
        <v>2796</v>
      </c>
      <c r="AD22" s="15" t="s">
        <v>2796</v>
      </c>
      <c r="AE22" s="15" t="s">
        <v>2796</v>
      </c>
      <c r="AF22" s="15">
        <v>7.11</v>
      </c>
      <c r="AG22" s="15">
        <v>8.33</v>
      </c>
      <c r="AH22" s="15">
        <v>69.38</v>
      </c>
      <c r="AI22" s="18"/>
      <c r="AJ22" s="15" t="s">
        <v>2787</v>
      </c>
      <c r="AK22" s="15" t="s">
        <v>2787</v>
      </c>
      <c r="AL22" s="15">
        <v>640.0</v>
      </c>
      <c r="AM22" s="15">
        <v>560.0</v>
      </c>
      <c r="AN22" s="15" t="s">
        <v>2787</v>
      </c>
      <c r="AO22" s="15" t="s">
        <v>2796</v>
      </c>
      <c r="AP22" s="15" t="s">
        <v>3336</v>
      </c>
      <c r="AQ22" s="15" t="s">
        <v>3337</v>
      </c>
      <c r="AR22" s="15" t="s">
        <v>3338</v>
      </c>
      <c r="AS22" s="15"/>
      <c r="AT22" s="18"/>
      <c r="AU22" s="15" t="s">
        <v>2796</v>
      </c>
      <c r="AV22" s="15" t="s">
        <v>3339</v>
      </c>
      <c r="AW22" s="15" t="s">
        <v>3340</v>
      </c>
      <c r="AX22" s="15" t="s">
        <v>3341</v>
      </c>
      <c r="AY22" s="15" t="s">
        <v>3342</v>
      </c>
      <c r="AZ22" s="15" t="s">
        <v>2805</v>
      </c>
      <c r="BA22" s="15" t="s">
        <v>2899</v>
      </c>
      <c r="BB22" s="15" t="s">
        <v>2807</v>
      </c>
      <c r="BC22" s="15" t="s">
        <v>3343</v>
      </c>
      <c r="BD22" s="15" t="s">
        <v>2842</v>
      </c>
      <c r="BE22" s="15" t="s">
        <v>3344</v>
      </c>
      <c r="BF22" s="18"/>
      <c r="BG22" s="18"/>
      <c r="BH22" s="18"/>
      <c r="BI22" s="15" t="s">
        <v>3345</v>
      </c>
      <c r="BJ22" s="19" t="s">
        <v>3346</v>
      </c>
      <c r="BK22" s="19" t="s">
        <v>3347</v>
      </c>
      <c r="BL22" s="19" t="s">
        <v>3348</v>
      </c>
      <c r="BM22" s="20" t="s">
        <v>3349</v>
      </c>
      <c r="BN22" s="19" t="s">
        <v>3350</v>
      </c>
      <c r="BO22" s="19" t="s">
        <v>3351</v>
      </c>
      <c r="BP22" s="19" t="s">
        <v>3352</v>
      </c>
      <c r="BQ22" s="15" t="s">
        <v>451</v>
      </c>
      <c r="BR22" s="19" t="s">
        <v>3353</v>
      </c>
      <c r="BS22" s="19" t="s">
        <v>3354</v>
      </c>
      <c r="BT22" s="19" t="s">
        <v>3355</v>
      </c>
      <c r="BU22" s="19" t="s">
        <v>3356</v>
      </c>
      <c r="BV22" s="19" t="s">
        <v>3357</v>
      </c>
      <c r="BW22" s="15" t="s">
        <v>3358</v>
      </c>
      <c r="BX22" s="26"/>
      <c r="BY22" s="18" t="str">
        <f t="shared" si="2"/>
        <v>CHEM</v>
      </c>
      <c r="BZ22" s="24" t="str">
        <f t="shared" ref="BZ22:CA22" si="22">IF(ISBLANK(BU22), BL22, BU22)</f>
        <v>https://drive.google.com/open?id=1gRs4EydM8SsMCjhDtn07IhZVbVK8K5fP</v>
      </c>
      <c r="CA22" s="24" t="str">
        <f t="shared" si="22"/>
        <v>https://drive.google.com/open?id=1Wu5T8jRB53w_Ap66NrQh-0fRh9LrXsYz</v>
      </c>
      <c r="CB22" s="15" t="s">
        <v>2821</v>
      </c>
      <c r="CC22" s="15" t="s">
        <v>2821</v>
      </c>
      <c r="CD22" s="25" t="s">
        <v>2909</v>
      </c>
      <c r="CE22" s="18"/>
      <c r="CF22" s="18"/>
      <c r="CG22" s="18"/>
    </row>
    <row r="23" ht="18.75" hidden="1" customHeight="1">
      <c r="A23" s="14">
        <v>44734.5913227662</v>
      </c>
      <c r="B23" s="15" t="s">
        <v>984</v>
      </c>
      <c r="C23" s="16" t="s">
        <v>3359</v>
      </c>
      <c r="D23" s="15" t="str">
        <f>IFERROR(__xludf.DUMMYFUNCTION("QUERY(TY_ALL_2023_Batch!$A$1:$E$824, ""SELECT E WHERE C='""&amp;B23&amp;""'"", 0)"),"CHEM")</f>
        <v>CHEM</v>
      </c>
      <c r="E23" s="15" t="s">
        <v>3360</v>
      </c>
      <c r="F23" s="15" t="s">
        <v>3361</v>
      </c>
      <c r="G23" s="15" t="s">
        <v>3362</v>
      </c>
      <c r="H23" s="15" t="s">
        <v>2785</v>
      </c>
      <c r="I23" s="17">
        <v>36710.0</v>
      </c>
      <c r="J23" s="15">
        <v>2020.0</v>
      </c>
      <c r="K23" s="15" t="s">
        <v>2941</v>
      </c>
      <c r="L23" s="15" t="s">
        <v>2787</v>
      </c>
      <c r="M23" s="18"/>
      <c r="N23" s="15" t="s">
        <v>3363</v>
      </c>
      <c r="O23" s="15" t="s">
        <v>984</v>
      </c>
      <c r="P23" s="19" t="s">
        <v>3364</v>
      </c>
      <c r="Q23" s="15">
        <v>7.020256218E9</v>
      </c>
      <c r="R23" s="15">
        <v>7.020256218E9</v>
      </c>
      <c r="S23" s="15">
        <v>9.404003718E9</v>
      </c>
      <c r="T23" s="15" t="s">
        <v>3361</v>
      </c>
      <c r="U23" s="15" t="s">
        <v>3365</v>
      </c>
      <c r="V23" s="15" t="s">
        <v>3366</v>
      </c>
      <c r="W23" s="15" t="s">
        <v>3367</v>
      </c>
      <c r="X23" s="15">
        <v>66.0</v>
      </c>
      <c r="Y23" s="15" t="s">
        <v>2948</v>
      </c>
      <c r="Z23" s="15">
        <v>8.0</v>
      </c>
      <c r="AA23" s="15">
        <v>7.71</v>
      </c>
      <c r="AB23" s="15" t="s">
        <v>3005</v>
      </c>
      <c r="AC23" s="15" t="s">
        <v>3005</v>
      </c>
      <c r="AD23" s="15" t="s">
        <v>3368</v>
      </c>
      <c r="AE23" s="15" t="s">
        <v>3005</v>
      </c>
      <c r="AF23" s="18"/>
      <c r="AG23" s="18"/>
      <c r="AH23" s="18"/>
      <c r="AI23" s="15">
        <v>83.33</v>
      </c>
      <c r="AJ23" s="15" t="s">
        <v>2787</v>
      </c>
      <c r="AK23" s="15" t="s">
        <v>2787</v>
      </c>
      <c r="AL23" s="15">
        <v>361.0</v>
      </c>
      <c r="AM23" s="15">
        <v>351.0</v>
      </c>
      <c r="AN23" s="15" t="s">
        <v>2787</v>
      </c>
      <c r="AO23" s="15" t="s">
        <v>3369</v>
      </c>
      <c r="AP23" s="18"/>
      <c r="AQ23" s="15" t="s">
        <v>2952</v>
      </c>
      <c r="AR23" s="18"/>
      <c r="AS23" s="15" t="s">
        <v>2952</v>
      </c>
      <c r="AT23" s="18"/>
      <c r="AU23" s="18"/>
      <c r="AV23" s="18"/>
      <c r="AW23" s="15" t="s">
        <v>3370</v>
      </c>
      <c r="AX23" s="18"/>
      <c r="AY23" s="15" t="s">
        <v>3371</v>
      </c>
      <c r="AZ23" s="15" t="s">
        <v>2805</v>
      </c>
      <c r="BA23" s="15" t="s">
        <v>2870</v>
      </c>
      <c r="BB23" s="15" t="s">
        <v>2807</v>
      </c>
      <c r="BC23" s="15" t="s">
        <v>3372</v>
      </c>
      <c r="BD23" s="15" t="s">
        <v>2807</v>
      </c>
      <c r="BE23" s="15" t="s">
        <v>2796</v>
      </c>
      <c r="BF23" s="18"/>
      <c r="BG23" s="18"/>
      <c r="BH23" s="18"/>
      <c r="BI23" s="15" t="s">
        <v>3373</v>
      </c>
      <c r="BJ23" s="19" t="s">
        <v>3374</v>
      </c>
      <c r="BK23" s="19" t="s">
        <v>3375</v>
      </c>
      <c r="BL23" s="18"/>
      <c r="BM23" s="18"/>
      <c r="BN23" s="18"/>
      <c r="BO23" s="19" t="s">
        <v>3376</v>
      </c>
      <c r="BP23" s="18"/>
      <c r="BQ23" s="15" t="s">
        <v>451</v>
      </c>
      <c r="BR23" s="26"/>
      <c r="BS23" s="26"/>
      <c r="BT23" s="26"/>
      <c r="BU23" s="26"/>
      <c r="BV23" s="26"/>
      <c r="BW23" s="26"/>
      <c r="BX23" s="26"/>
      <c r="BY23" s="18" t="str">
        <f t="shared" si="2"/>
        <v>CHEM</v>
      </c>
      <c r="BZ23" s="18" t="str">
        <f t="shared" ref="BZ23:CA23" si="23">IF(ISBLANK(BU23), BL23, BU23)</f>
        <v/>
      </c>
      <c r="CA23" s="18" t="str">
        <f t="shared" si="23"/>
        <v/>
      </c>
      <c r="CB23" s="15" t="s">
        <v>2908</v>
      </c>
      <c r="CC23" s="15" t="s">
        <v>2908</v>
      </c>
      <c r="CD23" s="25" t="s">
        <v>2797</v>
      </c>
      <c r="CE23" s="18"/>
      <c r="CF23" s="18"/>
      <c r="CG23" s="18"/>
    </row>
    <row r="24" ht="18.75" hidden="1" customHeight="1">
      <c r="A24" s="14">
        <v>44742.89080333333</v>
      </c>
      <c r="B24" s="15" t="s">
        <v>462</v>
      </c>
      <c r="C24" s="16" t="s">
        <v>3377</v>
      </c>
      <c r="D24" s="15" t="str">
        <f>IFERROR(__xludf.DUMMYFUNCTION("QUERY(TY_ALL_2023_Batch!$A$1:$E$824, ""SELECT E WHERE C='""&amp;B24&amp;""'"", 0)"),"CHEM")</f>
        <v>CHEM</v>
      </c>
      <c r="E24" s="15" t="s">
        <v>3378</v>
      </c>
      <c r="F24" s="15" t="s">
        <v>3379</v>
      </c>
      <c r="G24" s="15" t="s">
        <v>3380</v>
      </c>
      <c r="H24" s="15" t="s">
        <v>2785</v>
      </c>
      <c r="I24" s="17">
        <v>37046.0</v>
      </c>
      <c r="J24" s="15">
        <v>2019.0</v>
      </c>
      <c r="K24" s="15" t="s">
        <v>2786</v>
      </c>
      <c r="L24" s="15" t="s">
        <v>2787</v>
      </c>
      <c r="M24" s="18"/>
      <c r="N24" s="15" t="s">
        <v>3381</v>
      </c>
      <c r="O24" s="15" t="s">
        <v>462</v>
      </c>
      <c r="P24" s="19" t="s">
        <v>3382</v>
      </c>
      <c r="Q24" s="15">
        <v>7.218495694E9</v>
      </c>
      <c r="R24" s="15">
        <v>7.218495694E9</v>
      </c>
      <c r="S24" s="15">
        <v>7.038187544E9</v>
      </c>
      <c r="T24" s="15" t="s">
        <v>3379</v>
      </c>
      <c r="U24" s="15" t="s">
        <v>3383</v>
      </c>
      <c r="V24" s="15" t="s">
        <v>3384</v>
      </c>
      <c r="W24" s="18"/>
      <c r="X24" s="15">
        <v>89.9</v>
      </c>
      <c r="Y24" s="15" t="s">
        <v>2795</v>
      </c>
      <c r="Z24" s="15">
        <v>8.81</v>
      </c>
      <c r="AA24" s="15">
        <v>8.71</v>
      </c>
      <c r="AB24" s="15" t="s">
        <v>2796</v>
      </c>
      <c r="AC24" s="15" t="s">
        <v>2796</v>
      </c>
      <c r="AD24" s="15" t="s">
        <v>2796</v>
      </c>
      <c r="AE24" s="15" t="s">
        <v>2796</v>
      </c>
      <c r="AF24" s="15">
        <v>8.89</v>
      </c>
      <c r="AG24" s="15">
        <v>8.9</v>
      </c>
      <c r="AH24" s="15">
        <v>64.15</v>
      </c>
      <c r="AI24" s="18"/>
      <c r="AJ24" s="15" t="s">
        <v>2787</v>
      </c>
      <c r="AK24" s="15" t="s">
        <v>2787</v>
      </c>
      <c r="AL24" s="15">
        <v>615.0</v>
      </c>
      <c r="AM24" s="15">
        <v>601.0</v>
      </c>
      <c r="AN24" s="15" t="s">
        <v>2787</v>
      </c>
      <c r="AO24" s="18"/>
      <c r="AP24" s="15" t="s">
        <v>3385</v>
      </c>
      <c r="AQ24" s="15" t="s">
        <v>3386</v>
      </c>
      <c r="AR24" s="15" t="s">
        <v>3387</v>
      </c>
      <c r="AS24" s="15" t="s">
        <v>3388</v>
      </c>
      <c r="AT24" s="18"/>
      <c r="AU24" s="18"/>
      <c r="AV24" s="15" t="s">
        <v>3389</v>
      </c>
      <c r="AW24" s="15" t="s">
        <v>3390</v>
      </c>
      <c r="AX24" s="18"/>
      <c r="AY24" s="15" t="s">
        <v>3391</v>
      </c>
      <c r="AZ24" s="15" t="s">
        <v>3179</v>
      </c>
      <c r="BA24" s="15" t="s">
        <v>2870</v>
      </c>
      <c r="BB24" s="15" t="s">
        <v>2807</v>
      </c>
      <c r="BC24" s="15" t="s">
        <v>3392</v>
      </c>
      <c r="BD24" s="15" t="s">
        <v>3393</v>
      </c>
      <c r="BE24" s="15" t="s">
        <v>3394</v>
      </c>
      <c r="BF24" s="18"/>
      <c r="BG24" s="18"/>
      <c r="BH24" s="18"/>
      <c r="BI24" s="15" t="s">
        <v>3395</v>
      </c>
      <c r="BJ24" s="19" t="s">
        <v>3396</v>
      </c>
      <c r="BK24" s="19" t="s">
        <v>3397</v>
      </c>
      <c r="BL24" s="18"/>
      <c r="BM24" s="18"/>
      <c r="BN24" s="19" t="s">
        <v>3398</v>
      </c>
      <c r="BO24" s="19" t="s">
        <v>3399</v>
      </c>
      <c r="BP24" s="18"/>
      <c r="BQ24" s="15" t="s">
        <v>451</v>
      </c>
      <c r="BR24" s="26"/>
      <c r="BS24" s="19" t="s">
        <v>3400</v>
      </c>
      <c r="BT24" s="19" t="s">
        <v>3401</v>
      </c>
      <c r="BU24" s="26"/>
      <c r="BV24" s="26"/>
      <c r="BW24" s="15" t="s">
        <v>3402</v>
      </c>
      <c r="BX24" s="26"/>
      <c r="BY24" s="18" t="str">
        <f t="shared" si="2"/>
        <v>CHEM</v>
      </c>
      <c r="BZ24" s="18" t="str">
        <f t="shared" ref="BZ24:CA24" si="24">IF(ISBLANK(BU24), BL24, BU24)</f>
        <v/>
      </c>
      <c r="CA24" s="18" t="str">
        <f t="shared" si="24"/>
        <v/>
      </c>
      <c r="CB24" s="15" t="s">
        <v>2908</v>
      </c>
      <c r="CC24" s="15" t="s">
        <v>2908</v>
      </c>
      <c r="CD24" s="25" t="s">
        <v>2909</v>
      </c>
      <c r="CE24" s="18"/>
      <c r="CF24" s="18"/>
      <c r="CG24" s="18"/>
    </row>
    <row r="25" ht="18.75" hidden="1" customHeight="1">
      <c r="A25" s="14">
        <v>44736.95651416667</v>
      </c>
      <c r="B25" s="15" t="s">
        <v>1041</v>
      </c>
      <c r="C25" s="16" t="s">
        <v>3403</v>
      </c>
      <c r="D25" s="15" t="str">
        <f>IFERROR(__xludf.DUMMYFUNCTION("QUERY(TY_ALL_2023_Batch!$A$1:$E$824, ""SELECT E WHERE C='""&amp;B25&amp;""'"", 0)"),"CHEM")</f>
        <v>CHEM</v>
      </c>
      <c r="E25" s="15" t="s">
        <v>3404</v>
      </c>
      <c r="F25" s="15" t="s">
        <v>3405</v>
      </c>
      <c r="G25" s="15" t="s">
        <v>3406</v>
      </c>
      <c r="H25" s="15" t="s">
        <v>2785</v>
      </c>
      <c r="I25" s="17">
        <v>36721.0</v>
      </c>
      <c r="J25" s="15">
        <v>2020.0</v>
      </c>
      <c r="K25" s="15" t="s">
        <v>2941</v>
      </c>
      <c r="L25" s="15" t="s">
        <v>2787</v>
      </c>
      <c r="M25" s="18"/>
      <c r="N25" s="15" t="s">
        <v>3407</v>
      </c>
      <c r="O25" s="15" t="s">
        <v>1041</v>
      </c>
      <c r="P25" s="19" t="s">
        <v>3408</v>
      </c>
      <c r="Q25" s="15">
        <v>7.447502029E9</v>
      </c>
      <c r="R25" s="15">
        <v>7.447502029E9</v>
      </c>
      <c r="S25" s="15">
        <v>9.284971044E9</v>
      </c>
      <c r="T25" s="15" t="s">
        <v>3405</v>
      </c>
      <c r="U25" s="15" t="s">
        <v>3409</v>
      </c>
      <c r="V25" s="15" t="s">
        <v>3410</v>
      </c>
      <c r="W25" s="15" t="s">
        <v>3411</v>
      </c>
      <c r="X25" s="15">
        <v>73.6</v>
      </c>
      <c r="Y25" s="15" t="s">
        <v>2948</v>
      </c>
      <c r="Z25" s="15">
        <v>8.48</v>
      </c>
      <c r="AA25" s="15">
        <v>7.24</v>
      </c>
      <c r="AB25" s="15" t="s">
        <v>2796</v>
      </c>
      <c r="AC25" s="15" t="s">
        <v>2796</v>
      </c>
      <c r="AD25" s="15" t="s">
        <v>2796</v>
      </c>
      <c r="AE25" s="15" t="s">
        <v>2796</v>
      </c>
      <c r="AF25" s="18"/>
      <c r="AG25" s="18"/>
      <c r="AH25" s="18"/>
      <c r="AI25" s="15">
        <v>83.61</v>
      </c>
      <c r="AJ25" s="15" t="s">
        <v>2797</v>
      </c>
      <c r="AK25" s="15" t="s">
        <v>2787</v>
      </c>
      <c r="AL25" s="18"/>
      <c r="AM25" s="15" t="s">
        <v>3412</v>
      </c>
      <c r="AN25" s="15" t="s">
        <v>2797</v>
      </c>
      <c r="AO25" s="15" t="s">
        <v>2797</v>
      </c>
      <c r="AP25" s="15" t="s">
        <v>2796</v>
      </c>
      <c r="AQ25" s="15" t="s">
        <v>2796</v>
      </c>
      <c r="AR25" s="15" t="s">
        <v>2796</v>
      </c>
      <c r="AS25" s="15" t="s">
        <v>2951</v>
      </c>
      <c r="AT25" s="15" t="s">
        <v>2797</v>
      </c>
      <c r="AU25" s="18"/>
      <c r="AV25" s="15" t="s">
        <v>3413</v>
      </c>
      <c r="AW25" s="15" t="s">
        <v>3414</v>
      </c>
      <c r="AX25" s="18"/>
      <c r="AY25" s="15" t="s">
        <v>3415</v>
      </c>
      <c r="AZ25" s="15" t="s">
        <v>2805</v>
      </c>
      <c r="BA25" s="15" t="s">
        <v>2796</v>
      </c>
      <c r="BB25" s="15" t="s">
        <v>2807</v>
      </c>
      <c r="BC25" s="15" t="s">
        <v>3416</v>
      </c>
      <c r="BD25" s="15" t="s">
        <v>2807</v>
      </c>
      <c r="BE25" s="15" t="s">
        <v>3005</v>
      </c>
      <c r="BF25" s="15" t="s">
        <v>3417</v>
      </c>
      <c r="BG25" s="15" t="s">
        <v>3418</v>
      </c>
      <c r="BH25" s="15" t="s">
        <v>3005</v>
      </c>
      <c r="BI25" s="15" t="s">
        <v>3417</v>
      </c>
      <c r="BJ25" s="19" t="s">
        <v>3419</v>
      </c>
      <c r="BK25" s="19" t="s">
        <v>3420</v>
      </c>
      <c r="BL25" s="18"/>
      <c r="BM25" s="18"/>
      <c r="BN25" s="18"/>
      <c r="BO25" s="19" t="s">
        <v>3421</v>
      </c>
      <c r="BP25" s="18"/>
      <c r="BQ25" s="15" t="s">
        <v>451</v>
      </c>
      <c r="BR25" s="18"/>
      <c r="BS25" s="18"/>
      <c r="BT25" s="18"/>
      <c r="BU25" s="18"/>
      <c r="BV25" s="18"/>
      <c r="BW25" s="15" t="s">
        <v>3422</v>
      </c>
      <c r="BX25" s="18"/>
      <c r="BY25" s="18" t="str">
        <f t="shared" si="2"/>
        <v>CHEM</v>
      </c>
      <c r="BZ25" s="18" t="str">
        <f t="shared" ref="BZ25:CA25" si="25">IF(ISBLANK(BU25), BL25, BU25)</f>
        <v/>
      </c>
      <c r="CA25" s="18" t="str">
        <f t="shared" si="25"/>
        <v/>
      </c>
      <c r="CB25" s="15" t="s">
        <v>2908</v>
      </c>
      <c r="CC25" s="15" t="s">
        <v>2908</v>
      </c>
      <c r="CD25" s="25" t="s">
        <v>2797</v>
      </c>
      <c r="CE25" s="18"/>
      <c r="CF25" s="18"/>
      <c r="CG25" s="18"/>
    </row>
    <row r="26" ht="18.75" hidden="1" customHeight="1">
      <c r="A26" s="14">
        <v>44742.97991138889</v>
      </c>
      <c r="B26" s="15" t="s">
        <v>537</v>
      </c>
      <c r="C26" s="16" t="s">
        <v>3423</v>
      </c>
      <c r="D26" s="15" t="str">
        <f>IFERROR(__xludf.DUMMYFUNCTION("QUERY(TY_ALL_2023_Batch!$A$1:$E$824, ""SELECT E WHERE C='""&amp;B26&amp;""'"", 0)"),"CHEM")</f>
        <v>CHEM</v>
      </c>
      <c r="E26" s="15" t="s">
        <v>3424</v>
      </c>
      <c r="F26" s="15" t="s">
        <v>3425</v>
      </c>
      <c r="G26" s="15" t="s">
        <v>3426</v>
      </c>
      <c r="H26" s="15" t="s">
        <v>2785</v>
      </c>
      <c r="I26" s="17">
        <v>37053.0</v>
      </c>
      <c r="J26" s="15">
        <v>2019.0</v>
      </c>
      <c r="K26" s="15" t="s">
        <v>2786</v>
      </c>
      <c r="L26" s="15" t="s">
        <v>2787</v>
      </c>
      <c r="M26" s="18"/>
      <c r="N26" s="15" t="s">
        <v>3427</v>
      </c>
      <c r="O26" s="15" t="s">
        <v>537</v>
      </c>
      <c r="P26" s="19" t="s">
        <v>3428</v>
      </c>
      <c r="Q26" s="15">
        <v>7.420860389E9</v>
      </c>
      <c r="R26" s="15">
        <v>7.522965671E9</v>
      </c>
      <c r="S26" s="15">
        <v>7.420860389E9</v>
      </c>
      <c r="T26" s="15" t="s">
        <v>3425</v>
      </c>
      <c r="U26" s="15" t="s">
        <v>3429</v>
      </c>
      <c r="V26" s="15" t="s">
        <v>3430</v>
      </c>
      <c r="W26" s="15" t="s">
        <v>3431</v>
      </c>
      <c r="X26" s="15">
        <v>88.4</v>
      </c>
      <c r="Y26" s="15" t="s">
        <v>2795</v>
      </c>
      <c r="Z26" s="15">
        <v>7.24</v>
      </c>
      <c r="AA26" s="15">
        <v>6.95</v>
      </c>
      <c r="AB26" s="15" t="s">
        <v>2796</v>
      </c>
      <c r="AC26" s="15" t="s">
        <v>2796</v>
      </c>
      <c r="AD26" s="15" t="s">
        <v>2796</v>
      </c>
      <c r="AE26" s="15" t="s">
        <v>2796</v>
      </c>
      <c r="AF26" s="15">
        <v>7.16</v>
      </c>
      <c r="AG26" s="15">
        <v>6.24</v>
      </c>
      <c r="AH26" s="15">
        <v>64.15</v>
      </c>
      <c r="AI26" s="18"/>
      <c r="AJ26" s="15" t="s">
        <v>2797</v>
      </c>
      <c r="AK26" s="15" t="s">
        <v>2787</v>
      </c>
      <c r="AL26" s="15" t="s">
        <v>2796</v>
      </c>
      <c r="AM26" s="15">
        <v>403.33</v>
      </c>
      <c r="AN26" s="15" t="s">
        <v>2787</v>
      </c>
      <c r="AO26" s="15" t="s">
        <v>3432</v>
      </c>
      <c r="AP26" s="15" t="s">
        <v>3433</v>
      </c>
      <c r="AQ26" s="15" t="s">
        <v>3434</v>
      </c>
      <c r="AR26" s="15" t="s">
        <v>2796</v>
      </c>
      <c r="AS26" s="15" t="s">
        <v>3435</v>
      </c>
      <c r="AT26" s="15" t="s">
        <v>2796</v>
      </c>
      <c r="AU26" s="15" t="s">
        <v>2796</v>
      </c>
      <c r="AV26" s="15" t="s">
        <v>2796</v>
      </c>
      <c r="AW26" s="15" t="s">
        <v>3436</v>
      </c>
      <c r="AX26" s="15" t="s">
        <v>3437</v>
      </c>
      <c r="AY26" s="15" t="s">
        <v>3438</v>
      </c>
      <c r="AZ26" s="15" t="s">
        <v>2805</v>
      </c>
      <c r="BA26" s="15" t="s">
        <v>2899</v>
      </c>
      <c r="BB26" s="15" t="s">
        <v>3109</v>
      </c>
      <c r="BC26" s="15" t="s">
        <v>3439</v>
      </c>
      <c r="BD26" s="15" t="s">
        <v>2807</v>
      </c>
      <c r="BE26" s="15" t="s">
        <v>2796</v>
      </c>
      <c r="BF26" s="15" t="s">
        <v>2796</v>
      </c>
      <c r="BG26" s="15" t="s">
        <v>2796</v>
      </c>
      <c r="BH26" s="15" t="s">
        <v>2796</v>
      </c>
      <c r="BI26" s="15" t="s">
        <v>2796</v>
      </c>
      <c r="BJ26" s="19" t="s">
        <v>3440</v>
      </c>
      <c r="BK26" s="19" t="s">
        <v>3441</v>
      </c>
      <c r="BL26" s="18"/>
      <c r="BM26" s="19" t="s">
        <v>3442</v>
      </c>
      <c r="BN26" s="19" t="s">
        <v>3443</v>
      </c>
      <c r="BO26" s="19" t="s">
        <v>3444</v>
      </c>
      <c r="BP26" s="18"/>
      <c r="BQ26" s="15" t="s">
        <v>451</v>
      </c>
      <c r="BR26" s="26"/>
      <c r="BS26" s="19" t="s">
        <v>3445</v>
      </c>
      <c r="BT26" s="19" t="s">
        <v>3446</v>
      </c>
      <c r="BU26" s="26"/>
      <c r="BV26" s="26"/>
      <c r="BW26" s="15" t="s">
        <v>3447</v>
      </c>
      <c r="BX26" s="26"/>
      <c r="BY26" s="18" t="str">
        <f t="shared" si="2"/>
        <v>CHEM</v>
      </c>
      <c r="BZ26" s="18" t="str">
        <f t="shared" ref="BZ26:CA26" si="26">IF(ISBLANK(BU26), BL26, BU26)</f>
        <v/>
      </c>
      <c r="CA26" s="24" t="str">
        <f t="shared" si="26"/>
        <v>https://drive.google.com/open?id=1kXLZ4UI-_G-9GvQQRpqZMI7A9or_fqpb</v>
      </c>
      <c r="CB26" s="15" t="s">
        <v>2908</v>
      </c>
      <c r="CC26" s="15" t="s">
        <v>2821</v>
      </c>
      <c r="CD26" s="25" t="s">
        <v>2787</v>
      </c>
      <c r="CE26" s="18"/>
      <c r="CF26" s="18"/>
      <c r="CG26" s="18"/>
    </row>
    <row r="27" ht="18.75" hidden="1" customHeight="1">
      <c r="A27" s="14">
        <v>44742.94484082176</v>
      </c>
      <c r="B27" s="15" t="s">
        <v>1071</v>
      </c>
      <c r="C27" s="16" t="s">
        <v>3448</v>
      </c>
      <c r="D27" s="15" t="str">
        <f>IFERROR(__xludf.DUMMYFUNCTION("QUERY(TY_ALL_2023_Batch!$A$1:$E$824, ""SELECT E WHERE C='""&amp;B27&amp;""'"", 0)"),"CHEM")</f>
        <v>CHEM</v>
      </c>
      <c r="E27" s="15" t="s">
        <v>3449</v>
      </c>
      <c r="F27" s="15" t="s">
        <v>3247</v>
      </c>
      <c r="G27" s="15" t="s">
        <v>3450</v>
      </c>
      <c r="H27" s="15" t="s">
        <v>2785</v>
      </c>
      <c r="I27" s="17">
        <v>36877.0</v>
      </c>
      <c r="J27" s="15">
        <v>2020.0</v>
      </c>
      <c r="K27" s="15" t="s">
        <v>2941</v>
      </c>
      <c r="L27" s="15" t="s">
        <v>2787</v>
      </c>
      <c r="M27" s="18"/>
      <c r="N27" s="15" t="s">
        <v>3451</v>
      </c>
      <c r="O27" s="15" t="s">
        <v>1071</v>
      </c>
      <c r="P27" s="19" t="s">
        <v>3452</v>
      </c>
      <c r="Q27" s="15">
        <v>7.378531279E9</v>
      </c>
      <c r="R27" s="15">
        <v>7.378531279E9</v>
      </c>
      <c r="S27" s="15">
        <v>9.860542256E9</v>
      </c>
      <c r="T27" s="15" t="s">
        <v>3247</v>
      </c>
      <c r="U27" s="15" t="s">
        <v>3453</v>
      </c>
      <c r="V27" s="15" t="s">
        <v>3454</v>
      </c>
      <c r="W27" s="15" t="s">
        <v>3455</v>
      </c>
      <c r="X27" s="15">
        <v>84.2</v>
      </c>
      <c r="Y27" s="15" t="s">
        <v>2948</v>
      </c>
      <c r="Z27" s="15">
        <v>9.0</v>
      </c>
      <c r="AA27" s="15">
        <v>8.52</v>
      </c>
      <c r="AB27" s="15" t="s">
        <v>2796</v>
      </c>
      <c r="AC27" s="15" t="s">
        <v>2796</v>
      </c>
      <c r="AD27" s="15" t="s">
        <v>2796</v>
      </c>
      <c r="AE27" s="15" t="s">
        <v>2796</v>
      </c>
      <c r="AF27" s="18"/>
      <c r="AG27" s="18"/>
      <c r="AH27" s="18"/>
      <c r="AI27" s="15">
        <v>81.56</v>
      </c>
      <c r="AJ27" s="15" t="s">
        <v>2787</v>
      </c>
      <c r="AK27" s="15" t="s">
        <v>2787</v>
      </c>
      <c r="AL27" s="15">
        <v>358.33</v>
      </c>
      <c r="AM27" s="15">
        <v>531.66</v>
      </c>
      <c r="AN27" s="15" t="s">
        <v>2797</v>
      </c>
      <c r="AO27" s="15" t="s">
        <v>3456</v>
      </c>
      <c r="AP27" s="18"/>
      <c r="AQ27" s="15" t="s">
        <v>3457</v>
      </c>
      <c r="AR27" s="18"/>
      <c r="AS27" s="15" t="s">
        <v>3458</v>
      </c>
      <c r="AT27" s="18"/>
      <c r="AU27" s="15" t="s">
        <v>3313</v>
      </c>
      <c r="AV27" s="15" t="s">
        <v>3313</v>
      </c>
      <c r="AW27" s="15" t="s">
        <v>3459</v>
      </c>
      <c r="AX27" s="15" t="s">
        <v>3460</v>
      </c>
      <c r="AY27" s="15" t="s">
        <v>3461</v>
      </c>
      <c r="AZ27" s="15" t="s">
        <v>2805</v>
      </c>
      <c r="BA27" s="15" t="s">
        <v>2839</v>
      </c>
      <c r="BB27" s="15" t="s">
        <v>3462</v>
      </c>
      <c r="BC27" s="15" t="s">
        <v>3463</v>
      </c>
      <c r="BD27" s="15" t="s">
        <v>3464</v>
      </c>
      <c r="BE27" s="15" t="s">
        <v>2796</v>
      </c>
      <c r="BF27" s="18"/>
      <c r="BG27" s="18"/>
      <c r="BH27" s="18"/>
      <c r="BI27" s="15" t="s">
        <v>3465</v>
      </c>
      <c r="BJ27" s="19" t="s">
        <v>3466</v>
      </c>
      <c r="BK27" s="19" t="s">
        <v>3467</v>
      </c>
      <c r="BL27" s="18"/>
      <c r="BM27" s="18"/>
      <c r="BN27" s="18"/>
      <c r="BO27" s="19" t="s">
        <v>3468</v>
      </c>
      <c r="BP27" s="18"/>
      <c r="BQ27" s="15" t="s">
        <v>451</v>
      </c>
      <c r="BR27" s="18"/>
      <c r="BS27" s="19" t="s">
        <v>3469</v>
      </c>
      <c r="BT27" s="19" t="s">
        <v>3470</v>
      </c>
      <c r="BU27" s="19" t="s">
        <v>3471</v>
      </c>
      <c r="BV27" s="19" t="s">
        <v>3472</v>
      </c>
      <c r="BW27" s="15" t="s">
        <v>3473</v>
      </c>
      <c r="BX27" s="18"/>
      <c r="BY27" s="18" t="str">
        <f t="shared" si="2"/>
        <v>CHEM</v>
      </c>
      <c r="BZ27" s="24" t="str">
        <f t="shared" ref="BZ27:CA27" si="27">IF(ISBLANK(BU27), BL27, BU27)</f>
        <v>https://drive.google.com/open?id=1bBSXmvUAxE3YB8ZGI0c65AWHo2ghIyDY</v>
      </c>
      <c r="CA27" s="24" t="str">
        <f t="shared" si="27"/>
        <v>https://drive.google.com/open?id=1L_9j2rDLF5IVjBOuK25Zq7RdEci50Qpi</v>
      </c>
      <c r="CB27" s="15" t="s">
        <v>2908</v>
      </c>
      <c r="CC27" s="15" t="s">
        <v>2908</v>
      </c>
      <c r="CD27" s="25" t="s">
        <v>2787</v>
      </c>
      <c r="CE27" s="18"/>
      <c r="CF27" s="18"/>
      <c r="CG27" s="18"/>
    </row>
    <row r="28" ht="18.75" hidden="1" customHeight="1">
      <c r="A28" s="14">
        <v>44742.898060127314</v>
      </c>
      <c r="B28" s="15" t="s">
        <v>477</v>
      </c>
      <c r="C28" s="16" t="s">
        <v>3474</v>
      </c>
      <c r="D28" s="15" t="str">
        <f>IFERROR(__xludf.DUMMYFUNCTION("QUERY(TY_ALL_2023_Batch!$A$1:$E$824, ""SELECT E WHERE C='""&amp;B28&amp;""'"", 0)"),"CHEM")</f>
        <v>CHEM</v>
      </c>
      <c r="E28" s="15" t="s">
        <v>3475</v>
      </c>
      <c r="F28" s="15" t="s">
        <v>3476</v>
      </c>
      <c r="G28" s="15" t="s">
        <v>3477</v>
      </c>
      <c r="H28" s="15" t="s">
        <v>2826</v>
      </c>
      <c r="I28" s="17">
        <v>36955.0</v>
      </c>
      <c r="J28" s="15">
        <v>2019.0</v>
      </c>
      <c r="K28" s="15" t="s">
        <v>2786</v>
      </c>
      <c r="L28" s="15" t="s">
        <v>2787</v>
      </c>
      <c r="M28" s="18"/>
      <c r="N28" s="15" t="s">
        <v>3478</v>
      </c>
      <c r="O28" s="15" t="s">
        <v>477</v>
      </c>
      <c r="P28" s="19" t="s">
        <v>3479</v>
      </c>
      <c r="Q28" s="15">
        <v>9.0210089E9</v>
      </c>
      <c r="R28" s="15">
        <v>9.0210089E9</v>
      </c>
      <c r="S28" s="15">
        <v>8.080064933E9</v>
      </c>
      <c r="T28" s="15" t="s">
        <v>3480</v>
      </c>
      <c r="U28" s="15" t="s">
        <v>3481</v>
      </c>
      <c r="V28" s="15" t="s">
        <v>3482</v>
      </c>
      <c r="W28" s="18"/>
      <c r="X28" s="15">
        <v>92.2</v>
      </c>
      <c r="Y28" s="15" t="s">
        <v>2795</v>
      </c>
      <c r="Z28" s="15">
        <v>7.33</v>
      </c>
      <c r="AA28" s="15">
        <v>8.1</v>
      </c>
      <c r="AB28" s="15" t="s">
        <v>2796</v>
      </c>
      <c r="AC28" s="15" t="s">
        <v>2796</v>
      </c>
      <c r="AD28" s="15" t="s">
        <v>2796</v>
      </c>
      <c r="AE28" s="15" t="s">
        <v>2796</v>
      </c>
      <c r="AF28" s="15">
        <v>6.89</v>
      </c>
      <c r="AG28" s="15">
        <v>8.3</v>
      </c>
      <c r="AH28" s="15">
        <v>78.46</v>
      </c>
      <c r="AI28" s="18"/>
      <c r="AJ28" s="15" t="s">
        <v>2787</v>
      </c>
      <c r="AK28" s="15" t="s">
        <v>2787</v>
      </c>
      <c r="AL28" s="18"/>
      <c r="AM28" s="18"/>
      <c r="AN28" s="15" t="s">
        <v>2787</v>
      </c>
      <c r="AO28" s="18"/>
      <c r="AP28" s="18"/>
      <c r="AQ28" s="15" t="s">
        <v>3483</v>
      </c>
      <c r="AR28" s="18"/>
      <c r="AS28" s="18"/>
      <c r="AT28" s="18"/>
      <c r="AU28" s="18"/>
      <c r="AV28" s="18"/>
      <c r="AW28" s="15" t="s">
        <v>3484</v>
      </c>
      <c r="AX28" s="18"/>
      <c r="AY28" s="15" t="s">
        <v>3485</v>
      </c>
      <c r="AZ28" s="15" t="s">
        <v>2805</v>
      </c>
      <c r="BA28" s="15" t="s">
        <v>2899</v>
      </c>
      <c r="BB28" s="15" t="s">
        <v>3486</v>
      </c>
      <c r="BC28" s="15" t="s">
        <v>3487</v>
      </c>
      <c r="BD28" s="15" t="s">
        <v>2807</v>
      </c>
      <c r="BE28" s="15" t="s">
        <v>2796</v>
      </c>
      <c r="BF28" s="18"/>
      <c r="BG28" s="18"/>
      <c r="BH28" s="18"/>
      <c r="BI28" s="15" t="s">
        <v>3488</v>
      </c>
      <c r="BJ28" s="19" t="s">
        <v>3489</v>
      </c>
      <c r="BK28" s="19" t="s">
        <v>3490</v>
      </c>
      <c r="BL28" s="18"/>
      <c r="BM28" s="18"/>
      <c r="BN28" s="18"/>
      <c r="BO28" s="19" t="s">
        <v>3491</v>
      </c>
      <c r="BP28" s="18"/>
      <c r="BQ28" s="15" t="s">
        <v>451</v>
      </c>
      <c r="BR28" s="26"/>
      <c r="BS28" s="19" t="s">
        <v>3492</v>
      </c>
      <c r="BT28" s="19" t="s">
        <v>3493</v>
      </c>
      <c r="BU28" s="19" t="s">
        <v>3494</v>
      </c>
      <c r="BV28" s="19" t="s">
        <v>3495</v>
      </c>
      <c r="BW28" s="15" t="s">
        <v>3496</v>
      </c>
      <c r="BX28" s="26"/>
      <c r="BY28" s="18" t="str">
        <f t="shared" si="2"/>
        <v>CHEM</v>
      </c>
      <c r="BZ28" s="24" t="str">
        <f t="shared" ref="BZ28:CA28" si="28">IF(ISBLANK(BU28), BL28, BU28)</f>
        <v>https://drive.google.com/open?id=1TMytd4Fz3CWyTn_lcBLM0MFopZbRwWGw</v>
      </c>
      <c r="CA28" s="24" t="str">
        <f t="shared" si="28"/>
        <v>https://drive.google.com/open?id=1zgf7m8lIhme9L5aAndWuUCcpJILvVVw3</v>
      </c>
      <c r="CB28" s="15" t="s">
        <v>2908</v>
      </c>
      <c r="CC28" s="15" t="s">
        <v>2908</v>
      </c>
      <c r="CD28" s="25" t="s">
        <v>2787</v>
      </c>
      <c r="CE28" s="18"/>
      <c r="CF28" s="18"/>
      <c r="CG28" s="18"/>
    </row>
    <row r="29" ht="18.75" hidden="1" customHeight="1">
      <c r="A29" s="14">
        <v>44742.96350831019</v>
      </c>
      <c r="B29" s="15" t="s">
        <v>504</v>
      </c>
      <c r="C29" s="16" t="s">
        <v>3497</v>
      </c>
      <c r="D29" s="15" t="str">
        <f>IFERROR(__xludf.DUMMYFUNCTION("QUERY(TY_ALL_2023_Batch!$A$1:$E$824, ""SELECT E WHERE C='""&amp;B29&amp;""'"", 0)"),"CHEM")</f>
        <v>CHEM</v>
      </c>
      <c r="E29" s="15" t="s">
        <v>3498</v>
      </c>
      <c r="F29" s="15" t="s">
        <v>3499</v>
      </c>
      <c r="G29" s="15" t="s">
        <v>3500</v>
      </c>
      <c r="H29" s="15" t="s">
        <v>2785</v>
      </c>
      <c r="I29" s="17">
        <v>37115.0</v>
      </c>
      <c r="J29" s="15">
        <v>2019.0</v>
      </c>
      <c r="K29" s="15" t="s">
        <v>2786</v>
      </c>
      <c r="L29" s="15" t="s">
        <v>2787</v>
      </c>
      <c r="M29" s="18"/>
      <c r="N29" s="15" t="s">
        <v>3501</v>
      </c>
      <c r="O29" s="15" t="s">
        <v>504</v>
      </c>
      <c r="P29" s="19" t="s">
        <v>3502</v>
      </c>
      <c r="Q29" s="15">
        <v>9.359579622E9</v>
      </c>
      <c r="R29" s="15">
        <v>9.359579622E9</v>
      </c>
      <c r="S29" s="15">
        <v>7.75689687E9</v>
      </c>
      <c r="T29" s="15" t="s">
        <v>3499</v>
      </c>
      <c r="U29" s="15" t="s">
        <v>3503</v>
      </c>
      <c r="V29" s="15" t="s">
        <v>3504</v>
      </c>
      <c r="W29" s="15" t="s">
        <v>3505</v>
      </c>
      <c r="X29" s="15">
        <v>89.4</v>
      </c>
      <c r="Y29" s="15" t="s">
        <v>2795</v>
      </c>
      <c r="Z29" s="15">
        <v>7.71</v>
      </c>
      <c r="AA29" s="15">
        <v>8.33</v>
      </c>
      <c r="AB29" s="15" t="s">
        <v>2796</v>
      </c>
      <c r="AC29" s="15" t="s">
        <v>2796</v>
      </c>
      <c r="AD29" s="15" t="s">
        <v>2796</v>
      </c>
      <c r="AE29" s="15" t="s">
        <v>2796</v>
      </c>
      <c r="AF29" s="15">
        <v>7.63</v>
      </c>
      <c r="AG29" s="15">
        <v>8.0</v>
      </c>
      <c r="AH29" s="15">
        <v>72.62</v>
      </c>
      <c r="AI29" s="18"/>
      <c r="AJ29" s="15" t="s">
        <v>2787</v>
      </c>
      <c r="AK29" s="15" t="s">
        <v>2787</v>
      </c>
      <c r="AL29" s="18"/>
      <c r="AM29" s="18"/>
      <c r="AN29" s="15" t="s">
        <v>2787</v>
      </c>
      <c r="AO29" s="15" t="s">
        <v>2796</v>
      </c>
      <c r="AP29" s="15" t="s">
        <v>3506</v>
      </c>
      <c r="AQ29" s="15" t="s">
        <v>3507</v>
      </c>
      <c r="AR29" s="18"/>
      <c r="AS29" s="15" t="s">
        <v>3508</v>
      </c>
      <c r="AT29" s="18"/>
      <c r="AU29" s="15" t="s">
        <v>3509</v>
      </c>
      <c r="AV29" s="15" t="s">
        <v>3510</v>
      </c>
      <c r="AW29" s="15" t="s">
        <v>3511</v>
      </c>
      <c r="AX29" s="15" t="s">
        <v>3512</v>
      </c>
      <c r="AY29" s="15" t="s">
        <v>3513</v>
      </c>
      <c r="AZ29" s="15" t="s">
        <v>2805</v>
      </c>
      <c r="BA29" s="15" t="s">
        <v>2839</v>
      </c>
      <c r="BB29" s="15" t="s">
        <v>3514</v>
      </c>
      <c r="BC29" s="15" t="s">
        <v>3515</v>
      </c>
      <c r="BD29" s="15" t="s">
        <v>2807</v>
      </c>
      <c r="BE29" s="15" t="s">
        <v>3516</v>
      </c>
      <c r="BF29" s="18"/>
      <c r="BG29" s="18"/>
      <c r="BH29" s="18"/>
      <c r="BI29" s="15" t="s">
        <v>3517</v>
      </c>
      <c r="BJ29" s="19" t="s">
        <v>3518</v>
      </c>
      <c r="BK29" s="19" t="s">
        <v>3519</v>
      </c>
      <c r="BL29" s="19" t="s">
        <v>3520</v>
      </c>
      <c r="BM29" s="18"/>
      <c r="BN29" s="19" t="s">
        <v>3521</v>
      </c>
      <c r="BO29" s="19" t="s">
        <v>3522</v>
      </c>
      <c r="BP29" s="18"/>
      <c r="BQ29" s="15" t="s">
        <v>451</v>
      </c>
      <c r="BR29" s="18"/>
      <c r="BS29" s="18"/>
      <c r="BT29" s="19" t="s">
        <v>3523</v>
      </c>
      <c r="BU29" s="18"/>
      <c r="BV29" s="18"/>
      <c r="BW29" s="15" t="s">
        <v>3524</v>
      </c>
      <c r="BX29" s="18"/>
      <c r="BY29" s="18" t="str">
        <f t="shared" si="2"/>
        <v>CHEM</v>
      </c>
      <c r="BZ29" s="24" t="str">
        <f t="shared" ref="BZ29:CA29" si="29">IF(ISBLANK(BU29), BL29, BU29)</f>
        <v>https://drive.google.com/open?id=1owPTUNZGwJh4uyyJQc9BpXi6givWw2cC</v>
      </c>
      <c r="CA29" s="18" t="str">
        <f t="shared" si="29"/>
        <v/>
      </c>
      <c r="CB29" s="15" t="s">
        <v>2821</v>
      </c>
      <c r="CC29" s="15" t="s">
        <v>2908</v>
      </c>
      <c r="CD29" s="25" t="s">
        <v>2787</v>
      </c>
      <c r="CE29" s="18"/>
      <c r="CF29" s="18"/>
      <c r="CG29" s="18"/>
    </row>
    <row r="30" ht="18.75" hidden="1" customHeight="1">
      <c r="A30" s="14">
        <v>44742.98496138889</v>
      </c>
      <c r="B30" s="15" t="s">
        <v>1056</v>
      </c>
      <c r="C30" s="16" t="s">
        <v>3525</v>
      </c>
      <c r="D30" s="15" t="str">
        <f>IFERROR(__xludf.DUMMYFUNCTION("QUERY(TY_ALL_2023_Batch!$A$1:$E$824, ""SELECT E WHERE C='""&amp;B30&amp;""'"", 0)"),"CHEM")</f>
        <v>CHEM</v>
      </c>
      <c r="E30" s="15" t="s">
        <v>3142</v>
      </c>
      <c r="F30" s="15" t="s">
        <v>3526</v>
      </c>
      <c r="G30" s="15" t="s">
        <v>3296</v>
      </c>
      <c r="H30" s="15" t="s">
        <v>2785</v>
      </c>
      <c r="I30" s="17">
        <v>36754.0</v>
      </c>
      <c r="J30" s="15">
        <v>2020.0</v>
      </c>
      <c r="K30" s="15" t="s">
        <v>2941</v>
      </c>
      <c r="L30" s="15" t="s">
        <v>2787</v>
      </c>
      <c r="M30" s="18"/>
      <c r="N30" s="15" t="s">
        <v>3527</v>
      </c>
      <c r="O30" s="15" t="s">
        <v>1056</v>
      </c>
      <c r="P30" s="19" t="s">
        <v>3528</v>
      </c>
      <c r="Q30" s="15">
        <v>8.379014373E9</v>
      </c>
      <c r="R30" s="15">
        <v>8.379014373E9</v>
      </c>
      <c r="S30" s="15">
        <v>9.822845089E9</v>
      </c>
      <c r="T30" s="15" t="s">
        <v>3526</v>
      </c>
      <c r="U30" s="15" t="s">
        <v>3083</v>
      </c>
      <c r="V30" s="15" t="s">
        <v>3529</v>
      </c>
      <c r="W30" s="15" t="s">
        <v>3529</v>
      </c>
      <c r="X30" s="15">
        <v>78.2</v>
      </c>
      <c r="Y30" s="15" t="s">
        <v>2948</v>
      </c>
      <c r="Z30" s="15">
        <v>8.14</v>
      </c>
      <c r="AA30" s="15">
        <v>7.14</v>
      </c>
      <c r="AB30" s="15" t="s">
        <v>2796</v>
      </c>
      <c r="AC30" s="15" t="s">
        <v>2796</v>
      </c>
      <c r="AD30" s="15" t="s">
        <v>2796</v>
      </c>
      <c r="AE30" s="15" t="s">
        <v>2796</v>
      </c>
      <c r="AF30" s="18"/>
      <c r="AG30" s="18"/>
      <c r="AH30" s="18"/>
      <c r="AI30" s="15">
        <v>85.0</v>
      </c>
      <c r="AJ30" s="15" t="s">
        <v>2787</v>
      </c>
      <c r="AK30" s="15" t="s">
        <v>2787</v>
      </c>
      <c r="AL30" s="15">
        <v>227.0</v>
      </c>
      <c r="AM30" s="15">
        <v>351.0</v>
      </c>
      <c r="AN30" s="15" t="s">
        <v>2787</v>
      </c>
      <c r="AO30" s="15" t="s">
        <v>2796</v>
      </c>
      <c r="AP30" s="15" t="s">
        <v>3530</v>
      </c>
      <c r="AQ30" s="15" t="s">
        <v>3531</v>
      </c>
      <c r="AR30" s="15" t="s">
        <v>3532</v>
      </c>
      <c r="AS30" s="15"/>
      <c r="AT30" s="18"/>
      <c r="AU30" s="15" t="s">
        <v>2796</v>
      </c>
      <c r="AV30" s="15" t="s">
        <v>2796</v>
      </c>
      <c r="AW30" s="15" t="s">
        <v>3533</v>
      </c>
      <c r="AX30" s="18"/>
      <c r="AY30" s="15" t="s">
        <v>3534</v>
      </c>
      <c r="AZ30" s="15" t="s">
        <v>2805</v>
      </c>
      <c r="BA30" s="15" t="s">
        <v>3535</v>
      </c>
      <c r="BB30" s="15" t="s">
        <v>2807</v>
      </c>
      <c r="BC30" s="15" t="s">
        <v>3536</v>
      </c>
      <c r="BD30" s="15" t="s">
        <v>2807</v>
      </c>
      <c r="BE30" s="15" t="s">
        <v>3537</v>
      </c>
      <c r="BF30" s="15" t="s">
        <v>3538</v>
      </c>
      <c r="BG30" s="18"/>
      <c r="BH30" s="18"/>
      <c r="BI30" s="18"/>
      <c r="BJ30" s="19" t="s">
        <v>3539</v>
      </c>
      <c r="BK30" s="19" t="s">
        <v>3540</v>
      </c>
      <c r="BL30" s="19" t="s">
        <v>3541</v>
      </c>
      <c r="BM30" s="19" t="s">
        <v>3542</v>
      </c>
      <c r="BN30" s="18"/>
      <c r="BO30" s="19" t="s">
        <v>3543</v>
      </c>
      <c r="BP30" s="18"/>
      <c r="BQ30" s="15" t="s">
        <v>451</v>
      </c>
      <c r="BR30" s="18"/>
      <c r="BS30" s="18"/>
      <c r="BT30" s="19" t="s">
        <v>3544</v>
      </c>
      <c r="BU30" s="19" t="s">
        <v>3545</v>
      </c>
      <c r="BV30" s="19" t="s">
        <v>3546</v>
      </c>
      <c r="BW30" s="15" t="s">
        <v>3547</v>
      </c>
      <c r="BX30" s="18"/>
      <c r="BY30" s="18" t="str">
        <f t="shared" si="2"/>
        <v>CHEM</v>
      </c>
      <c r="BZ30" s="24" t="str">
        <f t="shared" ref="BZ30:CA30" si="30">IF(ISBLANK(BU30), BL30, BU30)</f>
        <v>https://drive.google.com/open?id=184qPuMDaH-0jHLtqZOtk7eDkzoat-IZU</v>
      </c>
      <c r="CA30" s="24" t="str">
        <f t="shared" si="30"/>
        <v>https://drive.google.com/open?id=1fADerOnXlHgmEqlZuHTDhOKbmrSdUasE</v>
      </c>
      <c r="CB30" s="15" t="s">
        <v>2821</v>
      </c>
      <c r="CC30" s="15" t="s">
        <v>2821</v>
      </c>
      <c r="CD30" s="25" t="s">
        <v>2787</v>
      </c>
      <c r="CE30" s="18"/>
      <c r="CF30" s="18"/>
      <c r="CG30" s="18"/>
    </row>
    <row r="31" ht="18.75" hidden="1" customHeight="1">
      <c r="A31" s="14">
        <v>44739.429633078704</v>
      </c>
      <c r="B31" s="15" t="s">
        <v>449</v>
      </c>
      <c r="C31" s="16" t="s">
        <v>3548</v>
      </c>
      <c r="D31" s="15" t="str">
        <f>IFERROR(__xludf.DUMMYFUNCTION("QUERY(TY_ALL_2023_Batch!$A$1:$E$824, ""SELECT E WHERE C='""&amp;B31&amp;""'"", 0)"),"CHEM")</f>
        <v>CHEM</v>
      </c>
      <c r="E31" s="15" t="s">
        <v>3549</v>
      </c>
      <c r="F31" s="15" t="s">
        <v>3550</v>
      </c>
      <c r="G31" s="15" t="s">
        <v>3551</v>
      </c>
      <c r="H31" s="15" t="s">
        <v>2826</v>
      </c>
      <c r="I31" s="17">
        <v>36972.0</v>
      </c>
      <c r="J31" s="15">
        <v>2019.0</v>
      </c>
      <c r="K31" s="15" t="s">
        <v>2786</v>
      </c>
      <c r="L31" s="15" t="s">
        <v>2787</v>
      </c>
      <c r="M31" s="18"/>
      <c r="N31" s="15" t="s">
        <v>3552</v>
      </c>
      <c r="O31" s="15" t="s">
        <v>449</v>
      </c>
      <c r="P31" s="19" t="s">
        <v>3553</v>
      </c>
      <c r="Q31" s="15">
        <v>9.359022656E9</v>
      </c>
      <c r="R31" s="15">
        <v>9.359022656E9</v>
      </c>
      <c r="S31" s="15">
        <v>9.763421663E9</v>
      </c>
      <c r="T31" s="15" t="s">
        <v>3554</v>
      </c>
      <c r="U31" s="15" t="s">
        <v>3555</v>
      </c>
      <c r="V31" s="15" t="s">
        <v>3556</v>
      </c>
      <c r="W31" s="15" t="s">
        <v>3557</v>
      </c>
      <c r="X31" s="15">
        <v>91.0</v>
      </c>
      <c r="Y31" s="15" t="s">
        <v>2795</v>
      </c>
      <c r="Z31" s="15">
        <v>9.19</v>
      </c>
      <c r="AA31" s="15">
        <v>9.0</v>
      </c>
      <c r="AB31" s="15" t="s">
        <v>2796</v>
      </c>
      <c r="AC31" s="15" t="s">
        <v>2796</v>
      </c>
      <c r="AD31" s="15" t="s">
        <v>2796</v>
      </c>
      <c r="AE31" s="15" t="s">
        <v>2796</v>
      </c>
      <c r="AF31" s="15">
        <v>8.47</v>
      </c>
      <c r="AG31" s="15">
        <v>8.67</v>
      </c>
      <c r="AH31" s="15">
        <v>89.2</v>
      </c>
      <c r="AI31" s="18"/>
      <c r="AJ31" s="15" t="s">
        <v>2787</v>
      </c>
      <c r="AK31" s="15" t="s">
        <v>2787</v>
      </c>
      <c r="AL31" s="15">
        <v>603.33</v>
      </c>
      <c r="AM31" s="15">
        <v>663.33</v>
      </c>
      <c r="AN31" s="15" t="s">
        <v>2797</v>
      </c>
      <c r="AO31" s="15" t="s">
        <v>2796</v>
      </c>
      <c r="AP31" s="15" t="s">
        <v>2796</v>
      </c>
      <c r="AQ31" s="15" t="s">
        <v>3558</v>
      </c>
      <c r="AR31" s="15" t="s">
        <v>3559</v>
      </c>
      <c r="AS31" s="15" t="s">
        <v>2796</v>
      </c>
      <c r="AT31" s="15" t="s">
        <v>2796</v>
      </c>
      <c r="AU31" s="15" t="s">
        <v>2796</v>
      </c>
      <c r="AV31" s="15" t="s">
        <v>3560</v>
      </c>
      <c r="AW31" s="15" t="s">
        <v>3561</v>
      </c>
      <c r="AX31" s="18"/>
      <c r="AY31" s="15" t="s">
        <v>3562</v>
      </c>
      <c r="AZ31" s="15" t="s">
        <v>2805</v>
      </c>
      <c r="BA31" s="15" t="s">
        <v>2806</v>
      </c>
      <c r="BB31" s="15" t="s">
        <v>2807</v>
      </c>
      <c r="BC31" s="15" t="s">
        <v>3563</v>
      </c>
      <c r="BD31" s="15" t="s">
        <v>2807</v>
      </c>
      <c r="BE31" s="15" t="s">
        <v>3564</v>
      </c>
      <c r="BF31" s="18"/>
      <c r="BG31" s="15" t="s">
        <v>3565</v>
      </c>
      <c r="BH31" s="18"/>
      <c r="BI31" s="15" t="s">
        <v>3566</v>
      </c>
      <c r="BJ31" s="19" t="s">
        <v>3567</v>
      </c>
      <c r="BK31" s="19" t="s">
        <v>3568</v>
      </c>
      <c r="BL31" s="19" t="s">
        <v>3569</v>
      </c>
      <c r="BM31" s="19" t="s">
        <v>3570</v>
      </c>
      <c r="BN31" s="19" t="s">
        <v>3571</v>
      </c>
      <c r="BO31" s="19" t="s">
        <v>3572</v>
      </c>
      <c r="BP31" s="19" t="s">
        <v>3573</v>
      </c>
      <c r="BQ31" s="15" t="s">
        <v>451</v>
      </c>
      <c r="BR31" s="26"/>
      <c r="BS31" s="26"/>
      <c r="BT31" s="19" t="s">
        <v>3574</v>
      </c>
      <c r="BU31" s="19" t="s">
        <v>3575</v>
      </c>
      <c r="BV31" s="19" t="s">
        <v>3576</v>
      </c>
      <c r="BW31" s="15" t="s">
        <v>3577</v>
      </c>
      <c r="BX31" s="26"/>
      <c r="BY31" s="18" t="str">
        <f t="shared" si="2"/>
        <v>CHEM</v>
      </c>
      <c r="BZ31" s="24" t="str">
        <f t="shared" ref="BZ31:CA31" si="31">IF(ISBLANK(BU31), BL31, BU31)</f>
        <v>https://drive.google.com/open?id=1DCJ-JcXvaz6pqmKfBKXOGFGTgsNj5CCg</v>
      </c>
      <c r="CA31" s="24" t="str">
        <f t="shared" si="31"/>
        <v>https://drive.google.com/open?id=1dsqOlwE1VKwNkKGhha14nxysjjWIdEYL</v>
      </c>
      <c r="CB31" s="15" t="s">
        <v>2821</v>
      </c>
      <c r="CC31" s="15" t="s">
        <v>2821</v>
      </c>
      <c r="CD31" s="25" t="s">
        <v>2787</v>
      </c>
      <c r="CE31" s="18"/>
      <c r="CF31" s="18"/>
      <c r="CG31" s="18"/>
    </row>
    <row r="32" ht="18.75" hidden="1" customHeight="1">
      <c r="A32" s="14">
        <v>44743.05401402777</v>
      </c>
      <c r="B32" s="15" t="s">
        <v>1080</v>
      </c>
      <c r="C32" s="16" t="s">
        <v>3578</v>
      </c>
      <c r="D32" s="15" t="str">
        <f>IFERROR(__xludf.DUMMYFUNCTION("QUERY(TY_ALL_2023_Batch!$A$1:$E$824, ""SELECT E WHERE C='""&amp;B32&amp;""'"", 0)"),"CHEM")</f>
        <v>CHEM</v>
      </c>
      <c r="E32" s="15" t="s">
        <v>3579</v>
      </c>
      <c r="F32" s="15" t="s">
        <v>3580</v>
      </c>
      <c r="G32" s="15" t="s">
        <v>3581</v>
      </c>
      <c r="H32" s="15" t="s">
        <v>2826</v>
      </c>
      <c r="I32" s="17">
        <v>36446.0</v>
      </c>
      <c r="J32" s="15">
        <v>2020.0</v>
      </c>
      <c r="K32" s="15" t="s">
        <v>2941</v>
      </c>
      <c r="L32" s="15" t="s">
        <v>2787</v>
      </c>
      <c r="M32" s="18"/>
      <c r="N32" s="15" t="s">
        <v>3582</v>
      </c>
      <c r="O32" s="15" t="s">
        <v>1080</v>
      </c>
      <c r="P32" s="19" t="s">
        <v>3583</v>
      </c>
      <c r="Q32" s="15">
        <v>9.561525595E9</v>
      </c>
      <c r="R32" s="15">
        <v>9.561525595E9</v>
      </c>
      <c r="S32" s="15">
        <v>9.561525595E9</v>
      </c>
      <c r="T32" s="15" t="s">
        <v>3580</v>
      </c>
      <c r="U32" s="15" t="s">
        <v>3584</v>
      </c>
      <c r="V32" s="15" t="s">
        <v>3585</v>
      </c>
      <c r="W32" s="15" t="s">
        <v>3586</v>
      </c>
      <c r="X32" s="15">
        <v>69.0</v>
      </c>
      <c r="Y32" s="15" t="s">
        <v>2948</v>
      </c>
      <c r="Z32" s="15">
        <v>7.29</v>
      </c>
      <c r="AA32" s="15">
        <v>7.52</v>
      </c>
      <c r="AB32" s="15" t="s">
        <v>2796</v>
      </c>
      <c r="AC32" s="15" t="s">
        <v>2796</v>
      </c>
      <c r="AD32" s="15" t="s">
        <v>2796</v>
      </c>
      <c r="AE32" s="15" t="s">
        <v>2796</v>
      </c>
      <c r="AF32" s="18"/>
      <c r="AG32" s="18"/>
      <c r="AH32" s="18"/>
      <c r="AI32" s="15">
        <v>79.89</v>
      </c>
      <c r="AJ32" s="15" t="s">
        <v>2787</v>
      </c>
      <c r="AK32" s="15" t="s">
        <v>2787</v>
      </c>
      <c r="AL32" s="15">
        <v>405.0</v>
      </c>
      <c r="AM32" s="18"/>
      <c r="AN32" s="15" t="s">
        <v>2797</v>
      </c>
      <c r="AO32" s="18"/>
      <c r="AP32" s="18"/>
      <c r="AQ32" s="15" t="s">
        <v>3587</v>
      </c>
      <c r="AR32" s="18"/>
      <c r="AS32" s="15" t="s">
        <v>2870</v>
      </c>
      <c r="AT32" s="18"/>
      <c r="AU32" s="15" t="s">
        <v>2796</v>
      </c>
      <c r="AV32" s="15" t="s">
        <v>2796</v>
      </c>
      <c r="AW32" s="15" t="s">
        <v>3588</v>
      </c>
      <c r="AX32" s="18"/>
      <c r="AY32" s="15" t="s">
        <v>3589</v>
      </c>
      <c r="AZ32" s="15" t="s">
        <v>2805</v>
      </c>
      <c r="BA32" s="15" t="s">
        <v>2870</v>
      </c>
      <c r="BB32" s="15" t="s">
        <v>2807</v>
      </c>
      <c r="BC32" s="15" t="s">
        <v>3012</v>
      </c>
      <c r="BD32" s="15" t="s">
        <v>2807</v>
      </c>
      <c r="BE32" s="15" t="s">
        <v>2796</v>
      </c>
      <c r="BF32" s="18"/>
      <c r="BG32" s="18"/>
      <c r="BH32" s="18"/>
      <c r="BI32" s="15" t="s">
        <v>3590</v>
      </c>
      <c r="BJ32" s="19" t="s">
        <v>3591</v>
      </c>
      <c r="BK32" s="19" t="s">
        <v>3592</v>
      </c>
      <c r="BL32" s="19" t="s">
        <v>3593</v>
      </c>
      <c r="BM32" s="18"/>
      <c r="BN32" s="18"/>
      <c r="BO32" s="19" t="s">
        <v>3594</v>
      </c>
      <c r="BP32" s="18"/>
      <c r="BQ32" s="15" t="s">
        <v>451</v>
      </c>
      <c r="BR32" s="26"/>
      <c r="BS32" s="19" t="s">
        <v>3595</v>
      </c>
      <c r="BT32" s="19" t="s">
        <v>3596</v>
      </c>
      <c r="BU32" s="19" t="s">
        <v>3597</v>
      </c>
      <c r="BV32" s="26"/>
      <c r="BW32" s="15" t="s">
        <v>3598</v>
      </c>
      <c r="BX32" s="26"/>
      <c r="BY32" s="18" t="str">
        <f t="shared" si="2"/>
        <v>CHEM</v>
      </c>
      <c r="BZ32" s="24" t="str">
        <f t="shared" ref="BZ32:CA32" si="32">IF(ISBLANK(BU32), BL32, BU32)</f>
        <v>https://drive.google.com/open?id=1Oixbv-2MskggiY9auU-I9Punxuv4iKK0</v>
      </c>
      <c r="CA32" s="18" t="str">
        <f t="shared" si="32"/>
        <v/>
      </c>
      <c r="CB32" s="15" t="s">
        <v>3599</v>
      </c>
      <c r="CC32" s="15" t="s">
        <v>2908</v>
      </c>
      <c r="CD32" s="25" t="s">
        <v>2787</v>
      </c>
      <c r="CE32" s="18"/>
      <c r="CF32" s="18"/>
      <c r="CG32" s="18"/>
    </row>
    <row r="33" ht="18.75" hidden="1" customHeight="1">
      <c r="A33" s="14">
        <v>44745.58630596065</v>
      </c>
      <c r="B33" s="15" t="s">
        <v>507</v>
      </c>
      <c r="C33" s="16" t="s">
        <v>3600</v>
      </c>
      <c r="D33" s="15" t="str">
        <f>IFERROR(__xludf.DUMMYFUNCTION("QUERY(TY_ALL_2023_Batch!$A$1:$E$824, ""SELECT E WHERE C='""&amp;B33&amp;""'"", 0)"),"CHEM")</f>
        <v>CHEM</v>
      </c>
      <c r="E33" s="15" t="s">
        <v>3601</v>
      </c>
      <c r="F33" s="15" t="s">
        <v>3602</v>
      </c>
      <c r="G33" s="15" t="s">
        <v>3603</v>
      </c>
      <c r="H33" s="15" t="s">
        <v>2785</v>
      </c>
      <c r="I33" s="17">
        <v>36572.0</v>
      </c>
      <c r="J33" s="15">
        <v>2019.0</v>
      </c>
      <c r="K33" s="15" t="s">
        <v>2786</v>
      </c>
      <c r="L33" s="15" t="s">
        <v>2787</v>
      </c>
      <c r="M33" s="18"/>
      <c r="N33" s="15" t="s">
        <v>3604</v>
      </c>
      <c r="O33" s="15" t="s">
        <v>507</v>
      </c>
      <c r="P33" s="19" t="s">
        <v>3605</v>
      </c>
      <c r="Q33" s="15">
        <v>9.665519196E9</v>
      </c>
      <c r="R33" s="15">
        <v>9.665519196E9</v>
      </c>
      <c r="S33" s="15">
        <v>9.309712327E9</v>
      </c>
      <c r="T33" s="15" t="s">
        <v>3602</v>
      </c>
      <c r="U33" s="15" t="s">
        <v>3606</v>
      </c>
      <c r="V33" s="15" t="s">
        <v>3607</v>
      </c>
      <c r="W33" s="15" t="s">
        <v>3608</v>
      </c>
      <c r="X33" s="15">
        <v>82.0</v>
      </c>
      <c r="Y33" s="15" t="s">
        <v>2795</v>
      </c>
      <c r="Z33" s="15">
        <v>8.71</v>
      </c>
      <c r="AA33" s="15">
        <v>8.86</v>
      </c>
      <c r="AB33" s="15" t="s">
        <v>2796</v>
      </c>
      <c r="AC33" s="15" t="s">
        <v>2796</v>
      </c>
      <c r="AD33" s="15" t="s">
        <v>2796</v>
      </c>
      <c r="AE33" s="15" t="s">
        <v>2796</v>
      </c>
      <c r="AF33" s="15">
        <v>7.26</v>
      </c>
      <c r="AG33" s="15">
        <v>7.86</v>
      </c>
      <c r="AH33" s="15">
        <v>60.0</v>
      </c>
      <c r="AI33" s="18"/>
      <c r="AJ33" s="15" t="s">
        <v>2787</v>
      </c>
      <c r="AK33" s="15" t="s">
        <v>2787</v>
      </c>
      <c r="AL33" s="15">
        <v>475.0</v>
      </c>
      <c r="AM33" s="15">
        <v>532.0</v>
      </c>
      <c r="AN33" s="15" t="s">
        <v>2787</v>
      </c>
      <c r="AO33" s="15" t="s">
        <v>2797</v>
      </c>
      <c r="AP33" s="15" t="s">
        <v>3609</v>
      </c>
      <c r="AQ33" s="15" t="s">
        <v>3610</v>
      </c>
      <c r="AR33" s="18"/>
      <c r="AS33" s="18"/>
      <c r="AT33" s="18"/>
      <c r="AU33" s="18"/>
      <c r="AV33" s="18"/>
      <c r="AW33" s="15" t="s">
        <v>3611</v>
      </c>
      <c r="AX33" s="18"/>
      <c r="AY33" s="15" t="s">
        <v>3612</v>
      </c>
      <c r="AZ33" s="15" t="s">
        <v>2805</v>
      </c>
      <c r="BA33" s="15" t="s">
        <v>3613</v>
      </c>
      <c r="BB33" s="15" t="s">
        <v>2807</v>
      </c>
      <c r="BC33" s="15" t="s">
        <v>3614</v>
      </c>
      <c r="BD33" s="15" t="s">
        <v>3615</v>
      </c>
      <c r="BE33" s="15" t="s">
        <v>3616</v>
      </c>
      <c r="BF33" s="18"/>
      <c r="BG33" s="18"/>
      <c r="BH33" s="15" t="s">
        <v>3617</v>
      </c>
      <c r="BI33" s="15" t="s">
        <v>3618</v>
      </c>
      <c r="BJ33" s="19" t="s">
        <v>3619</v>
      </c>
      <c r="BK33" s="19" t="s">
        <v>3620</v>
      </c>
      <c r="BL33" s="19" t="s">
        <v>3621</v>
      </c>
      <c r="BM33" s="19" t="s">
        <v>3622</v>
      </c>
      <c r="BN33" s="19" t="s">
        <v>3623</v>
      </c>
      <c r="BO33" s="19" t="s">
        <v>3624</v>
      </c>
      <c r="BP33" s="18"/>
      <c r="BQ33" s="15" t="s">
        <v>451</v>
      </c>
      <c r="BR33" s="18"/>
      <c r="BS33" s="18"/>
      <c r="BT33" s="19" t="s">
        <v>3625</v>
      </c>
      <c r="BU33" s="18"/>
      <c r="BV33" s="18"/>
      <c r="BW33" s="15" t="s">
        <v>3626</v>
      </c>
      <c r="BX33" s="18"/>
      <c r="BY33" s="18" t="str">
        <f t="shared" si="2"/>
        <v>CHEM</v>
      </c>
      <c r="BZ33" s="24" t="str">
        <f t="shared" ref="BZ33:CA33" si="33">IF(ISBLANK(BU33), BL33, BU33)</f>
        <v>https://drive.google.com/open?id=1pDxDPXzfbTU5MGK1l3E2-FsoqGjyy3p1</v>
      </c>
      <c r="CA33" s="24" t="str">
        <f t="shared" si="33"/>
        <v>https://drive.google.com/open?id=1zO6cvezL7S99QxyQMtTqONMlKYfkeiK7</v>
      </c>
      <c r="CB33" s="15" t="s">
        <v>2821</v>
      </c>
      <c r="CC33" s="15" t="s">
        <v>2821</v>
      </c>
      <c r="CD33" s="25" t="s">
        <v>2787</v>
      </c>
      <c r="CE33" s="18"/>
      <c r="CF33" s="18"/>
      <c r="CG33" s="18"/>
    </row>
    <row r="34" ht="18.75" hidden="1" customHeight="1">
      <c r="A34" s="14">
        <v>44736.44256393518</v>
      </c>
      <c r="B34" s="15" t="s">
        <v>474</v>
      </c>
      <c r="C34" s="16" t="s">
        <v>3627</v>
      </c>
      <c r="D34" s="15" t="str">
        <f>IFERROR(__xludf.DUMMYFUNCTION("QUERY(TY_ALL_2023_Batch!$A$1:$E$824, ""SELECT E WHERE C='""&amp;B34&amp;""'"", 0)"),"CHEM")</f>
        <v>CHEM</v>
      </c>
      <c r="E34" s="15" t="s">
        <v>3628</v>
      </c>
      <c r="F34" s="15" t="s">
        <v>3629</v>
      </c>
      <c r="G34" s="15" t="s">
        <v>3630</v>
      </c>
      <c r="H34" s="15" t="s">
        <v>2785</v>
      </c>
      <c r="I34" s="17">
        <v>36966.0</v>
      </c>
      <c r="J34" s="15">
        <v>2019.0</v>
      </c>
      <c r="K34" s="15" t="s">
        <v>2786</v>
      </c>
      <c r="L34" s="15" t="s">
        <v>2787</v>
      </c>
      <c r="M34" s="18"/>
      <c r="N34" s="15" t="s">
        <v>3631</v>
      </c>
      <c r="O34" s="15" t="s">
        <v>474</v>
      </c>
      <c r="P34" s="19" t="s">
        <v>3632</v>
      </c>
      <c r="Q34" s="15">
        <v>9.130927358E9</v>
      </c>
      <c r="R34" s="15">
        <v>9.130927358E9</v>
      </c>
      <c r="S34" s="15">
        <v>8.055512022E9</v>
      </c>
      <c r="T34" s="15" t="s">
        <v>3633</v>
      </c>
      <c r="U34" s="15" t="s">
        <v>3634</v>
      </c>
      <c r="V34" s="15" t="s">
        <v>3635</v>
      </c>
      <c r="W34" s="15" t="s">
        <v>3635</v>
      </c>
      <c r="X34" s="15">
        <v>83.6</v>
      </c>
      <c r="Y34" s="15" t="s">
        <v>2795</v>
      </c>
      <c r="Z34" s="15">
        <v>7.52</v>
      </c>
      <c r="AA34" s="15">
        <v>7.71</v>
      </c>
      <c r="AB34" s="15" t="s">
        <v>2796</v>
      </c>
      <c r="AC34" s="15" t="s">
        <v>2796</v>
      </c>
      <c r="AD34" s="15" t="s">
        <v>2796</v>
      </c>
      <c r="AE34" s="15" t="s">
        <v>2796</v>
      </c>
      <c r="AF34" s="15">
        <v>6.68</v>
      </c>
      <c r="AG34" s="15">
        <v>7.67</v>
      </c>
      <c r="AH34" s="15">
        <v>57.08</v>
      </c>
      <c r="AI34" s="18"/>
      <c r="AJ34" s="15" t="s">
        <v>2787</v>
      </c>
      <c r="AK34" s="15" t="s">
        <v>2787</v>
      </c>
      <c r="AL34" s="15" t="s">
        <v>3636</v>
      </c>
      <c r="AM34" s="15" t="s">
        <v>3637</v>
      </c>
      <c r="AN34" s="15" t="s">
        <v>2787</v>
      </c>
      <c r="AO34" s="15" t="s">
        <v>2796</v>
      </c>
      <c r="AP34" s="15" t="s">
        <v>3638</v>
      </c>
      <c r="AQ34" s="15" t="s">
        <v>2796</v>
      </c>
      <c r="AR34" s="15" t="s">
        <v>2796</v>
      </c>
      <c r="AS34" s="15" t="s">
        <v>2951</v>
      </c>
      <c r="AT34" s="18"/>
      <c r="AU34" s="15" t="s">
        <v>3639</v>
      </c>
      <c r="AV34" s="15" t="s">
        <v>3640</v>
      </c>
      <c r="AW34" s="15" t="s">
        <v>3641</v>
      </c>
      <c r="AX34" s="18"/>
      <c r="AY34" s="15" t="s">
        <v>3642</v>
      </c>
      <c r="AZ34" s="15" t="s">
        <v>2805</v>
      </c>
      <c r="BA34" s="15" t="s">
        <v>2899</v>
      </c>
      <c r="BB34" s="15" t="s">
        <v>2807</v>
      </c>
      <c r="BC34" s="15" t="s">
        <v>3643</v>
      </c>
      <c r="BD34" s="15" t="s">
        <v>2807</v>
      </c>
      <c r="BE34" s="15" t="s">
        <v>3644</v>
      </c>
      <c r="BF34" s="15" t="s">
        <v>2796</v>
      </c>
      <c r="BG34" s="15" t="s">
        <v>2796</v>
      </c>
      <c r="BH34" s="15"/>
      <c r="BI34" s="15" t="s">
        <v>3645</v>
      </c>
      <c r="BJ34" s="19" t="s">
        <v>3646</v>
      </c>
      <c r="BK34" s="19" t="s">
        <v>3647</v>
      </c>
      <c r="BL34" s="18"/>
      <c r="BM34" s="18"/>
      <c r="BN34" s="18"/>
      <c r="BO34" s="19" t="s">
        <v>3648</v>
      </c>
      <c r="BP34" s="18"/>
      <c r="BQ34" s="15" t="s">
        <v>451</v>
      </c>
      <c r="BR34" s="26"/>
      <c r="BS34" s="26"/>
      <c r="BT34" s="26"/>
      <c r="BU34" s="26"/>
      <c r="BV34" s="26"/>
      <c r="BW34" s="26"/>
      <c r="BX34" s="26"/>
      <c r="BY34" s="18" t="str">
        <f t="shared" si="2"/>
        <v>CHEM</v>
      </c>
      <c r="BZ34" s="18" t="str">
        <f t="shared" ref="BZ34:CA34" si="34">IF(ISBLANK(BU34), BL34, BU34)</f>
        <v/>
      </c>
      <c r="CA34" s="18" t="str">
        <f t="shared" si="34"/>
        <v/>
      </c>
      <c r="CB34" s="15" t="s">
        <v>2908</v>
      </c>
      <c r="CC34" s="15" t="s">
        <v>2908</v>
      </c>
      <c r="CD34" s="25" t="s">
        <v>2797</v>
      </c>
      <c r="CE34" s="18"/>
      <c r="CF34" s="18"/>
      <c r="CG34" s="18"/>
    </row>
    <row r="35" ht="18.75" hidden="1" customHeight="1">
      <c r="A35" s="14">
        <v>44744.813281979164</v>
      </c>
      <c r="B35" s="15" t="s">
        <v>1047</v>
      </c>
      <c r="C35" s="16" t="s">
        <v>3649</v>
      </c>
      <c r="D35" s="15" t="str">
        <f>IFERROR(__xludf.DUMMYFUNCTION("QUERY(TY_ALL_2023_Batch!$A$1:$E$824, ""SELECT E WHERE C='""&amp;B35&amp;""'"", 0)"),"CHEM")</f>
        <v>CHEM</v>
      </c>
      <c r="E35" s="15" t="s">
        <v>3650</v>
      </c>
      <c r="F35" s="15" t="s">
        <v>3651</v>
      </c>
      <c r="G35" s="15" t="s">
        <v>3652</v>
      </c>
      <c r="H35" s="15" t="s">
        <v>2826</v>
      </c>
      <c r="I35" s="17">
        <v>44730.0</v>
      </c>
      <c r="J35" s="15">
        <v>2020.0</v>
      </c>
      <c r="K35" s="15" t="s">
        <v>2941</v>
      </c>
      <c r="L35" s="15" t="s">
        <v>2787</v>
      </c>
      <c r="M35" s="18"/>
      <c r="N35" s="15" t="s">
        <v>3653</v>
      </c>
      <c r="O35" s="15" t="s">
        <v>1047</v>
      </c>
      <c r="P35" s="19" t="s">
        <v>3654</v>
      </c>
      <c r="Q35" s="15">
        <v>7.37863702E9</v>
      </c>
      <c r="R35" s="15">
        <v>7.37863702E9</v>
      </c>
      <c r="S35" s="15">
        <v>8.459226426E9</v>
      </c>
      <c r="T35" s="15" t="s">
        <v>3655</v>
      </c>
      <c r="U35" s="15" t="s">
        <v>3656</v>
      </c>
      <c r="V35" s="15" t="s">
        <v>3657</v>
      </c>
      <c r="W35" s="15" t="s">
        <v>3658</v>
      </c>
      <c r="X35" s="15">
        <v>82.4</v>
      </c>
      <c r="Y35" s="15" t="s">
        <v>2948</v>
      </c>
      <c r="Z35" s="15">
        <v>8.62</v>
      </c>
      <c r="AA35" s="15">
        <v>7.9</v>
      </c>
      <c r="AB35" s="15" t="s">
        <v>2796</v>
      </c>
      <c r="AC35" s="15" t="s">
        <v>2796</v>
      </c>
      <c r="AD35" s="15" t="s">
        <v>2796</v>
      </c>
      <c r="AE35" s="15" t="s">
        <v>2796</v>
      </c>
      <c r="AF35" s="18"/>
      <c r="AG35" s="18"/>
      <c r="AH35" s="18"/>
      <c r="AI35" s="15">
        <v>80.44</v>
      </c>
      <c r="AJ35" s="15" t="s">
        <v>2787</v>
      </c>
      <c r="AK35" s="15" t="s">
        <v>2787</v>
      </c>
      <c r="AL35" s="15">
        <v>366.0</v>
      </c>
      <c r="AM35" s="15">
        <v>516.0</v>
      </c>
      <c r="AN35" s="15" t="s">
        <v>2797</v>
      </c>
      <c r="AO35" s="18"/>
      <c r="AP35" s="18"/>
      <c r="AQ35" s="15" t="s">
        <v>2797</v>
      </c>
      <c r="AR35" s="18"/>
      <c r="AS35" s="15" t="s">
        <v>2952</v>
      </c>
      <c r="AT35" s="18"/>
      <c r="AU35" s="18"/>
      <c r="AV35" s="15" t="s">
        <v>3659</v>
      </c>
      <c r="AW35" s="15" t="s">
        <v>3660</v>
      </c>
      <c r="AX35" s="15" t="s">
        <v>3661</v>
      </c>
      <c r="AY35" s="15" t="s">
        <v>3659</v>
      </c>
      <c r="AZ35" s="15" t="s">
        <v>2805</v>
      </c>
      <c r="BA35" s="15" t="s">
        <v>2870</v>
      </c>
      <c r="BB35" s="15" t="s">
        <v>2807</v>
      </c>
      <c r="BC35" s="15" t="s">
        <v>3132</v>
      </c>
      <c r="BD35" s="15" t="s">
        <v>2807</v>
      </c>
      <c r="BE35" s="15" t="s">
        <v>3662</v>
      </c>
      <c r="BF35" s="18"/>
      <c r="BG35" s="18"/>
      <c r="BH35" s="15" t="s">
        <v>3663</v>
      </c>
      <c r="BI35" s="15" t="s">
        <v>3664</v>
      </c>
      <c r="BJ35" s="19" t="s">
        <v>3665</v>
      </c>
      <c r="BK35" s="19" t="s">
        <v>3666</v>
      </c>
      <c r="BL35" s="18"/>
      <c r="BM35" s="18"/>
      <c r="BN35" s="19" t="s">
        <v>3667</v>
      </c>
      <c r="BO35" s="19" t="s">
        <v>3668</v>
      </c>
      <c r="BP35" s="19" t="s">
        <v>3669</v>
      </c>
      <c r="BQ35" s="15" t="s">
        <v>451</v>
      </c>
      <c r="BR35" s="26"/>
      <c r="BS35" s="26"/>
      <c r="BT35" s="26"/>
      <c r="BU35" s="26"/>
      <c r="BV35" s="26"/>
      <c r="BW35" s="15" t="s">
        <v>3670</v>
      </c>
      <c r="BX35" s="26"/>
      <c r="BY35" s="18" t="str">
        <f t="shared" si="2"/>
        <v>CHEM</v>
      </c>
      <c r="BZ35" s="18" t="str">
        <f t="shared" ref="BZ35:CA35" si="35">IF(ISBLANK(BU35), BL35, BU35)</f>
        <v/>
      </c>
      <c r="CA35" s="18" t="str">
        <f t="shared" si="35"/>
        <v/>
      </c>
      <c r="CB35" s="15" t="s">
        <v>2908</v>
      </c>
      <c r="CC35" s="15" t="s">
        <v>2908</v>
      </c>
      <c r="CD35" s="25" t="s">
        <v>2797</v>
      </c>
      <c r="CE35" s="18"/>
      <c r="CF35" s="18"/>
      <c r="CG35" s="18"/>
    </row>
    <row r="36" ht="18.75" hidden="1" customHeight="1">
      <c r="A36" s="14">
        <v>44736.6604634838</v>
      </c>
      <c r="B36" s="15" t="s">
        <v>483</v>
      </c>
      <c r="C36" s="16" t="s">
        <v>3671</v>
      </c>
      <c r="D36" s="15" t="str">
        <f>IFERROR(__xludf.DUMMYFUNCTION("QUERY(TY_ALL_2023_Batch!$A$1:$E$824, ""SELECT E WHERE C='""&amp;B36&amp;""'"", 0)"),"CHEM")</f>
        <v>CHEM</v>
      </c>
      <c r="E36" s="15" t="s">
        <v>3672</v>
      </c>
      <c r="F36" s="15" t="s">
        <v>3673</v>
      </c>
      <c r="G36" s="15" t="s">
        <v>3674</v>
      </c>
      <c r="H36" s="15" t="s">
        <v>2785</v>
      </c>
      <c r="I36" s="17">
        <v>36643.0</v>
      </c>
      <c r="J36" s="15">
        <v>2019.0</v>
      </c>
      <c r="K36" s="15" t="s">
        <v>2786</v>
      </c>
      <c r="L36" s="15" t="s">
        <v>2787</v>
      </c>
      <c r="M36" s="18"/>
      <c r="N36" s="15" t="s">
        <v>3675</v>
      </c>
      <c r="O36" s="15" t="s">
        <v>483</v>
      </c>
      <c r="P36" s="19" t="s">
        <v>3676</v>
      </c>
      <c r="Q36" s="15">
        <v>7.666294077E9</v>
      </c>
      <c r="R36" s="15">
        <v>7.666294077E9</v>
      </c>
      <c r="S36" s="15">
        <v>8.055605056E9</v>
      </c>
      <c r="T36" s="15" t="s">
        <v>3673</v>
      </c>
      <c r="U36" s="15" t="s">
        <v>3677</v>
      </c>
      <c r="V36" s="16" t="s">
        <v>3678</v>
      </c>
      <c r="W36" s="18"/>
      <c r="X36" s="15">
        <v>84.4</v>
      </c>
      <c r="Y36" s="15" t="s">
        <v>2795</v>
      </c>
      <c r="Z36" s="15">
        <v>7.38</v>
      </c>
      <c r="AA36" s="15">
        <v>7.81</v>
      </c>
      <c r="AB36" s="15" t="s">
        <v>2796</v>
      </c>
      <c r="AC36" s="15" t="s">
        <v>2796</v>
      </c>
      <c r="AD36" s="15" t="s">
        <v>2796</v>
      </c>
      <c r="AE36" s="15" t="s">
        <v>2796</v>
      </c>
      <c r="AF36" s="15">
        <v>6.74</v>
      </c>
      <c r="AG36" s="15">
        <v>7.38</v>
      </c>
      <c r="AH36" s="15">
        <v>72.0</v>
      </c>
      <c r="AI36" s="18"/>
      <c r="AJ36" s="15" t="s">
        <v>2787</v>
      </c>
      <c r="AK36" s="15" t="s">
        <v>2787</v>
      </c>
      <c r="AL36" s="18"/>
      <c r="AM36" s="18"/>
      <c r="AN36" s="15" t="s">
        <v>2787</v>
      </c>
      <c r="AO36" s="15" t="s">
        <v>3679</v>
      </c>
      <c r="AP36" s="15" t="s">
        <v>3680</v>
      </c>
      <c r="AQ36" s="15" t="s">
        <v>3681</v>
      </c>
      <c r="AR36" s="18"/>
      <c r="AS36" s="18"/>
      <c r="AT36" s="18"/>
      <c r="AU36" s="15" t="s">
        <v>3682</v>
      </c>
      <c r="AV36" s="15" t="s">
        <v>3683</v>
      </c>
      <c r="AW36" s="15" t="s">
        <v>3684</v>
      </c>
      <c r="AX36" s="18"/>
      <c r="AY36" s="15" t="s">
        <v>3685</v>
      </c>
      <c r="AZ36" s="15" t="s">
        <v>2805</v>
      </c>
      <c r="BA36" s="15" t="s">
        <v>2870</v>
      </c>
      <c r="BB36" s="15" t="s">
        <v>2807</v>
      </c>
      <c r="BC36" s="15" t="s">
        <v>3686</v>
      </c>
      <c r="BD36" s="15" t="s">
        <v>2807</v>
      </c>
      <c r="BE36" s="15" t="s">
        <v>2796</v>
      </c>
      <c r="BF36" s="18"/>
      <c r="BG36" s="18"/>
      <c r="BH36" s="18"/>
      <c r="BI36" s="18"/>
      <c r="BJ36" s="19" t="s">
        <v>3687</v>
      </c>
      <c r="BK36" s="19" t="s">
        <v>3688</v>
      </c>
      <c r="BL36" s="18"/>
      <c r="BM36" s="19" t="s">
        <v>3689</v>
      </c>
      <c r="BN36" s="19" t="s">
        <v>3690</v>
      </c>
      <c r="BO36" s="19" t="s">
        <v>3691</v>
      </c>
      <c r="BP36" s="18"/>
      <c r="BQ36" s="15" t="s">
        <v>451</v>
      </c>
      <c r="BR36" s="26"/>
      <c r="BS36" s="26"/>
      <c r="BT36" s="26"/>
      <c r="BU36" s="26"/>
      <c r="BV36" s="26"/>
      <c r="BW36" s="15" t="s">
        <v>3692</v>
      </c>
      <c r="BX36" s="26"/>
      <c r="BY36" s="18" t="str">
        <f t="shared" si="2"/>
        <v>CHEM</v>
      </c>
      <c r="BZ36" s="18" t="str">
        <f t="shared" ref="BZ36:CA36" si="36">IF(ISBLANK(BU36), BL36, BU36)</f>
        <v/>
      </c>
      <c r="CA36" s="24" t="str">
        <f t="shared" si="36"/>
        <v>https://drive.google.com/open?id=19fEJ5Qjn3a1z0D-_a47XSct2pgL63DiN</v>
      </c>
      <c r="CB36" s="15" t="s">
        <v>2908</v>
      </c>
      <c r="CC36" s="15" t="s">
        <v>2821</v>
      </c>
      <c r="CD36" s="25" t="s">
        <v>2797</v>
      </c>
      <c r="CE36" s="18"/>
      <c r="CF36" s="18"/>
      <c r="CG36" s="18"/>
    </row>
    <row r="37" ht="18.75" hidden="1" customHeight="1">
      <c r="A37" s="14">
        <v>44742.54152362268</v>
      </c>
      <c r="B37" s="15" t="s">
        <v>516</v>
      </c>
      <c r="C37" s="15">
        <v>1.20190564E8</v>
      </c>
      <c r="D37" s="15" t="str">
        <f>IFERROR(__xludf.DUMMYFUNCTION("QUERY(TY_ALL_2023_Batch!$A$1:$E$824, ""SELECT E WHERE C='""&amp;B37&amp;""'"", 0)"),"CHEM")</f>
        <v>CHEM</v>
      </c>
      <c r="E37" s="15" t="s">
        <v>3693</v>
      </c>
      <c r="F37" s="15" t="s">
        <v>3694</v>
      </c>
      <c r="G37" s="15" t="s">
        <v>3695</v>
      </c>
      <c r="H37" s="15" t="s">
        <v>2826</v>
      </c>
      <c r="I37" s="17">
        <v>37198.0</v>
      </c>
      <c r="J37" s="15">
        <v>2019.0</v>
      </c>
      <c r="K37" s="15" t="s">
        <v>2786</v>
      </c>
      <c r="L37" s="15" t="s">
        <v>2787</v>
      </c>
      <c r="M37" s="18"/>
      <c r="N37" s="15" t="s">
        <v>3696</v>
      </c>
      <c r="O37" s="15" t="s">
        <v>516</v>
      </c>
      <c r="P37" s="19" t="s">
        <v>3697</v>
      </c>
      <c r="Q37" s="15">
        <v>7.888195458E9</v>
      </c>
      <c r="R37" s="15">
        <v>7.888195458E9</v>
      </c>
      <c r="S37" s="18"/>
      <c r="T37" s="15" t="s">
        <v>3698</v>
      </c>
      <c r="U37" s="15" t="s">
        <v>3699</v>
      </c>
      <c r="V37" s="15" t="s">
        <v>3700</v>
      </c>
      <c r="W37" s="18"/>
      <c r="X37" s="15">
        <v>75.4</v>
      </c>
      <c r="Y37" s="15" t="s">
        <v>2795</v>
      </c>
      <c r="Z37" s="15">
        <v>7.24</v>
      </c>
      <c r="AA37" s="15">
        <v>8.0</v>
      </c>
      <c r="AB37" s="15" t="s">
        <v>2796</v>
      </c>
      <c r="AC37" s="15" t="s">
        <v>2796</v>
      </c>
      <c r="AD37" s="15" t="s">
        <v>2796</v>
      </c>
      <c r="AE37" s="15" t="s">
        <v>2796</v>
      </c>
      <c r="AF37" s="15">
        <v>7.63</v>
      </c>
      <c r="AG37" s="15">
        <v>8.29</v>
      </c>
      <c r="AH37" s="15">
        <v>76.4</v>
      </c>
      <c r="AI37" s="18"/>
      <c r="AJ37" s="15" t="s">
        <v>2787</v>
      </c>
      <c r="AK37" s="15" t="s">
        <v>2787</v>
      </c>
      <c r="AL37" s="15">
        <v>678.3</v>
      </c>
      <c r="AM37" s="15">
        <v>426.6</v>
      </c>
      <c r="AN37" s="15" t="s">
        <v>2787</v>
      </c>
      <c r="AO37" s="18"/>
      <c r="AP37" s="18"/>
      <c r="AQ37" s="15" t="s">
        <v>3313</v>
      </c>
      <c r="AR37" s="15" t="s">
        <v>3701</v>
      </c>
      <c r="AS37" s="18"/>
      <c r="AT37" s="18"/>
      <c r="AU37" s="18"/>
      <c r="AV37" s="18"/>
      <c r="AW37" s="15" t="s">
        <v>3702</v>
      </c>
      <c r="AX37" s="18"/>
      <c r="AY37" s="15" t="s">
        <v>3703</v>
      </c>
      <c r="AZ37" s="15" t="s">
        <v>2805</v>
      </c>
      <c r="BA37" s="15" t="s">
        <v>2899</v>
      </c>
      <c r="BB37" s="15" t="s">
        <v>2807</v>
      </c>
      <c r="BC37" s="15" t="s">
        <v>3132</v>
      </c>
      <c r="BD37" s="15" t="s">
        <v>2807</v>
      </c>
      <c r="BE37" s="15" t="s">
        <v>3704</v>
      </c>
      <c r="BF37" s="18"/>
      <c r="BG37" s="18"/>
      <c r="BH37" s="18"/>
      <c r="BI37" s="18"/>
      <c r="BJ37" s="19" t="s">
        <v>3705</v>
      </c>
      <c r="BK37" s="20" t="s">
        <v>3706</v>
      </c>
      <c r="BL37" s="19" t="s">
        <v>3707</v>
      </c>
      <c r="BM37" s="19" t="s">
        <v>3708</v>
      </c>
      <c r="BN37" s="18"/>
      <c r="BO37" s="19" t="s">
        <v>3709</v>
      </c>
      <c r="BP37" s="18"/>
      <c r="BQ37" s="15" t="s">
        <v>451</v>
      </c>
      <c r="BR37" s="18"/>
      <c r="BS37" s="18"/>
      <c r="BT37" s="18"/>
      <c r="BU37" s="19" t="s">
        <v>3710</v>
      </c>
      <c r="BV37" s="19" t="s">
        <v>3711</v>
      </c>
      <c r="BW37" s="15" t="s">
        <v>3712</v>
      </c>
      <c r="BX37" s="18"/>
      <c r="BY37" s="18" t="str">
        <f t="shared" si="2"/>
        <v>CHEM</v>
      </c>
      <c r="BZ37" s="24" t="str">
        <f t="shared" ref="BZ37:CA37" si="37">IF(ISBLANK(BU37), BL37, BU37)</f>
        <v>https://drive.google.com/open?id=1vRCR6HGRX9j2zpyVhRT7M6hRv5W_ua0s</v>
      </c>
      <c r="CA37" s="24" t="str">
        <f t="shared" si="37"/>
        <v>https://drive.google.com/open?id=1Q3cVBfGHdQVKClP9-yIrd9fYucWQgrTE</v>
      </c>
      <c r="CB37" s="15" t="s">
        <v>2821</v>
      </c>
      <c r="CC37" s="15" t="s">
        <v>2821</v>
      </c>
      <c r="CD37" s="25" t="s">
        <v>2797</v>
      </c>
      <c r="CE37" s="18"/>
      <c r="CF37" s="18"/>
      <c r="CG37" s="18"/>
    </row>
    <row r="38" ht="18.75" hidden="1" customHeight="1">
      <c r="A38" s="14">
        <v>44749.7026615162</v>
      </c>
      <c r="B38" s="15" t="s">
        <v>522</v>
      </c>
      <c r="C38" s="16" t="s">
        <v>3713</v>
      </c>
      <c r="D38" s="15" t="str">
        <f>IFERROR(__xludf.DUMMYFUNCTION("QUERY(TY_ALL_2023_Batch!$A$1:$E$824, ""SELECT E WHERE C='""&amp;B38&amp;""'"", 0)"),"CHEM")</f>
        <v>CHEM</v>
      </c>
      <c r="E38" s="15" t="s">
        <v>3714</v>
      </c>
      <c r="F38" s="15" t="s">
        <v>3715</v>
      </c>
      <c r="G38" s="15" t="s">
        <v>3716</v>
      </c>
      <c r="H38" s="15" t="s">
        <v>2785</v>
      </c>
      <c r="I38" s="17">
        <v>36985.0</v>
      </c>
      <c r="J38" s="15">
        <v>2019.0</v>
      </c>
      <c r="K38" s="15" t="s">
        <v>2786</v>
      </c>
      <c r="L38" s="15" t="s">
        <v>2787</v>
      </c>
      <c r="M38" s="18"/>
      <c r="N38" s="15" t="s">
        <v>3717</v>
      </c>
      <c r="O38" s="15" t="s">
        <v>3718</v>
      </c>
      <c r="P38" s="19" t="s">
        <v>3719</v>
      </c>
      <c r="Q38" s="15">
        <v>9.021425849E9</v>
      </c>
      <c r="R38" s="15">
        <v>9.021425849E9</v>
      </c>
      <c r="S38" s="15">
        <v>9.834991569E9</v>
      </c>
      <c r="T38" s="15" t="s">
        <v>3629</v>
      </c>
      <c r="U38" s="15" t="s">
        <v>3720</v>
      </c>
      <c r="V38" s="15" t="s">
        <v>3721</v>
      </c>
      <c r="W38" s="18"/>
      <c r="X38" s="15">
        <v>62.6</v>
      </c>
      <c r="Y38" s="15" t="s">
        <v>2795</v>
      </c>
      <c r="Z38" s="15">
        <v>7.04</v>
      </c>
      <c r="AA38" s="15">
        <v>7.04</v>
      </c>
      <c r="AB38" s="15">
        <v>7.9</v>
      </c>
      <c r="AC38" s="15" t="s">
        <v>2796</v>
      </c>
      <c r="AD38" s="15" t="s">
        <v>2796</v>
      </c>
      <c r="AE38" s="15" t="s">
        <v>2796</v>
      </c>
      <c r="AF38" s="15">
        <v>7.62</v>
      </c>
      <c r="AG38" s="15">
        <v>7.62</v>
      </c>
      <c r="AH38" s="15">
        <v>57.0</v>
      </c>
      <c r="AI38" s="18"/>
      <c r="AJ38" s="15" t="s">
        <v>2787</v>
      </c>
      <c r="AK38" s="15" t="s">
        <v>2787</v>
      </c>
      <c r="AL38" s="18"/>
      <c r="AM38" s="18"/>
      <c r="AN38" s="15" t="s">
        <v>2797</v>
      </c>
      <c r="AO38" s="18"/>
      <c r="AP38" s="18"/>
      <c r="AQ38" s="15" t="s">
        <v>2821</v>
      </c>
      <c r="AR38" s="18"/>
      <c r="AS38" s="18"/>
      <c r="AT38" s="18"/>
      <c r="AU38" s="18"/>
      <c r="AV38" s="18"/>
      <c r="AW38" s="15" t="s">
        <v>3722</v>
      </c>
      <c r="AX38" s="18"/>
      <c r="AY38" s="15" t="s">
        <v>3723</v>
      </c>
      <c r="AZ38" s="15" t="s">
        <v>2805</v>
      </c>
      <c r="BA38" s="15" t="s">
        <v>2899</v>
      </c>
      <c r="BB38" s="15" t="s">
        <v>2807</v>
      </c>
      <c r="BC38" s="15" t="s">
        <v>3724</v>
      </c>
      <c r="BD38" s="15" t="s">
        <v>3725</v>
      </c>
      <c r="BE38" s="15" t="s">
        <v>3726</v>
      </c>
      <c r="BF38" s="18"/>
      <c r="BG38" s="18"/>
      <c r="BH38" s="18"/>
      <c r="BI38" s="18"/>
      <c r="BJ38" s="19" t="s">
        <v>3727</v>
      </c>
      <c r="BK38" s="19" t="s">
        <v>3728</v>
      </c>
      <c r="BL38" s="18"/>
      <c r="BM38" s="18"/>
      <c r="BN38" s="19" t="s">
        <v>3729</v>
      </c>
      <c r="BO38" s="19" t="s">
        <v>3730</v>
      </c>
      <c r="BP38" s="19" t="s">
        <v>3731</v>
      </c>
      <c r="BQ38" s="15" t="s">
        <v>451</v>
      </c>
      <c r="BR38" s="26"/>
      <c r="BS38" s="26"/>
      <c r="BT38" s="26"/>
      <c r="BU38" s="26"/>
      <c r="BV38" s="26"/>
      <c r="BW38" s="15" t="s">
        <v>3732</v>
      </c>
      <c r="BX38" s="26"/>
      <c r="BY38" s="18" t="str">
        <f t="shared" si="2"/>
        <v>CHEM</v>
      </c>
      <c r="BZ38" s="18" t="str">
        <f t="shared" ref="BZ38:CA38" si="38">IF(ISBLANK(BU38), BL38, BU38)</f>
        <v/>
      </c>
      <c r="CA38" s="18" t="str">
        <f t="shared" si="38"/>
        <v/>
      </c>
      <c r="CB38" s="15" t="s">
        <v>2908</v>
      </c>
      <c r="CC38" s="15" t="s">
        <v>2908</v>
      </c>
      <c r="CD38" s="25" t="s">
        <v>2797</v>
      </c>
      <c r="CE38" s="18"/>
      <c r="CF38" s="18"/>
      <c r="CG38" s="18"/>
    </row>
    <row r="39" ht="18.75" hidden="1" customHeight="1">
      <c r="A39" s="14">
        <v>44739.500487129626</v>
      </c>
      <c r="B39" s="15" t="s">
        <v>471</v>
      </c>
      <c r="C39" s="16" t="s">
        <v>3733</v>
      </c>
      <c r="D39" s="15" t="str">
        <f>IFERROR(__xludf.DUMMYFUNCTION("QUERY(TY_ALL_2023_Batch!$A$1:$E$824, ""SELECT E WHERE C='""&amp;B39&amp;""'"", 0)"),"CHEM")</f>
        <v>CHEM</v>
      </c>
      <c r="E39" s="15" t="s">
        <v>3734</v>
      </c>
      <c r="F39" s="15" t="s">
        <v>3735</v>
      </c>
      <c r="G39" s="15" t="s">
        <v>3736</v>
      </c>
      <c r="H39" s="15" t="s">
        <v>2826</v>
      </c>
      <c r="I39" s="17">
        <v>36670.0</v>
      </c>
      <c r="J39" s="15">
        <v>2019.0</v>
      </c>
      <c r="K39" s="15" t="s">
        <v>2786</v>
      </c>
      <c r="L39" s="15" t="s">
        <v>2787</v>
      </c>
      <c r="M39" s="18"/>
      <c r="N39" s="15" t="s">
        <v>3737</v>
      </c>
      <c r="O39" s="15" t="s">
        <v>471</v>
      </c>
      <c r="P39" s="19" t="s">
        <v>3738</v>
      </c>
      <c r="Q39" s="15">
        <v>7.620496796E9</v>
      </c>
      <c r="R39" s="15">
        <v>7.620496796E9</v>
      </c>
      <c r="S39" s="15">
        <v>7.620496796E9</v>
      </c>
      <c r="T39" s="15" t="s">
        <v>3739</v>
      </c>
      <c r="U39" s="15" t="s">
        <v>3740</v>
      </c>
      <c r="V39" s="15" t="s">
        <v>3741</v>
      </c>
      <c r="W39" s="15" t="s">
        <v>3742</v>
      </c>
      <c r="X39" s="15">
        <v>87.0</v>
      </c>
      <c r="Y39" s="15" t="s">
        <v>2795</v>
      </c>
      <c r="Z39" s="15">
        <v>7.57</v>
      </c>
      <c r="AA39" s="15">
        <v>7.86</v>
      </c>
      <c r="AB39" s="15" t="s">
        <v>2796</v>
      </c>
      <c r="AC39" s="15" t="s">
        <v>2796</v>
      </c>
      <c r="AD39" s="15" t="s">
        <v>2796</v>
      </c>
      <c r="AE39" s="15" t="s">
        <v>2796</v>
      </c>
      <c r="AF39" s="15">
        <v>7.16</v>
      </c>
      <c r="AG39" s="15">
        <v>8.19</v>
      </c>
      <c r="AH39" s="15">
        <v>63.0</v>
      </c>
      <c r="AI39" s="18"/>
      <c r="AJ39" s="15" t="s">
        <v>2787</v>
      </c>
      <c r="AK39" s="15" t="s">
        <v>2787</v>
      </c>
      <c r="AL39" s="15" t="s">
        <v>3313</v>
      </c>
      <c r="AM39" s="15" t="s">
        <v>3313</v>
      </c>
      <c r="AN39" s="15" t="s">
        <v>2787</v>
      </c>
      <c r="AO39" s="15" t="s">
        <v>3313</v>
      </c>
      <c r="AP39" s="15" t="s">
        <v>3313</v>
      </c>
      <c r="AQ39" s="15" t="s">
        <v>3743</v>
      </c>
      <c r="AR39" s="15" t="s">
        <v>3744</v>
      </c>
      <c r="AS39" s="15" t="s">
        <v>3745</v>
      </c>
      <c r="AT39" s="15" t="s">
        <v>3313</v>
      </c>
      <c r="AU39" s="15" t="s">
        <v>3313</v>
      </c>
      <c r="AV39" s="15" t="s">
        <v>3746</v>
      </c>
      <c r="AW39" s="15" t="s">
        <v>3747</v>
      </c>
      <c r="AX39" s="15" t="s">
        <v>3748</v>
      </c>
      <c r="AY39" s="15" t="s">
        <v>3749</v>
      </c>
      <c r="AZ39" s="15" t="s">
        <v>2805</v>
      </c>
      <c r="BA39" s="15" t="s">
        <v>2870</v>
      </c>
      <c r="BB39" s="15" t="s">
        <v>2807</v>
      </c>
      <c r="BC39" s="15" t="s">
        <v>3750</v>
      </c>
      <c r="BD39" s="15" t="s">
        <v>2807</v>
      </c>
      <c r="BE39" s="15" t="s">
        <v>2796</v>
      </c>
      <c r="BF39" s="15" t="s">
        <v>2796</v>
      </c>
      <c r="BG39" s="15" t="s">
        <v>3751</v>
      </c>
      <c r="BH39" s="15" t="s">
        <v>3313</v>
      </c>
      <c r="BI39" s="15" t="s">
        <v>3313</v>
      </c>
      <c r="BJ39" s="19" t="s">
        <v>3752</v>
      </c>
      <c r="BK39" s="19" t="s">
        <v>3753</v>
      </c>
      <c r="BL39" s="18"/>
      <c r="BM39" s="18"/>
      <c r="BN39" s="19" t="s">
        <v>3754</v>
      </c>
      <c r="BO39" s="19" t="s">
        <v>3755</v>
      </c>
      <c r="BP39" s="19" t="s">
        <v>3756</v>
      </c>
      <c r="BQ39" s="15" t="s">
        <v>451</v>
      </c>
      <c r="BR39" s="19" t="s">
        <v>3757</v>
      </c>
      <c r="BS39" s="19" t="s">
        <v>3758</v>
      </c>
      <c r="BT39" s="19" t="s">
        <v>3759</v>
      </c>
      <c r="BU39" s="26"/>
      <c r="BV39" s="26"/>
      <c r="BW39" s="15" t="s">
        <v>3760</v>
      </c>
      <c r="BX39" s="26"/>
      <c r="BY39" s="18" t="str">
        <f t="shared" si="2"/>
        <v>CHEM</v>
      </c>
      <c r="BZ39" s="18" t="str">
        <f t="shared" ref="BZ39:CA39" si="39">IF(ISBLANK(BU39), BL39, BU39)</f>
        <v/>
      </c>
      <c r="CA39" s="18" t="str">
        <f t="shared" si="39"/>
        <v/>
      </c>
      <c r="CB39" s="15" t="s">
        <v>2908</v>
      </c>
      <c r="CC39" s="15" t="s">
        <v>2908</v>
      </c>
      <c r="CD39" s="25" t="s">
        <v>2787</v>
      </c>
      <c r="CE39" s="18"/>
      <c r="CF39" s="18"/>
      <c r="CG39" s="18"/>
    </row>
    <row r="40" ht="18.75" hidden="1" customHeight="1">
      <c r="A40" s="14">
        <v>44735.62742887731</v>
      </c>
      <c r="B40" s="15" t="s">
        <v>3761</v>
      </c>
      <c r="C40" s="16" t="s">
        <v>3762</v>
      </c>
      <c r="D40" s="15" t="str">
        <f>IFERROR(__xludf.DUMMYFUNCTION("QUERY(TY_ALL_2023_Batch!$A$1:$E$824, ""SELECT E WHERE C='""&amp;B40&amp;""'"", 0)"),"#N/A")</f>
        <v>#N/A</v>
      </c>
      <c r="E40" s="15" t="s">
        <v>3672</v>
      </c>
      <c r="F40" s="15" t="s">
        <v>3763</v>
      </c>
      <c r="G40" s="15" t="s">
        <v>3764</v>
      </c>
      <c r="H40" s="15" t="s">
        <v>2785</v>
      </c>
      <c r="I40" s="17">
        <v>36562.0</v>
      </c>
      <c r="J40" s="15">
        <v>2020.0</v>
      </c>
      <c r="K40" s="15" t="s">
        <v>2941</v>
      </c>
      <c r="L40" s="15" t="s">
        <v>2787</v>
      </c>
      <c r="M40" s="18"/>
      <c r="N40" s="15" t="s">
        <v>1068</v>
      </c>
      <c r="O40" s="15" t="s">
        <v>3761</v>
      </c>
      <c r="P40" s="19" t="s">
        <v>3765</v>
      </c>
      <c r="Q40" s="15">
        <v>7.557571515E9</v>
      </c>
      <c r="R40" s="15">
        <v>7.557571515E9</v>
      </c>
      <c r="S40" s="15">
        <v>8.888486809E9</v>
      </c>
      <c r="T40" s="15" t="s">
        <v>3766</v>
      </c>
      <c r="U40" s="15" t="s">
        <v>3767</v>
      </c>
      <c r="V40" s="15" t="s">
        <v>3768</v>
      </c>
      <c r="W40" s="15" t="s">
        <v>3769</v>
      </c>
      <c r="X40" s="15">
        <v>87.0</v>
      </c>
      <c r="Y40" s="15" t="s">
        <v>2948</v>
      </c>
      <c r="Z40" s="15">
        <v>9.14</v>
      </c>
      <c r="AA40" s="15">
        <v>8.38</v>
      </c>
      <c r="AB40" s="15" t="s">
        <v>2796</v>
      </c>
      <c r="AC40" s="15" t="s">
        <v>2796</v>
      </c>
      <c r="AD40" s="15" t="s">
        <v>2796</v>
      </c>
      <c r="AE40" s="15" t="s">
        <v>2796</v>
      </c>
      <c r="AF40" s="18"/>
      <c r="AG40" s="18"/>
      <c r="AH40" s="18"/>
      <c r="AI40" s="15">
        <v>83.0</v>
      </c>
      <c r="AJ40" s="15" t="s">
        <v>2797</v>
      </c>
      <c r="AK40" s="15" t="s">
        <v>2787</v>
      </c>
      <c r="AL40" s="18"/>
      <c r="AM40" s="15" t="s">
        <v>3770</v>
      </c>
      <c r="AN40" s="15" t="s">
        <v>2797</v>
      </c>
      <c r="AO40" s="18"/>
      <c r="AP40" s="18"/>
      <c r="AQ40" s="15" t="s">
        <v>2796</v>
      </c>
      <c r="AR40" s="18"/>
      <c r="AS40" s="15" t="s">
        <v>2951</v>
      </c>
      <c r="AT40" s="18"/>
      <c r="AU40" s="18"/>
      <c r="AV40" s="18"/>
      <c r="AW40" s="15" t="s">
        <v>3771</v>
      </c>
      <c r="AX40" s="18"/>
      <c r="AY40" s="15" t="s">
        <v>3772</v>
      </c>
      <c r="AZ40" s="15" t="s">
        <v>2805</v>
      </c>
      <c r="BA40" s="15" t="s">
        <v>3773</v>
      </c>
      <c r="BB40" s="15" t="s">
        <v>2807</v>
      </c>
      <c r="BC40" s="15" t="s">
        <v>3774</v>
      </c>
      <c r="BD40" s="15" t="s">
        <v>2807</v>
      </c>
      <c r="BE40" s="15" t="s">
        <v>3775</v>
      </c>
      <c r="BF40" s="18"/>
      <c r="BG40" s="18"/>
      <c r="BH40" s="18"/>
      <c r="BI40" s="18"/>
      <c r="BJ40" s="19" t="s">
        <v>3776</v>
      </c>
      <c r="BK40" s="19" t="s">
        <v>3777</v>
      </c>
      <c r="BL40" s="18"/>
      <c r="BM40" s="18"/>
      <c r="BN40" s="18"/>
      <c r="BO40" s="19" t="s">
        <v>3778</v>
      </c>
      <c r="BP40" s="18"/>
      <c r="BQ40" s="15" t="s">
        <v>451</v>
      </c>
      <c r="BR40" s="26"/>
      <c r="BS40" s="26"/>
      <c r="BT40" s="26"/>
      <c r="BU40" s="26"/>
      <c r="BV40" s="26"/>
      <c r="BW40" s="26"/>
      <c r="BX40" s="26"/>
      <c r="BY40" s="18" t="str">
        <f t="shared" si="2"/>
        <v>CHEM</v>
      </c>
      <c r="BZ40" s="18" t="str">
        <f t="shared" ref="BZ40:CA40" si="40">IF(ISBLANK(BU40), BL40, BU40)</f>
        <v/>
      </c>
      <c r="CA40" s="18" t="str">
        <f t="shared" si="40"/>
        <v/>
      </c>
      <c r="CB40" s="15" t="s">
        <v>2908</v>
      </c>
      <c r="CC40" s="15" t="s">
        <v>2908</v>
      </c>
      <c r="CD40" s="25" t="s">
        <v>2797</v>
      </c>
      <c r="CE40" s="18"/>
      <c r="CF40" s="18"/>
      <c r="CG40" s="18"/>
    </row>
    <row r="41" ht="18.75" hidden="1" customHeight="1">
      <c r="A41" s="14">
        <v>44738.81441885416</v>
      </c>
      <c r="B41" s="15" t="s">
        <v>3779</v>
      </c>
      <c r="C41" s="16" t="s">
        <v>3780</v>
      </c>
      <c r="D41" s="15" t="str">
        <f>IFERROR(__xludf.DUMMYFUNCTION("QUERY(TY_ALL_2023_Batch!$A$1:$E$824, ""SELECT E WHERE C='""&amp;B41&amp;""'"", 0)"),"#N/A")</f>
        <v>#N/A</v>
      </c>
      <c r="E41" s="15" t="s">
        <v>3781</v>
      </c>
      <c r="F41" s="15" t="s">
        <v>3782</v>
      </c>
      <c r="G41" s="15" t="s">
        <v>3783</v>
      </c>
      <c r="H41" s="15" t="s">
        <v>2785</v>
      </c>
      <c r="I41" s="17">
        <v>36408.0</v>
      </c>
      <c r="J41" s="15">
        <v>2020.0</v>
      </c>
      <c r="K41" s="15" t="s">
        <v>2941</v>
      </c>
      <c r="L41" s="15" t="s">
        <v>2787</v>
      </c>
      <c r="M41" s="18"/>
      <c r="N41" s="15" t="s">
        <v>1053</v>
      </c>
      <c r="O41" s="15" t="s">
        <v>3779</v>
      </c>
      <c r="P41" s="19" t="s">
        <v>3784</v>
      </c>
      <c r="Q41" s="15">
        <v>8.605179657E9</v>
      </c>
      <c r="R41" s="15">
        <v>8.605179657E9</v>
      </c>
      <c r="S41" s="15">
        <v>7.057940293E9</v>
      </c>
      <c r="T41" s="15" t="s">
        <v>3785</v>
      </c>
      <c r="U41" s="15" t="s">
        <v>3786</v>
      </c>
      <c r="V41" s="15" t="s">
        <v>3787</v>
      </c>
      <c r="W41" s="18"/>
      <c r="X41" s="15">
        <v>85.4</v>
      </c>
      <c r="Y41" s="15" t="s">
        <v>2948</v>
      </c>
      <c r="Z41" s="15">
        <v>8.76</v>
      </c>
      <c r="AA41" s="15">
        <v>8.62</v>
      </c>
      <c r="AB41" s="15" t="s">
        <v>2796</v>
      </c>
      <c r="AC41" s="15" t="s">
        <v>2796</v>
      </c>
      <c r="AD41" s="15" t="s">
        <v>2796</v>
      </c>
      <c r="AE41" s="15" t="s">
        <v>2796</v>
      </c>
      <c r="AF41" s="18"/>
      <c r="AG41" s="18"/>
      <c r="AH41" s="18"/>
      <c r="AI41" s="15">
        <v>85.54</v>
      </c>
      <c r="AJ41" s="15" t="s">
        <v>2787</v>
      </c>
      <c r="AK41" s="15" t="s">
        <v>2787</v>
      </c>
      <c r="AL41" s="15">
        <v>541.66</v>
      </c>
      <c r="AM41" s="15">
        <v>503.33</v>
      </c>
      <c r="AN41" s="15" t="s">
        <v>2797</v>
      </c>
      <c r="AO41" s="15" t="s">
        <v>2796</v>
      </c>
      <c r="AP41" s="15" t="s">
        <v>2796</v>
      </c>
      <c r="AQ41" s="15" t="s">
        <v>3788</v>
      </c>
      <c r="AR41" s="15" t="s">
        <v>3789</v>
      </c>
      <c r="AS41" s="15"/>
      <c r="AT41" s="18"/>
      <c r="AU41" s="15" t="s">
        <v>2796</v>
      </c>
      <c r="AV41" s="15" t="s">
        <v>2796</v>
      </c>
      <c r="AW41" s="15" t="s">
        <v>3790</v>
      </c>
      <c r="AX41" s="18"/>
      <c r="AY41" s="15" t="s">
        <v>3791</v>
      </c>
      <c r="AZ41" s="15" t="s">
        <v>3179</v>
      </c>
      <c r="BA41" s="15" t="s">
        <v>2870</v>
      </c>
      <c r="BB41" s="15" t="s">
        <v>2807</v>
      </c>
      <c r="BC41" s="15" t="s">
        <v>3792</v>
      </c>
      <c r="BD41" s="15" t="s">
        <v>2807</v>
      </c>
      <c r="BE41" s="15" t="s">
        <v>2796</v>
      </c>
      <c r="BF41" s="18"/>
      <c r="BG41" s="18"/>
      <c r="BH41" s="18"/>
      <c r="BI41" s="15" t="s">
        <v>3793</v>
      </c>
      <c r="BJ41" s="19" t="s">
        <v>3794</v>
      </c>
      <c r="BK41" s="19" t="s">
        <v>3795</v>
      </c>
      <c r="BL41" s="19" t="s">
        <v>3796</v>
      </c>
      <c r="BM41" s="19" t="s">
        <v>3797</v>
      </c>
      <c r="BN41" s="19" t="s">
        <v>3798</v>
      </c>
      <c r="BO41" s="19" t="s">
        <v>3799</v>
      </c>
      <c r="BP41" s="18"/>
      <c r="BQ41" s="15" t="s">
        <v>451</v>
      </c>
      <c r="BR41" s="26"/>
      <c r="BS41" s="26"/>
      <c r="BT41" s="19" t="s">
        <v>3800</v>
      </c>
      <c r="BU41" s="19" t="s">
        <v>3801</v>
      </c>
      <c r="BV41" s="19" t="s">
        <v>3802</v>
      </c>
      <c r="BW41" s="15" t="s">
        <v>3803</v>
      </c>
      <c r="BX41" s="26"/>
      <c r="BY41" s="18" t="str">
        <f t="shared" si="2"/>
        <v>CHEM</v>
      </c>
      <c r="BZ41" s="24" t="str">
        <f t="shared" ref="BZ41:CA41" si="41">IF(ISBLANK(BU41), BL41, BU41)</f>
        <v>https://drive.google.com/open?id=1aLgxcsIKya47mQY3uaHMJVNCRvLA7vzu</v>
      </c>
      <c r="CA41" s="24" t="str">
        <f t="shared" si="41"/>
        <v>https://drive.google.com/open?id=10Q6dv4FRnYDG6eBWztRYM964J5hJClGj</v>
      </c>
      <c r="CB41" s="15" t="s">
        <v>2821</v>
      </c>
      <c r="CC41" s="15" t="s">
        <v>2821</v>
      </c>
      <c r="CD41" s="25" t="s">
        <v>2909</v>
      </c>
      <c r="CE41" s="18"/>
      <c r="CF41" s="18"/>
      <c r="CG41" s="18"/>
    </row>
    <row r="42" ht="18.75" hidden="1" customHeight="1">
      <c r="A42" s="14">
        <v>44738.91159025463</v>
      </c>
      <c r="B42" s="15" t="s">
        <v>3804</v>
      </c>
      <c r="C42" s="16" t="s">
        <v>3805</v>
      </c>
      <c r="D42" s="15" t="str">
        <f>IFERROR(__xludf.DUMMYFUNCTION("QUERY(TY_ALL_2023_Batch!$A$1:$E$824, ""SELECT E WHERE C='""&amp;B42&amp;""'"", 0)"),"#N/A")</f>
        <v>#N/A</v>
      </c>
      <c r="E42" s="15" t="s">
        <v>3806</v>
      </c>
      <c r="F42" s="15" t="s">
        <v>3526</v>
      </c>
      <c r="G42" s="15" t="s">
        <v>3807</v>
      </c>
      <c r="H42" s="15" t="s">
        <v>2785</v>
      </c>
      <c r="I42" s="17">
        <v>36780.0</v>
      </c>
      <c r="J42" s="15">
        <v>2020.0</v>
      </c>
      <c r="K42" s="15" t="s">
        <v>2941</v>
      </c>
      <c r="L42" s="15" t="s">
        <v>2787</v>
      </c>
      <c r="M42" s="18"/>
      <c r="N42" s="15" t="s">
        <v>3808</v>
      </c>
      <c r="O42" s="15" t="s">
        <v>3804</v>
      </c>
      <c r="P42" s="19" t="s">
        <v>3809</v>
      </c>
      <c r="Q42" s="15">
        <v>9.922530712E9</v>
      </c>
      <c r="R42" s="15">
        <v>9.922530712E9</v>
      </c>
      <c r="S42" s="15">
        <v>9.146899334E9</v>
      </c>
      <c r="T42" s="15" t="s">
        <v>3526</v>
      </c>
      <c r="U42" s="15" t="s">
        <v>3810</v>
      </c>
      <c r="V42" s="15" t="s">
        <v>3811</v>
      </c>
      <c r="W42" s="15"/>
      <c r="X42" s="15">
        <v>69.69</v>
      </c>
      <c r="Y42" s="15" t="s">
        <v>2948</v>
      </c>
      <c r="Z42" s="15">
        <v>7.71</v>
      </c>
      <c r="AA42" s="15">
        <v>7.62</v>
      </c>
      <c r="AB42" s="15" t="s">
        <v>2796</v>
      </c>
      <c r="AC42" s="15" t="s">
        <v>2796</v>
      </c>
      <c r="AD42" s="15" t="s">
        <v>2796</v>
      </c>
      <c r="AE42" s="15" t="s">
        <v>2796</v>
      </c>
      <c r="AF42" s="18"/>
      <c r="AG42" s="18"/>
      <c r="AH42" s="18"/>
      <c r="AI42" s="15">
        <v>81.84</v>
      </c>
      <c r="AJ42" s="15" t="s">
        <v>2797</v>
      </c>
      <c r="AK42" s="15" t="s">
        <v>2787</v>
      </c>
      <c r="AL42" s="18"/>
      <c r="AM42" s="15">
        <v>346.66</v>
      </c>
      <c r="AN42" s="15" t="s">
        <v>2787</v>
      </c>
      <c r="AO42" s="18"/>
      <c r="AP42" s="15" t="s">
        <v>3812</v>
      </c>
      <c r="AQ42" s="15" t="s">
        <v>3813</v>
      </c>
      <c r="AR42" s="15" t="s">
        <v>3814</v>
      </c>
      <c r="AS42" s="15"/>
      <c r="AT42" s="18"/>
      <c r="AU42" s="18"/>
      <c r="AV42" s="18"/>
      <c r="AW42" s="15" t="s">
        <v>3815</v>
      </c>
      <c r="AX42" s="18"/>
      <c r="AY42" s="15" t="s">
        <v>3816</v>
      </c>
      <c r="AZ42" s="15" t="s">
        <v>2805</v>
      </c>
      <c r="BA42" s="15" t="s">
        <v>2870</v>
      </c>
      <c r="BB42" s="15" t="s">
        <v>2807</v>
      </c>
      <c r="BC42" s="15" t="s">
        <v>3817</v>
      </c>
      <c r="BD42" s="15" t="s">
        <v>2807</v>
      </c>
      <c r="BE42" s="15" t="s">
        <v>3818</v>
      </c>
      <c r="BF42" s="18"/>
      <c r="BG42" s="15" t="s">
        <v>2796</v>
      </c>
      <c r="BH42" s="18"/>
      <c r="BI42" s="15"/>
      <c r="BJ42" s="19" t="s">
        <v>3819</v>
      </c>
      <c r="BK42" s="19" t="s">
        <v>3820</v>
      </c>
      <c r="BL42" s="18"/>
      <c r="BM42" s="19" t="s">
        <v>3821</v>
      </c>
      <c r="BN42" s="18"/>
      <c r="BO42" s="19" t="s">
        <v>3822</v>
      </c>
      <c r="BP42" s="18"/>
      <c r="BQ42" s="15" t="s">
        <v>451</v>
      </c>
      <c r="BR42" s="18"/>
      <c r="BS42" s="18"/>
      <c r="BT42" s="19" t="s">
        <v>3823</v>
      </c>
      <c r="BU42" s="18"/>
      <c r="BV42" s="19" t="s">
        <v>3824</v>
      </c>
      <c r="BW42" s="15" t="s">
        <v>3825</v>
      </c>
      <c r="BX42" s="18"/>
      <c r="BY42" s="18" t="str">
        <f t="shared" si="2"/>
        <v>CHEM</v>
      </c>
      <c r="BZ42" s="18" t="str">
        <f t="shared" ref="BZ42:CA42" si="42">IF(ISBLANK(BU42), BL42, BU42)</f>
        <v/>
      </c>
      <c r="CA42" s="24" t="str">
        <f t="shared" si="42"/>
        <v>https://drive.google.com/open?id=1GeiNFiNXEEuYTh7h4Xqt9jd1Hhm6ztzM</v>
      </c>
      <c r="CB42" s="15" t="s">
        <v>2908</v>
      </c>
      <c r="CC42" s="15" t="s">
        <v>2821</v>
      </c>
      <c r="CD42" s="25" t="s">
        <v>2909</v>
      </c>
      <c r="CE42" s="18"/>
      <c r="CF42" s="18"/>
      <c r="CG42" s="18"/>
    </row>
    <row r="43" ht="18.75" hidden="1" customHeight="1">
      <c r="A43" s="14">
        <v>44742.87733869213</v>
      </c>
      <c r="B43" s="15" t="s">
        <v>3826</v>
      </c>
      <c r="C43" s="16" t="s">
        <v>3827</v>
      </c>
      <c r="D43" s="15" t="str">
        <f>IFERROR(__xludf.DUMMYFUNCTION("QUERY(TY_ALL_2023_Batch!$A$1:$E$824, ""SELECT E WHERE C='""&amp;B43&amp;""'"", 0)"),"#N/A")</f>
        <v>#N/A</v>
      </c>
      <c r="E43" s="15" t="s">
        <v>3828</v>
      </c>
      <c r="F43" s="15" t="s">
        <v>3829</v>
      </c>
      <c r="G43" s="15" t="s">
        <v>3830</v>
      </c>
      <c r="H43" s="15" t="s">
        <v>2785</v>
      </c>
      <c r="I43" s="17">
        <v>37094.0</v>
      </c>
      <c r="J43" s="15">
        <v>2020.0</v>
      </c>
      <c r="K43" s="15" t="s">
        <v>2941</v>
      </c>
      <c r="L43" s="15" t="s">
        <v>2787</v>
      </c>
      <c r="M43" s="18"/>
      <c r="N43" s="15" t="s">
        <v>993</v>
      </c>
      <c r="O43" s="15" t="s">
        <v>3826</v>
      </c>
      <c r="P43" s="19" t="s">
        <v>3831</v>
      </c>
      <c r="Q43" s="15">
        <v>9.322674843E9</v>
      </c>
      <c r="R43" s="15">
        <v>7.588187049E9</v>
      </c>
      <c r="S43" s="18"/>
      <c r="T43" s="15" t="s">
        <v>3829</v>
      </c>
      <c r="U43" s="15" t="s">
        <v>3083</v>
      </c>
      <c r="V43" s="15" t="s">
        <v>3832</v>
      </c>
      <c r="W43" s="15" t="s">
        <v>3833</v>
      </c>
      <c r="X43" s="15">
        <v>84.2</v>
      </c>
      <c r="Y43" s="15" t="s">
        <v>2948</v>
      </c>
      <c r="Z43" s="15">
        <v>5.47</v>
      </c>
      <c r="AA43" s="15">
        <v>6.71</v>
      </c>
      <c r="AB43" s="15" t="s">
        <v>2796</v>
      </c>
      <c r="AC43" s="15" t="s">
        <v>2796</v>
      </c>
      <c r="AD43" s="15" t="s">
        <v>2796</v>
      </c>
      <c r="AE43" s="15" t="s">
        <v>2796</v>
      </c>
      <c r="AF43" s="18"/>
      <c r="AG43" s="18"/>
      <c r="AH43" s="18"/>
      <c r="AI43" s="15">
        <v>83.28</v>
      </c>
      <c r="AJ43" s="15" t="s">
        <v>2797</v>
      </c>
      <c r="AK43" s="15" t="s">
        <v>2787</v>
      </c>
      <c r="AL43" s="18"/>
      <c r="AM43" s="15">
        <v>400.0</v>
      </c>
      <c r="AN43" s="15" t="s">
        <v>2787</v>
      </c>
      <c r="AO43" s="18"/>
      <c r="AP43" s="15" t="s">
        <v>3834</v>
      </c>
      <c r="AQ43" s="15" t="s">
        <v>3835</v>
      </c>
      <c r="AR43" s="15"/>
      <c r="AS43" s="15"/>
      <c r="AT43" s="18"/>
      <c r="AU43" s="18"/>
      <c r="AV43" s="18"/>
      <c r="AW43" s="15" t="s">
        <v>3836</v>
      </c>
      <c r="AX43" s="18"/>
      <c r="AY43" s="15" t="s">
        <v>3837</v>
      </c>
      <c r="AZ43" s="15" t="s">
        <v>2805</v>
      </c>
      <c r="BA43" s="15" t="s">
        <v>2870</v>
      </c>
      <c r="BB43" s="15" t="s">
        <v>2807</v>
      </c>
      <c r="BC43" s="15" t="s">
        <v>3838</v>
      </c>
      <c r="BD43" s="15" t="s">
        <v>2807</v>
      </c>
      <c r="BE43" s="15" t="s">
        <v>3839</v>
      </c>
      <c r="BF43" s="15" t="s">
        <v>3840</v>
      </c>
      <c r="BG43" s="15" t="s">
        <v>2796</v>
      </c>
      <c r="BH43" s="18"/>
      <c r="BI43" s="15" t="s">
        <v>2796</v>
      </c>
      <c r="BJ43" s="19" t="s">
        <v>3841</v>
      </c>
      <c r="BK43" s="19" t="s">
        <v>3842</v>
      </c>
      <c r="BL43" s="18"/>
      <c r="BM43" s="19" t="s">
        <v>3843</v>
      </c>
      <c r="BN43" s="18"/>
      <c r="BO43" s="19" t="s">
        <v>3844</v>
      </c>
      <c r="BP43" s="18"/>
      <c r="BQ43" s="15" t="s">
        <v>451</v>
      </c>
      <c r="BR43" s="18"/>
      <c r="BS43" s="18"/>
      <c r="BT43" s="19" t="s">
        <v>3845</v>
      </c>
      <c r="BU43" s="18"/>
      <c r="BV43" s="19" t="s">
        <v>3846</v>
      </c>
      <c r="BW43" s="15" t="s">
        <v>3847</v>
      </c>
      <c r="BX43" s="18"/>
      <c r="BY43" s="18" t="str">
        <f t="shared" si="2"/>
        <v>CHEM</v>
      </c>
      <c r="BZ43" s="18" t="str">
        <f t="shared" ref="BZ43:CA43" si="43">IF(ISBLANK(BU43), BL43, BU43)</f>
        <v/>
      </c>
      <c r="CA43" s="24" t="str">
        <f t="shared" si="43"/>
        <v>https://drive.google.com/open?id=1tTF8S1XX3zrq3ws_O-4fstQO9VWC4wBG</v>
      </c>
      <c r="CB43" s="15" t="s">
        <v>2908</v>
      </c>
      <c r="CC43" s="15" t="s">
        <v>2821</v>
      </c>
      <c r="CD43" s="25" t="s">
        <v>2909</v>
      </c>
      <c r="CE43" s="18"/>
      <c r="CF43" s="18"/>
      <c r="CG43" s="18"/>
    </row>
    <row r="44" ht="18.75" hidden="1" customHeight="1">
      <c r="A44" s="14">
        <v>44742.02748900463</v>
      </c>
      <c r="B44" s="15" t="s">
        <v>3848</v>
      </c>
      <c r="C44" s="16" t="s">
        <v>3849</v>
      </c>
      <c r="D44" s="15" t="str">
        <f>IFERROR(__xludf.DUMMYFUNCTION("QUERY(TY_ALL_2023_Batch!$A$1:$E$824, ""SELECT E WHERE C='""&amp;B44&amp;""'"", 0)"),"#N/A")</f>
        <v>#N/A</v>
      </c>
      <c r="E44" s="15" t="s">
        <v>3850</v>
      </c>
      <c r="F44" s="15" t="s">
        <v>3851</v>
      </c>
      <c r="G44" s="15" t="s">
        <v>3852</v>
      </c>
      <c r="H44" s="15" t="s">
        <v>2826</v>
      </c>
      <c r="I44" s="17">
        <v>37163.0</v>
      </c>
      <c r="J44" s="15">
        <v>2020.0</v>
      </c>
      <c r="K44" s="15" t="s">
        <v>2941</v>
      </c>
      <c r="L44" s="15" t="s">
        <v>2787</v>
      </c>
      <c r="M44" s="18"/>
      <c r="N44" s="15" t="s">
        <v>1032</v>
      </c>
      <c r="O44" s="15" t="s">
        <v>3848</v>
      </c>
      <c r="P44" s="19" t="s">
        <v>3853</v>
      </c>
      <c r="Q44" s="15">
        <v>8.308543274E9</v>
      </c>
      <c r="R44" s="15">
        <v>8.308543274E9</v>
      </c>
      <c r="S44" s="15">
        <v>9.604993046E9</v>
      </c>
      <c r="T44" s="15" t="s">
        <v>3854</v>
      </c>
      <c r="U44" s="15" t="s">
        <v>3855</v>
      </c>
      <c r="V44" s="15" t="s">
        <v>3856</v>
      </c>
      <c r="W44" s="15" t="s">
        <v>3857</v>
      </c>
      <c r="X44" s="15">
        <v>85.2</v>
      </c>
      <c r="Y44" s="15" t="s">
        <v>2948</v>
      </c>
      <c r="Z44" s="15">
        <v>9.0</v>
      </c>
      <c r="AA44" s="15">
        <v>8.43</v>
      </c>
      <c r="AB44" s="15" t="s">
        <v>2796</v>
      </c>
      <c r="AC44" s="15" t="s">
        <v>2796</v>
      </c>
      <c r="AD44" s="15" t="s">
        <v>2796</v>
      </c>
      <c r="AE44" s="15" t="s">
        <v>2796</v>
      </c>
      <c r="AF44" s="18"/>
      <c r="AG44" s="18"/>
      <c r="AH44" s="18"/>
      <c r="AI44" s="15">
        <v>80.2</v>
      </c>
      <c r="AJ44" s="15" t="s">
        <v>2787</v>
      </c>
      <c r="AK44" s="15" t="s">
        <v>2787</v>
      </c>
      <c r="AL44" s="15">
        <v>605.0</v>
      </c>
      <c r="AM44" s="15" t="s">
        <v>3858</v>
      </c>
      <c r="AN44" s="15" t="s">
        <v>2797</v>
      </c>
      <c r="AO44" s="15" t="s">
        <v>2796</v>
      </c>
      <c r="AP44" s="15" t="s">
        <v>2796</v>
      </c>
      <c r="AQ44" s="15" t="s">
        <v>3859</v>
      </c>
      <c r="AR44" s="15" t="s">
        <v>3860</v>
      </c>
      <c r="AS44" s="15" t="s">
        <v>3861</v>
      </c>
      <c r="AT44" s="18"/>
      <c r="AU44" s="15" t="s">
        <v>2796</v>
      </c>
      <c r="AV44" s="15" t="s">
        <v>3862</v>
      </c>
      <c r="AW44" s="15" t="s">
        <v>3863</v>
      </c>
      <c r="AX44" s="18"/>
      <c r="AY44" s="15" t="s">
        <v>3864</v>
      </c>
      <c r="AZ44" s="15" t="s">
        <v>2805</v>
      </c>
      <c r="BA44" s="15" t="s">
        <v>2870</v>
      </c>
      <c r="BB44" s="15" t="s">
        <v>2807</v>
      </c>
      <c r="BC44" s="15" t="s">
        <v>3012</v>
      </c>
      <c r="BD44" s="15" t="s">
        <v>2807</v>
      </c>
      <c r="BE44" s="15" t="s">
        <v>3865</v>
      </c>
      <c r="BF44" s="18"/>
      <c r="BG44" s="18"/>
      <c r="BH44" s="15" t="s">
        <v>3866</v>
      </c>
      <c r="BI44" s="15" t="s">
        <v>3867</v>
      </c>
      <c r="BJ44" s="19" t="s">
        <v>3868</v>
      </c>
      <c r="BK44" s="19" t="s">
        <v>3869</v>
      </c>
      <c r="BL44" s="19" t="s">
        <v>3870</v>
      </c>
      <c r="BM44" s="19" t="s">
        <v>3871</v>
      </c>
      <c r="BN44" s="19" t="s">
        <v>3872</v>
      </c>
      <c r="BO44" s="19" t="s">
        <v>3873</v>
      </c>
      <c r="BP44" s="19" t="s">
        <v>3874</v>
      </c>
      <c r="BQ44" s="15" t="s">
        <v>451</v>
      </c>
      <c r="BR44" s="19" t="s">
        <v>3875</v>
      </c>
      <c r="BS44" s="19" t="s">
        <v>3876</v>
      </c>
      <c r="BT44" s="19" t="s">
        <v>3877</v>
      </c>
      <c r="BU44" s="19" t="s">
        <v>3878</v>
      </c>
      <c r="BV44" s="19" t="s">
        <v>3879</v>
      </c>
      <c r="BW44" s="15" t="s">
        <v>3880</v>
      </c>
      <c r="BX44" s="26"/>
      <c r="BY44" s="18" t="str">
        <f t="shared" si="2"/>
        <v>CHEM</v>
      </c>
      <c r="BZ44" s="24" t="str">
        <f t="shared" ref="BZ44:CA44" si="44">IF(ISBLANK(BU44), BL44, BU44)</f>
        <v>https://drive.google.com/open?id=1VszIljcAZZQX5C3XdCVv-Ywk6oyZwxjz</v>
      </c>
      <c r="CA44" s="24" t="str">
        <f t="shared" si="44"/>
        <v>https://drive.google.com/open?id=1TbhUDdowE7dsGYSQSfYKsiQzfScUDjiU</v>
      </c>
      <c r="CB44" s="15" t="s">
        <v>2821</v>
      </c>
      <c r="CC44" s="15" t="s">
        <v>2821</v>
      </c>
      <c r="CD44" s="25" t="s">
        <v>2909</v>
      </c>
      <c r="CE44" s="18"/>
      <c r="CF44" s="18"/>
      <c r="CG44" s="18"/>
    </row>
    <row r="45" ht="18.75" hidden="1" customHeight="1">
      <c r="A45" s="14">
        <v>44749.52333142361</v>
      </c>
      <c r="B45" s="15" t="s">
        <v>3881</v>
      </c>
      <c r="C45" s="16" t="s">
        <v>3882</v>
      </c>
      <c r="D45" s="15" t="str">
        <f>IFERROR(__xludf.DUMMYFUNCTION("QUERY(TY_ALL_2023_Batch!$A$1:$E$824, ""SELECT E WHERE C='""&amp;B45&amp;""'"", 0)"),"#N/A")</f>
        <v>#N/A</v>
      </c>
      <c r="E45" s="15" t="s">
        <v>3424</v>
      </c>
      <c r="F45" s="15" t="s">
        <v>2939</v>
      </c>
      <c r="G45" s="15" t="s">
        <v>3883</v>
      </c>
      <c r="H45" s="15" t="s">
        <v>2785</v>
      </c>
      <c r="I45" s="17">
        <v>37048.0</v>
      </c>
      <c r="J45" s="15">
        <v>2020.0</v>
      </c>
      <c r="K45" s="15" t="s">
        <v>2941</v>
      </c>
      <c r="L45" s="15" t="s">
        <v>2787</v>
      </c>
      <c r="M45" s="18"/>
      <c r="N45" s="15" t="s">
        <v>1089</v>
      </c>
      <c r="O45" s="15" t="s">
        <v>3881</v>
      </c>
      <c r="P45" s="19" t="s">
        <v>3884</v>
      </c>
      <c r="Q45" s="15">
        <v>9.373003819E9</v>
      </c>
      <c r="R45" s="15">
        <v>9.373003819E9</v>
      </c>
      <c r="S45" s="15">
        <v>9.096822241E9</v>
      </c>
      <c r="T45" s="15" t="s">
        <v>2939</v>
      </c>
      <c r="U45" s="15" t="s">
        <v>3885</v>
      </c>
      <c r="V45" s="15" t="s">
        <v>3886</v>
      </c>
      <c r="W45" s="18"/>
      <c r="X45" s="15">
        <v>87.4</v>
      </c>
      <c r="Y45" s="15" t="s">
        <v>2948</v>
      </c>
      <c r="Z45" s="15">
        <v>6.69</v>
      </c>
      <c r="AA45" s="15">
        <v>7.71</v>
      </c>
      <c r="AB45" s="15" t="s">
        <v>2796</v>
      </c>
      <c r="AC45" s="15" t="s">
        <v>2796</v>
      </c>
      <c r="AD45" s="15" t="s">
        <v>2796</v>
      </c>
      <c r="AE45" s="15" t="s">
        <v>2796</v>
      </c>
      <c r="AF45" s="18"/>
      <c r="AG45" s="18"/>
      <c r="AH45" s="18"/>
      <c r="AI45" s="15">
        <v>83.56</v>
      </c>
      <c r="AJ45" s="15" t="s">
        <v>2787</v>
      </c>
      <c r="AK45" s="15" t="s">
        <v>2787</v>
      </c>
      <c r="AL45" s="15" t="s">
        <v>3887</v>
      </c>
      <c r="AM45" s="15" t="s">
        <v>3888</v>
      </c>
      <c r="AN45" s="15" t="s">
        <v>2797</v>
      </c>
      <c r="AO45" s="18"/>
      <c r="AP45" s="18"/>
      <c r="AQ45" s="15" t="s">
        <v>3889</v>
      </c>
      <c r="AR45" s="15" t="s">
        <v>2796</v>
      </c>
      <c r="AS45" s="15" t="s">
        <v>2796</v>
      </c>
      <c r="AT45" s="18"/>
      <c r="AU45" s="18"/>
      <c r="AV45" s="15" t="s">
        <v>3890</v>
      </c>
      <c r="AW45" s="15" t="s">
        <v>3891</v>
      </c>
      <c r="AX45" s="18"/>
      <c r="AY45" s="15" t="s">
        <v>3892</v>
      </c>
      <c r="AZ45" s="15" t="s">
        <v>2805</v>
      </c>
      <c r="BA45" s="15" t="s">
        <v>2870</v>
      </c>
      <c r="BB45" s="15" t="s">
        <v>2807</v>
      </c>
      <c r="BC45" s="15" t="s">
        <v>3893</v>
      </c>
      <c r="BD45" s="15" t="s">
        <v>2807</v>
      </c>
      <c r="BE45" s="15" t="s">
        <v>3894</v>
      </c>
      <c r="BF45" s="18"/>
      <c r="BG45" s="18"/>
      <c r="BH45" s="18"/>
      <c r="BI45" s="15" t="s">
        <v>3895</v>
      </c>
      <c r="BJ45" s="19" t="s">
        <v>3896</v>
      </c>
      <c r="BK45" s="19" t="s">
        <v>3897</v>
      </c>
      <c r="BL45" s="19" t="s">
        <v>3898</v>
      </c>
      <c r="BM45" s="20" t="s">
        <v>3899</v>
      </c>
      <c r="BN45" s="19" t="s">
        <v>3900</v>
      </c>
      <c r="BO45" s="19" t="s">
        <v>3901</v>
      </c>
      <c r="BP45" s="19" t="s">
        <v>3902</v>
      </c>
      <c r="BQ45" s="15" t="s">
        <v>451</v>
      </c>
      <c r="BR45" s="26"/>
      <c r="BS45" s="26"/>
      <c r="BT45" s="19" t="s">
        <v>3903</v>
      </c>
      <c r="BU45" s="26"/>
      <c r="BV45" s="26"/>
      <c r="BW45" s="15" t="s">
        <v>3904</v>
      </c>
      <c r="BX45" s="26"/>
      <c r="BY45" s="18" t="str">
        <f t="shared" si="2"/>
        <v>CHEM</v>
      </c>
      <c r="BZ45" s="24" t="str">
        <f t="shared" ref="BZ45:CA45" si="45">IF(ISBLANK(BU45), BL45, BU45)</f>
        <v>https://drive.google.com/open?id=1oL-5g06g78vZiQnH4ZDC3-A5oJBGblr-</v>
      </c>
      <c r="CA45" s="24" t="str">
        <f t="shared" si="45"/>
        <v>https://drive.google.com/open?id=1FJpAUz-Bfd0HGCQ9w_SDJ5E3WwdEAGAd</v>
      </c>
      <c r="CB45" s="15" t="s">
        <v>2821</v>
      </c>
      <c r="CC45" s="15" t="s">
        <v>2821</v>
      </c>
      <c r="CD45" s="25" t="s">
        <v>2909</v>
      </c>
      <c r="CE45" s="18"/>
      <c r="CF45" s="18"/>
      <c r="CG45" s="18"/>
    </row>
    <row r="46" ht="18.75" hidden="1" customHeight="1">
      <c r="A46" s="14">
        <v>44734.580687361115</v>
      </c>
      <c r="B46" s="15" t="s">
        <v>3905</v>
      </c>
      <c r="C46" s="16" t="s">
        <v>3906</v>
      </c>
      <c r="D46" s="15" t="str">
        <f>IFERROR(__xludf.DUMMYFUNCTION("QUERY(TY_ALL_2023_Batch!$A$1:$E$824, ""SELECT E WHERE C='""&amp;B46&amp;""'"", 0)"),"#N/A")</f>
        <v>#N/A</v>
      </c>
      <c r="E46" s="15" t="s">
        <v>3907</v>
      </c>
      <c r="F46" s="15" t="s">
        <v>3828</v>
      </c>
      <c r="G46" s="15" t="s">
        <v>3908</v>
      </c>
      <c r="H46" s="15" t="s">
        <v>2826</v>
      </c>
      <c r="I46" s="17">
        <v>36616.0</v>
      </c>
      <c r="J46" s="15">
        <v>2020.0</v>
      </c>
      <c r="K46" s="15" t="s">
        <v>2941</v>
      </c>
      <c r="L46" s="15" t="s">
        <v>2787</v>
      </c>
      <c r="M46" s="18"/>
      <c r="N46" s="15" t="s">
        <v>1008</v>
      </c>
      <c r="O46" s="15" t="s">
        <v>3905</v>
      </c>
      <c r="P46" s="19" t="s">
        <v>3909</v>
      </c>
      <c r="Q46" s="15">
        <v>8.007091267E9</v>
      </c>
      <c r="R46" s="15">
        <v>8.007091267E9</v>
      </c>
      <c r="S46" s="15">
        <v>7.020256218E9</v>
      </c>
      <c r="T46" s="15" t="s">
        <v>3910</v>
      </c>
      <c r="U46" s="15" t="s">
        <v>3911</v>
      </c>
      <c r="V46" s="15" t="s">
        <v>3912</v>
      </c>
      <c r="W46" s="18"/>
      <c r="X46" s="15">
        <v>68.0</v>
      </c>
      <c r="Y46" s="15" t="s">
        <v>2948</v>
      </c>
      <c r="Z46" s="15">
        <v>7.71</v>
      </c>
      <c r="AA46" s="15">
        <v>7.48</v>
      </c>
      <c r="AB46" s="15" t="s">
        <v>3005</v>
      </c>
      <c r="AC46" s="15" t="s">
        <v>3005</v>
      </c>
      <c r="AD46" s="15" t="s">
        <v>3005</v>
      </c>
      <c r="AE46" s="15" t="s">
        <v>3005</v>
      </c>
      <c r="AF46" s="18"/>
      <c r="AG46" s="18"/>
      <c r="AH46" s="18"/>
      <c r="AI46" s="15">
        <v>64.91</v>
      </c>
      <c r="AJ46" s="15" t="s">
        <v>2787</v>
      </c>
      <c r="AK46" s="15" t="s">
        <v>2787</v>
      </c>
      <c r="AL46" s="15">
        <v>386.0</v>
      </c>
      <c r="AM46" s="15">
        <v>350.0</v>
      </c>
      <c r="AN46" s="15" t="s">
        <v>2787</v>
      </c>
      <c r="AO46" s="15" t="s">
        <v>3369</v>
      </c>
      <c r="AP46" s="18"/>
      <c r="AQ46" s="15" t="s">
        <v>3913</v>
      </c>
      <c r="AR46" s="15" t="s">
        <v>3913</v>
      </c>
      <c r="AS46" s="15" t="s">
        <v>3914</v>
      </c>
      <c r="AT46" s="18"/>
      <c r="AU46" s="18"/>
      <c r="AV46" s="15" t="s">
        <v>3915</v>
      </c>
      <c r="AW46" s="15" t="s">
        <v>3916</v>
      </c>
      <c r="AX46" s="18"/>
      <c r="AY46" s="15" t="s">
        <v>3917</v>
      </c>
      <c r="AZ46" s="15" t="s">
        <v>2805</v>
      </c>
      <c r="BA46" s="15" t="s">
        <v>2870</v>
      </c>
      <c r="BB46" s="15" t="s">
        <v>2807</v>
      </c>
      <c r="BC46" s="15" t="s">
        <v>3372</v>
      </c>
      <c r="BD46" s="15" t="s">
        <v>2807</v>
      </c>
      <c r="BE46" s="15" t="s">
        <v>3005</v>
      </c>
      <c r="BF46" s="18"/>
      <c r="BG46" s="18"/>
      <c r="BH46" s="18"/>
      <c r="BI46" s="18"/>
      <c r="BJ46" s="19" t="s">
        <v>3918</v>
      </c>
      <c r="BK46" s="19" t="s">
        <v>3919</v>
      </c>
      <c r="BL46" s="18"/>
      <c r="BM46" s="18"/>
      <c r="BN46" s="19" t="s">
        <v>3920</v>
      </c>
      <c r="BO46" s="19" t="s">
        <v>3921</v>
      </c>
      <c r="BP46" s="18"/>
      <c r="BQ46" s="15" t="s">
        <v>451</v>
      </c>
      <c r="BR46" s="26"/>
      <c r="BS46" s="26"/>
      <c r="BT46" s="26"/>
      <c r="BU46" s="26"/>
      <c r="BV46" s="26"/>
      <c r="BW46" s="26"/>
      <c r="BX46" s="26"/>
      <c r="BY46" s="18" t="str">
        <f t="shared" si="2"/>
        <v>CHEM</v>
      </c>
      <c r="BZ46" s="18" t="str">
        <f t="shared" ref="BZ46:CA46" si="46">IF(ISBLANK(BU46), BL46, BU46)</f>
        <v/>
      </c>
      <c r="CA46" s="18" t="str">
        <f t="shared" si="46"/>
        <v/>
      </c>
      <c r="CB46" s="15" t="s">
        <v>2908</v>
      </c>
      <c r="CC46" s="15" t="s">
        <v>2908</v>
      </c>
      <c r="CD46" s="25" t="s">
        <v>2797</v>
      </c>
      <c r="CE46" s="18"/>
      <c r="CF46" s="18"/>
      <c r="CG46" s="18"/>
    </row>
    <row r="47" ht="18.75" hidden="1" customHeight="1">
      <c r="A47" s="14">
        <v>44742.8063275</v>
      </c>
      <c r="B47" s="15" t="s">
        <v>3922</v>
      </c>
      <c r="C47" s="16" t="s">
        <v>3923</v>
      </c>
      <c r="D47" s="15" t="str">
        <f>IFERROR(__xludf.DUMMYFUNCTION("QUERY(TY_ALL_2023_Batch!$A$1:$E$824, ""SELECT E WHERE C='""&amp;B47&amp;""'"", 0)"),"#N/A")</f>
        <v>#N/A</v>
      </c>
      <c r="E47" s="15" t="s">
        <v>3924</v>
      </c>
      <c r="F47" s="15" t="s">
        <v>3925</v>
      </c>
      <c r="G47" s="15" t="s">
        <v>3926</v>
      </c>
      <c r="H47" s="15" t="s">
        <v>2785</v>
      </c>
      <c r="I47" s="17">
        <v>37124.0</v>
      </c>
      <c r="J47" s="15">
        <v>2020.0</v>
      </c>
      <c r="K47" s="15" t="s">
        <v>2941</v>
      </c>
      <c r="L47" s="15" t="s">
        <v>2787</v>
      </c>
      <c r="M47" s="18"/>
      <c r="N47" s="15" t="s">
        <v>999</v>
      </c>
      <c r="O47" s="15" t="s">
        <v>3922</v>
      </c>
      <c r="P47" s="19" t="s">
        <v>3927</v>
      </c>
      <c r="Q47" s="15">
        <v>9.607172529E9</v>
      </c>
      <c r="R47" s="15">
        <v>9.607172529E9</v>
      </c>
      <c r="S47" s="15">
        <v>7.420888945E9</v>
      </c>
      <c r="T47" s="15" t="s">
        <v>3925</v>
      </c>
      <c r="U47" s="15" t="s">
        <v>3928</v>
      </c>
      <c r="V47" s="15" t="s">
        <v>3929</v>
      </c>
      <c r="W47" s="15" t="s">
        <v>3930</v>
      </c>
      <c r="X47" s="15">
        <v>87.4</v>
      </c>
      <c r="Y47" s="15" t="s">
        <v>2948</v>
      </c>
      <c r="Z47" s="15">
        <v>8.71</v>
      </c>
      <c r="AA47" s="15">
        <v>8.1</v>
      </c>
      <c r="AB47" s="15" t="s">
        <v>2796</v>
      </c>
      <c r="AC47" s="15" t="s">
        <v>2796</v>
      </c>
      <c r="AD47" s="15" t="s">
        <v>2796</v>
      </c>
      <c r="AE47" s="15" t="s">
        <v>2796</v>
      </c>
      <c r="AF47" s="18"/>
      <c r="AG47" s="18"/>
      <c r="AH47" s="18"/>
      <c r="AI47" s="15">
        <v>82.56</v>
      </c>
      <c r="AJ47" s="15" t="s">
        <v>2787</v>
      </c>
      <c r="AK47" s="15" t="s">
        <v>2787</v>
      </c>
      <c r="AL47" s="15">
        <v>436.0</v>
      </c>
      <c r="AM47" s="15">
        <v>436.0</v>
      </c>
      <c r="AN47" s="15" t="s">
        <v>2797</v>
      </c>
      <c r="AO47" s="18"/>
      <c r="AP47" s="18"/>
      <c r="AQ47" s="15" t="s">
        <v>3931</v>
      </c>
      <c r="AR47" s="15" t="s">
        <v>3814</v>
      </c>
      <c r="AS47" s="18"/>
      <c r="AT47" s="18"/>
      <c r="AU47" s="18"/>
      <c r="AV47" s="18"/>
      <c r="AW47" s="15" t="s">
        <v>3932</v>
      </c>
      <c r="AX47" s="15" t="s">
        <v>3063</v>
      </c>
      <c r="AY47" s="15" t="s">
        <v>3933</v>
      </c>
      <c r="AZ47" s="15" t="s">
        <v>2805</v>
      </c>
      <c r="BA47" s="15" t="s">
        <v>2870</v>
      </c>
      <c r="BB47" s="15" t="s">
        <v>2807</v>
      </c>
      <c r="BC47" s="15" t="s">
        <v>3012</v>
      </c>
      <c r="BD47" s="15" t="s">
        <v>2807</v>
      </c>
      <c r="BE47" s="15" t="s">
        <v>3934</v>
      </c>
      <c r="BF47" s="18"/>
      <c r="BG47" s="18"/>
      <c r="BH47" s="18"/>
      <c r="BI47" s="15" t="s">
        <v>3935</v>
      </c>
      <c r="BJ47" s="19" t="s">
        <v>3936</v>
      </c>
      <c r="BK47" s="19" t="s">
        <v>3937</v>
      </c>
      <c r="BL47" s="18"/>
      <c r="BM47" s="18"/>
      <c r="BN47" s="18"/>
      <c r="BO47" s="19" t="s">
        <v>3938</v>
      </c>
      <c r="BP47" s="18"/>
      <c r="BQ47" s="15" t="s">
        <v>451</v>
      </c>
      <c r="BR47" s="18"/>
      <c r="BS47" s="19" t="s">
        <v>3939</v>
      </c>
      <c r="BT47" s="19" t="s">
        <v>3940</v>
      </c>
      <c r="BU47" s="18"/>
      <c r="BV47" s="19" t="s">
        <v>3941</v>
      </c>
      <c r="BW47" s="15" t="s">
        <v>3942</v>
      </c>
      <c r="BX47" s="18"/>
      <c r="BY47" s="18" t="str">
        <f t="shared" si="2"/>
        <v>CHEM</v>
      </c>
      <c r="BZ47" s="18" t="str">
        <f t="shared" ref="BZ47:CA47" si="47">IF(ISBLANK(BU47), BL47, BU47)</f>
        <v/>
      </c>
      <c r="CA47" s="24" t="str">
        <f t="shared" si="47"/>
        <v>https://drive.google.com/open?id=1f-f7U541vbYJy5pIlPTbGCyf77tziADq</v>
      </c>
      <c r="CB47" s="15" t="s">
        <v>2908</v>
      </c>
      <c r="CC47" s="15" t="s">
        <v>2821</v>
      </c>
      <c r="CD47" s="25" t="s">
        <v>2787</v>
      </c>
      <c r="CE47" s="18"/>
      <c r="CF47" s="18"/>
      <c r="CG47" s="18"/>
    </row>
    <row r="48" ht="18.75" hidden="1" customHeight="1">
      <c r="A48" s="14">
        <v>44735.48949363426</v>
      </c>
      <c r="B48" s="15" t="s">
        <v>3943</v>
      </c>
      <c r="C48" s="16" t="s">
        <v>3944</v>
      </c>
      <c r="D48" s="15" t="str">
        <f>IFERROR(__xludf.DUMMYFUNCTION("QUERY(TY_ALL_2023_Batch!$A$1:$E$824, ""SELECT E WHERE C='""&amp;B48&amp;""'"", 0)"),"#N/A")</f>
        <v>#N/A</v>
      </c>
      <c r="E48" s="15" t="s">
        <v>3945</v>
      </c>
      <c r="F48" s="15" t="s">
        <v>3946</v>
      </c>
      <c r="G48" s="15" t="s">
        <v>3947</v>
      </c>
      <c r="H48" s="15" t="s">
        <v>2785</v>
      </c>
      <c r="I48" s="17">
        <v>37214.0</v>
      </c>
      <c r="J48" s="15">
        <v>2019.0</v>
      </c>
      <c r="K48" s="15" t="s">
        <v>2786</v>
      </c>
      <c r="L48" s="15" t="s">
        <v>2787</v>
      </c>
      <c r="M48" s="18"/>
      <c r="N48" s="15" t="s">
        <v>3948</v>
      </c>
      <c r="O48" s="15" t="s">
        <v>3943</v>
      </c>
      <c r="P48" s="19" t="s">
        <v>3949</v>
      </c>
      <c r="Q48" s="15">
        <v>9.657466523E9</v>
      </c>
      <c r="R48" s="15">
        <v>9.657466523E9</v>
      </c>
      <c r="S48" s="15">
        <v>9.09608739E9</v>
      </c>
      <c r="T48" s="15" t="s">
        <v>3946</v>
      </c>
      <c r="U48" s="15" t="s">
        <v>3950</v>
      </c>
      <c r="V48" s="15" t="s">
        <v>3951</v>
      </c>
      <c r="W48" s="15" t="s">
        <v>3951</v>
      </c>
      <c r="X48" s="15">
        <v>91.0</v>
      </c>
      <c r="Y48" s="15" t="s">
        <v>2795</v>
      </c>
      <c r="Z48" s="15">
        <v>7.52</v>
      </c>
      <c r="AA48" s="15">
        <v>7.43</v>
      </c>
      <c r="AB48" s="15" t="s">
        <v>2796</v>
      </c>
      <c r="AC48" s="15" t="s">
        <v>2796</v>
      </c>
      <c r="AD48" s="15" t="s">
        <v>2796</v>
      </c>
      <c r="AE48" s="15" t="s">
        <v>2796</v>
      </c>
      <c r="AF48" s="15">
        <v>7.32</v>
      </c>
      <c r="AG48" s="15">
        <v>6.81</v>
      </c>
      <c r="AH48" s="15">
        <v>74.62</v>
      </c>
      <c r="AI48" s="18"/>
      <c r="AJ48" s="15" t="s">
        <v>2787</v>
      </c>
      <c r="AK48" s="15" t="s">
        <v>2787</v>
      </c>
      <c r="AL48" s="29">
        <v>4.1540075E8</v>
      </c>
      <c r="AM48" s="29">
        <v>4.85600775E8</v>
      </c>
      <c r="AN48" s="15" t="s">
        <v>2787</v>
      </c>
      <c r="AO48" s="15" t="s">
        <v>2797</v>
      </c>
      <c r="AP48" s="15" t="s">
        <v>3952</v>
      </c>
      <c r="AQ48" s="15" t="s">
        <v>3953</v>
      </c>
      <c r="AR48" s="15" t="s">
        <v>2797</v>
      </c>
      <c r="AS48" s="15" t="s">
        <v>3954</v>
      </c>
      <c r="AT48" s="15" t="s">
        <v>2797</v>
      </c>
      <c r="AU48" s="15" t="s">
        <v>3955</v>
      </c>
      <c r="AV48" s="15" t="s">
        <v>3956</v>
      </c>
      <c r="AW48" s="15" t="s">
        <v>3957</v>
      </c>
      <c r="AX48" s="15" t="s">
        <v>3958</v>
      </c>
      <c r="AY48" s="15" t="s">
        <v>3959</v>
      </c>
      <c r="AZ48" s="15" t="s">
        <v>3960</v>
      </c>
      <c r="BA48" s="15" t="s">
        <v>2806</v>
      </c>
      <c r="BB48" s="15" t="s">
        <v>2807</v>
      </c>
      <c r="BC48" s="15" t="s">
        <v>3961</v>
      </c>
      <c r="BD48" s="15" t="s">
        <v>2842</v>
      </c>
      <c r="BE48" s="15" t="s">
        <v>3962</v>
      </c>
      <c r="BF48" s="15" t="s">
        <v>2796</v>
      </c>
      <c r="BG48" s="18"/>
      <c r="BH48" s="15" t="s">
        <v>3963</v>
      </c>
      <c r="BI48" s="15" t="s">
        <v>3964</v>
      </c>
      <c r="BJ48" s="19" t="s">
        <v>3965</v>
      </c>
      <c r="BK48" s="19" t="s">
        <v>3966</v>
      </c>
      <c r="BL48" s="18"/>
      <c r="BM48" s="18"/>
      <c r="BN48" s="19" t="s">
        <v>3967</v>
      </c>
      <c r="BO48" s="19" t="s">
        <v>3968</v>
      </c>
      <c r="BP48" s="19" t="s">
        <v>3969</v>
      </c>
      <c r="BQ48" s="15" t="s">
        <v>451</v>
      </c>
      <c r="BR48" s="26"/>
      <c r="BS48" s="26"/>
      <c r="BT48" s="26"/>
      <c r="BU48" s="26"/>
      <c r="BV48" s="26"/>
      <c r="BW48" s="26"/>
      <c r="BX48" s="26"/>
      <c r="BY48" s="18" t="str">
        <f t="shared" si="2"/>
        <v>CHEM</v>
      </c>
      <c r="BZ48" s="18" t="str">
        <f t="shared" ref="BZ48:CA48" si="48">IF(ISBLANK(BU48), BL48, BU48)</f>
        <v/>
      </c>
      <c r="CA48" s="18" t="str">
        <f t="shared" si="48"/>
        <v/>
      </c>
      <c r="CB48" s="15" t="s">
        <v>2908</v>
      </c>
      <c r="CC48" s="15" t="s">
        <v>2908</v>
      </c>
      <c r="CD48" s="25" t="s">
        <v>2797</v>
      </c>
      <c r="CE48" s="18"/>
      <c r="CF48" s="18"/>
      <c r="CG48" s="18"/>
    </row>
    <row r="49" ht="18.75" hidden="1" customHeight="1">
      <c r="A49" s="14">
        <v>44736.92093491898</v>
      </c>
      <c r="B49" s="15" t="s">
        <v>3970</v>
      </c>
      <c r="C49" s="16" t="s">
        <v>3971</v>
      </c>
      <c r="D49" s="15" t="str">
        <f>IFERROR(__xludf.DUMMYFUNCTION("QUERY(TY_ALL_2023_Batch!$A$1:$E$824, ""SELECT E WHERE C='""&amp;B49&amp;""'"", 0)"),"#N/A")</f>
        <v>#N/A</v>
      </c>
      <c r="E49" s="15" t="s">
        <v>3972</v>
      </c>
      <c r="F49" s="15" t="s">
        <v>3973</v>
      </c>
      <c r="G49" s="15" t="s">
        <v>3974</v>
      </c>
      <c r="H49" s="15" t="s">
        <v>2826</v>
      </c>
      <c r="I49" s="17">
        <v>37211.0</v>
      </c>
      <c r="J49" s="15">
        <v>2020.0</v>
      </c>
      <c r="K49" s="15" t="s">
        <v>2941</v>
      </c>
      <c r="L49" s="15" t="s">
        <v>2787</v>
      </c>
      <c r="M49" s="18"/>
      <c r="N49" s="15" t="s">
        <v>1074</v>
      </c>
      <c r="O49" s="15" t="s">
        <v>3975</v>
      </c>
      <c r="P49" s="19" t="s">
        <v>3976</v>
      </c>
      <c r="Q49" s="15">
        <v>7.757976752E9</v>
      </c>
      <c r="R49" s="15">
        <v>7.757976752E9</v>
      </c>
      <c r="S49" s="15">
        <v>9.545520599E9</v>
      </c>
      <c r="T49" s="15" t="s">
        <v>3977</v>
      </c>
      <c r="U49" s="15" t="s">
        <v>3978</v>
      </c>
      <c r="V49" s="15" t="s">
        <v>3979</v>
      </c>
      <c r="W49" s="15" t="s">
        <v>3980</v>
      </c>
      <c r="X49" s="15">
        <v>7.6</v>
      </c>
      <c r="Y49" s="15" t="s">
        <v>2948</v>
      </c>
      <c r="Z49" s="15">
        <v>8.24</v>
      </c>
      <c r="AA49" s="15">
        <v>8.24</v>
      </c>
      <c r="AB49" s="15" t="s">
        <v>2796</v>
      </c>
      <c r="AC49" s="15" t="s">
        <v>2796</v>
      </c>
      <c r="AD49" s="15" t="s">
        <v>2796</v>
      </c>
      <c r="AE49" s="15" t="s">
        <v>3005</v>
      </c>
      <c r="AF49" s="18"/>
      <c r="AG49" s="18"/>
      <c r="AH49" s="18"/>
      <c r="AI49" s="15">
        <v>79.33</v>
      </c>
      <c r="AJ49" s="15" t="s">
        <v>2787</v>
      </c>
      <c r="AK49" s="15" t="s">
        <v>2787</v>
      </c>
      <c r="AL49" s="15" t="s">
        <v>3981</v>
      </c>
      <c r="AM49" s="15" t="s">
        <v>3982</v>
      </c>
      <c r="AN49" s="15" t="s">
        <v>2797</v>
      </c>
      <c r="AO49" s="15" t="s">
        <v>2796</v>
      </c>
      <c r="AP49" s="15" t="s">
        <v>2796</v>
      </c>
      <c r="AQ49" s="15" t="s">
        <v>2796</v>
      </c>
      <c r="AR49" s="15" t="s">
        <v>3983</v>
      </c>
      <c r="AS49" s="15" t="s">
        <v>3984</v>
      </c>
      <c r="AT49" s="18"/>
      <c r="AU49" s="15" t="s">
        <v>2796</v>
      </c>
      <c r="AV49" s="15" t="s">
        <v>3985</v>
      </c>
      <c r="AW49" s="15" t="s">
        <v>3986</v>
      </c>
      <c r="AX49" s="18"/>
      <c r="AY49" s="15" t="s">
        <v>3987</v>
      </c>
      <c r="AZ49" s="15" t="s">
        <v>2805</v>
      </c>
      <c r="BA49" s="15" t="s">
        <v>2870</v>
      </c>
      <c r="BB49" s="15" t="s">
        <v>2807</v>
      </c>
      <c r="BC49" s="15" t="s">
        <v>3988</v>
      </c>
      <c r="BD49" s="15" t="s">
        <v>3464</v>
      </c>
      <c r="BE49" s="15" t="s">
        <v>3989</v>
      </c>
      <c r="BF49" s="18"/>
      <c r="BG49" s="18"/>
      <c r="BH49" s="15" t="s">
        <v>3990</v>
      </c>
      <c r="BI49" s="15" t="s">
        <v>3991</v>
      </c>
      <c r="BJ49" s="19" t="s">
        <v>3992</v>
      </c>
      <c r="BK49" s="19" t="s">
        <v>3993</v>
      </c>
      <c r="BL49" s="19" t="s">
        <v>3994</v>
      </c>
      <c r="BM49" s="19" t="s">
        <v>3995</v>
      </c>
      <c r="BN49" s="18"/>
      <c r="BO49" s="19" t="s">
        <v>3996</v>
      </c>
      <c r="BP49" s="18"/>
      <c r="BQ49" s="15" t="s">
        <v>451</v>
      </c>
      <c r="BR49" s="18"/>
      <c r="BS49" s="18"/>
      <c r="BT49" s="19" t="s">
        <v>3997</v>
      </c>
      <c r="BU49" s="18"/>
      <c r="BV49" s="19" t="s">
        <v>3998</v>
      </c>
      <c r="BW49" s="15" t="s">
        <v>3999</v>
      </c>
      <c r="BX49" s="18"/>
      <c r="BY49" s="18" t="str">
        <f t="shared" si="2"/>
        <v>CHEM</v>
      </c>
      <c r="BZ49" s="24" t="str">
        <f t="shared" ref="BZ49:CA49" si="49">IF(ISBLANK(BU49), BL49, BU49)</f>
        <v>https://drive.google.com/open?id=1P82rGiW0qnpiYC-xZYGIQbjMb2BY3qDK</v>
      </c>
      <c r="CA49" s="24" t="str">
        <f t="shared" si="49"/>
        <v>https://drive.google.com/open?id=1Wjkh6JuEWxNw4BpI16O90GB9H2wlskv7</v>
      </c>
      <c r="CB49" s="15" t="s">
        <v>2821</v>
      </c>
      <c r="CC49" s="15" t="s">
        <v>2821</v>
      </c>
      <c r="CD49" s="25" t="s">
        <v>4000</v>
      </c>
      <c r="CE49" s="18"/>
      <c r="CF49" s="18"/>
      <c r="CG49" s="18"/>
    </row>
    <row r="50" ht="18.75" hidden="1" customHeight="1">
      <c r="A50" s="14">
        <v>44739.52078274306</v>
      </c>
      <c r="B50" s="15" t="s">
        <v>4001</v>
      </c>
      <c r="C50" s="16" t="s">
        <v>4002</v>
      </c>
      <c r="D50" s="15" t="str">
        <f>IFERROR(__xludf.DUMMYFUNCTION("QUERY(TY_ALL_2023_Batch!$A$1:$E$824, ""SELECT E WHERE C='""&amp;B50&amp;""'"", 0)"),"#N/A")</f>
        <v>#N/A</v>
      </c>
      <c r="E50" s="15" t="s">
        <v>4003</v>
      </c>
      <c r="F50" s="15" t="s">
        <v>4004</v>
      </c>
      <c r="G50" s="15" t="s">
        <v>4005</v>
      </c>
      <c r="H50" s="15" t="s">
        <v>2826</v>
      </c>
      <c r="I50" s="17">
        <v>37174.0</v>
      </c>
      <c r="J50" s="15">
        <v>2020.0</v>
      </c>
      <c r="K50" s="15" t="s">
        <v>2941</v>
      </c>
      <c r="L50" s="15" t="s">
        <v>2787</v>
      </c>
      <c r="M50" s="18"/>
      <c r="N50" s="15" t="s">
        <v>1002</v>
      </c>
      <c r="O50" s="15" t="s">
        <v>4001</v>
      </c>
      <c r="P50" s="19" t="s">
        <v>4006</v>
      </c>
      <c r="Q50" s="15">
        <v>9.623338873E9</v>
      </c>
      <c r="R50" s="15">
        <v>9.623338873E9</v>
      </c>
      <c r="S50" s="15"/>
      <c r="T50" s="15" t="s">
        <v>4007</v>
      </c>
      <c r="U50" s="15" t="s">
        <v>4008</v>
      </c>
      <c r="V50" s="15" t="s">
        <v>4009</v>
      </c>
      <c r="W50" s="15" t="s">
        <v>4010</v>
      </c>
      <c r="X50" s="15">
        <v>87.0</v>
      </c>
      <c r="Y50" s="15" t="s">
        <v>2948</v>
      </c>
      <c r="Z50" s="15">
        <v>9.1</v>
      </c>
      <c r="AA50" s="15">
        <v>8.52</v>
      </c>
      <c r="AB50" s="15" t="s">
        <v>2796</v>
      </c>
      <c r="AC50" s="15" t="s">
        <v>2796</v>
      </c>
      <c r="AD50" s="15" t="s">
        <v>2796</v>
      </c>
      <c r="AE50" s="15" t="s">
        <v>2796</v>
      </c>
      <c r="AF50" s="18"/>
      <c r="AG50" s="18"/>
      <c r="AH50" s="18"/>
      <c r="AI50" s="15">
        <v>85.89</v>
      </c>
      <c r="AJ50" s="15" t="s">
        <v>2797</v>
      </c>
      <c r="AK50" s="15" t="s">
        <v>2787</v>
      </c>
      <c r="AL50" s="18"/>
      <c r="AM50" s="15" t="s">
        <v>4011</v>
      </c>
      <c r="AN50" s="15" t="s">
        <v>2797</v>
      </c>
      <c r="AO50" s="15" t="s">
        <v>2796</v>
      </c>
      <c r="AP50" s="15" t="s">
        <v>2796</v>
      </c>
      <c r="AQ50" s="15" t="s">
        <v>4012</v>
      </c>
      <c r="AR50" s="15" t="s">
        <v>2981</v>
      </c>
      <c r="AS50" s="15" t="s">
        <v>4013</v>
      </c>
      <c r="AT50" s="18"/>
      <c r="AU50" s="15" t="s">
        <v>2796</v>
      </c>
      <c r="AV50" s="15" t="s">
        <v>4014</v>
      </c>
      <c r="AW50" s="15" t="s">
        <v>4015</v>
      </c>
      <c r="AX50" s="18"/>
      <c r="AY50" s="15" t="s">
        <v>4016</v>
      </c>
      <c r="AZ50" s="15" t="s">
        <v>2805</v>
      </c>
      <c r="BA50" s="15" t="s">
        <v>2870</v>
      </c>
      <c r="BB50" s="15" t="s">
        <v>2807</v>
      </c>
      <c r="BC50" s="15" t="s">
        <v>3988</v>
      </c>
      <c r="BD50" s="15" t="s">
        <v>2807</v>
      </c>
      <c r="BE50" s="15" t="s">
        <v>4017</v>
      </c>
      <c r="BF50" s="15" t="s">
        <v>2796</v>
      </c>
      <c r="BG50" s="15" t="s">
        <v>4018</v>
      </c>
      <c r="BH50" s="15" t="s">
        <v>4019</v>
      </c>
      <c r="BI50" s="15" t="s">
        <v>4020</v>
      </c>
      <c r="BJ50" s="19" t="s">
        <v>4021</v>
      </c>
      <c r="BK50" s="19" t="s">
        <v>4022</v>
      </c>
      <c r="BL50" s="18"/>
      <c r="BM50" s="19" t="s">
        <v>4023</v>
      </c>
      <c r="BN50" s="19" t="s">
        <v>4024</v>
      </c>
      <c r="BO50" s="19" t="s">
        <v>4025</v>
      </c>
      <c r="BP50" s="19" t="s">
        <v>4026</v>
      </c>
      <c r="BQ50" s="15" t="s">
        <v>451</v>
      </c>
      <c r="BR50" s="19" t="s">
        <v>4027</v>
      </c>
      <c r="BS50" s="19" t="s">
        <v>4028</v>
      </c>
      <c r="BT50" s="19" t="s">
        <v>4029</v>
      </c>
      <c r="BU50" s="26"/>
      <c r="BV50" s="19" t="s">
        <v>4030</v>
      </c>
      <c r="BW50" s="15" t="s">
        <v>4031</v>
      </c>
      <c r="BX50" s="26"/>
      <c r="BY50" s="18" t="str">
        <f t="shared" si="2"/>
        <v>CHEM</v>
      </c>
      <c r="BZ50" s="18" t="str">
        <f t="shared" ref="BZ50:CA50" si="50">IF(ISBLANK(BU50), BL50, BU50)</f>
        <v/>
      </c>
      <c r="CA50" s="24" t="str">
        <f t="shared" si="50"/>
        <v>https://drive.google.com/open?id=1jGuvfOv_H5sQaFF4QTHXEEKxfWtiNE-U</v>
      </c>
      <c r="CB50" s="15" t="s">
        <v>4032</v>
      </c>
      <c r="CC50" s="15" t="s">
        <v>2821</v>
      </c>
      <c r="CD50" s="25" t="s">
        <v>2787</v>
      </c>
      <c r="CE50" s="18"/>
      <c r="CF50" s="18"/>
      <c r="CG50" s="18"/>
    </row>
    <row r="51" ht="18.75" hidden="1" customHeight="1">
      <c r="A51" s="14">
        <v>44743.898090104165</v>
      </c>
      <c r="B51" s="15" t="s">
        <v>4033</v>
      </c>
      <c r="C51" s="16" t="s">
        <v>4034</v>
      </c>
      <c r="D51" s="15" t="str">
        <f>IFERROR(__xludf.DUMMYFUNCTION("QUERY(TY_ALL_2023_Batch!$A$1:$E$824, ""SELECT E WHERE C='""&amp;B51&amp;""'"", 0)"),"#N/A")</f>
        <v>#N/A</v>
      </c>
      <c r="E51" s="15" t="s">
        <v>3383</v>
      </c>
      <c r="F51" s="15" t="s">
        <v>4035</v>
      </c>
      <c r="G51" s="15" t="s">
        <v>4036</v>
      </c>
      <c r="H51" s="15" t="s">
        <v>2826</v>
      </c>
      <c r="I51" s="17">
        <v>36767.0</v>
      </c>
      <c r="J51" s="15">
        <v>2020.0</v>
      </c>
      <c r="K51" s="15" t="s">
        <v>2941</v>
      </c>
      <c r="L51" s="15" t="s">
        <v>2787</v>
      </c>
      <c r="M51" s="18"/>
      <c r="N51" s="15" t="s">
        <v>1065</v>
      </c>
      <c r="O51" s="15" t="s">
        <v>4033</v>
      </c>
      <c r="P51" s="15" t="s">
        <v>1065</v>
      </c>
      <c r="Q51" s="15">
        <v>7.499536709E9</v>
      </c>
      <c r="R51" s="15">
        <v>7.499536709E9</v>
      </c>
      <c r="S51" s="15">
        <v>9.370758014E9</v>
      </c>
      <c r="T51" s="15" t="s">
        <v>4035</v>
      </c>
      <c r="U51" s="15" t="s">
        <v>4037</v>
      </c>
      <c r="V51" s="15" t="s">
        <v>4038</v>
      </c>
      <c r="W51" s="15" t="s">
        <v>4039</v>
      </c>
      <c r="X51" s="15">
        <v>78.0</v>
      </c>
      <c r="Y51" s="15" t="s">
        <v>2795</v>
      </c>
      <c r="Z51" s="15">
        <v>7.68</v>
      </c>
      <c r="AA51" s="15">
        <v>7.48</v>
      </c>
      <c r="AB51" s="15" t="s">
        <v>3005</v>
      </c>
      <c r="AC51" s="15" t="s">
        <v>3005</v>
      </c>
      <c r="AD51" s="15" t="s">
        <v>3005</v>
      </c>
      <c r="AE51" s="15" t="s">
        <v>3005</v>
      </c>
      <c r="AF51" s="15">
        <v>7.5</v>
      </c>
      <c r="AG51" s="15">
        <v>7.9</v>
      </c>
      <c r="AH51" s="15">
        <v>53.0</v>
      </c>
      <c r="AI51" s="18"/>
      <c r="AJ51" s="15" t="s">
        <v>2797</v>
      </c>
      <c r="AK51" s="15" t="s">
        <v>2787</v>
      </c>
      <c r="AL51" s="15"/>
      <c r="AM51" s="15"/>
      <c r="AN51" s="15" t="s">
        <v>2797</v>
      </c>
      <c r="AO51" s="18"/>
      <c r="AP51" s="18"/>
      <c r="AQ51" s="15" t="s">
        <v>4040</v>
      </c>
      <c r="AR51" s="18"/>
      <c r="AS51" s="15"/>
      <c r="AT51" s="18"/>
      <c r="AU51" s="15" t="s">
        <v>3005</v>
      </c>
      <c r="AV51" s="15" t="s">
        <v>4041</v>
      </c>
      <c r="AW51" s="15" t="s">
        <v>4042</v>
      </c>
      <c r="AX51" s="18"/>
      <c r="AY51" s="15" t="s">
        <v>4043</v>
      </c>
      <c r="AZ51" s="15" t="s">
        <v>4044</v>
      </c>
      <c r="BA51" s="15" t="s">
        <v>2870</v>
      </c>
      <c r="BB51" s="15" t="s">
        <v>2807</v>
      </c>
      <c r="BC51" s="15" t="s">
        <v>4045</v>
      </c>
      <c r="BD51" s="15" t="s">
        <v>2807</v>
      </c>
      <c r="BE51" s="15" t="s">
        <v>4046</v>
      </c>
      <c r="BF51" s="15" t="s">
        <v>3005</v>
      </c>
      <c r="BG51" s="18"/>
      <c r="BH51" s="18"/>
      <c r="BI51" s="15" t="s">
        <v>4047</v>
      </c>
      <c r="BJ51" s="19" t="s">
        <v>4048</v>
      </c>
      <c r="BK51" s="19" t="s">
        <v>4049</v>
      </c>
      <c r="BL51" s="18"/>
      <c r="BM51" s="18"/>
      <c r="BN51" s="18"/>
      <c r="BO51" s="19" t="s">
        <v>4050</v>
      </c>
      <c r="BP51" s="18"/>
      <c r="BQ51" s="15" t="s">
        <v>451</v>
      </c>
      <c r="BR51" s="26"/>
      <c r="BS51" s="26"/>
      <c r="BT51" s="26"/>
      <c r="BU51" s="26"/>
      <c r="BV51" s="26"/>
      <c r="BW51" s="15" t="s">
        <v>4051</v>
      </c>
      <c r="BX51" s="26"/>
      <c r="BY51" s="18" t="str">
        <f t="shared" si="2"/>
        <v>CHEM</v>
      </c>
      <c r="BZ51" s="18" t="str">
        <f t="shared" ref="BZ51:CA51" si="51">IF(ISBLANK(BU51), BL51, BU51)</f>
        <v/>
      </c>
      <c r="CA51" s="18" t="str">
        <f t="shared" si="51"/>
        <v/>
      </c>
      <c r="CB51" s="15" t="s">
        <v>2908</v>
      </c>
      <c r="CC51" s="15" t="s">
        <v>2908</v>
      </c>
      <c r="CD51" s="25" t="s">
        <v>2797</v>
      </c>
      <c r="CE51" s="18"/>
      <c r="CF51" s="18"/>
      <c r="CG51" s="18"/>
    </row>
    <row r="52" ht="18.75" hidden="1" customHeight="1">
      <c r="A52" s="14">
        <v>44742.97900162037</v>
      </c>
      <c r="B52" s="15" t="s">
        <v>4052</v>
      </c>
      <c r="C52" s="16" t="s">
        <v>4053</v>
      </c>
      <c r="D52" s="15" t="str">
        <f>IFERROR(__xludf.DUMMYFUNCTION("QUERY(TY_ALL_2023_Batch!$A$1:$E$824, ""SELECT E WHERE C='""&amp;B52&amp;""'"", 0)"),"#N/A")</f>
        <v>#N/A</v>
      </c>
      <c r="E52" s="15" t="s">
        <v>4054</v>
      </c>
      <c r="F52" s="15" t="s">
        <v>4055</v>
      </c>
      <c r="G52" s="15" t="s">
        <v>4056</v>
      </c>
      <c r="H52" s="15" t="s">
        <v>2785</v>
      </c>
      <c r="I52" s="17">
        <v>36180.0</v>
      </c>
      <c r="J52" s="15">
        <v>2020.0</v>
      </c>
      <c r="K52" s="15" t="s">
        <v>2941</v>
      </c>
      <c r="L52" s="15" t="s">
        <v>2787</v>
      </c>
      <c r="M52" s="18"/>
      <c r="N52" s="15" t="s">
        <v>1020</v>
      </c>
      <c r="O52" s="15" t="s">
        <v>4057</v>
      </c>
      <c r="P52" s="19" t="s">
        <v>4058</v>
      </c>
      <c r="Q52" s="15">
        <v>7.057273135E9</v>
      </c>
      <c r="R52" s="15">
        <v>7.057273135E9</v>
      </c>
      <c r="S52" s="15">
        <v>7.057273135E9</v>
      </c>
      <c r="T52" s="15" t="s">
        <v>4059</v>
      </c>
      <c r="U52" s="15" t="s">
        <v>4060</v>
      </c>
      <c r="V52" s="15" t="s">
        <v>4061</v>
      </c>
      <c r="W52" s="15" t="s">
        <v>4062</v>
      </c>
      <c r="X52" s="15">
        <v>79.2</v>
      </c>
      <c r="Y52" s="15" t="s">
        <v>2948</v>
      </c>
      <c r="Z52" s="15">
        <v>7.24</v>
      </c>
      <c r="AA52" s="15">
        <v>7.24</v>
      </c>
      <c r="AB52" s="15" t="s">
        <v>2796</v>
      </c>
      <c r="AC52" s="15" t="s">
        <v>2796</v>
      </c>
      <c r="AD52" s="15" t="s">
        <v>2796</v>
      </c>
      <c r="AE52" s="15" t="s">
        <v>3005</v>
      </c>
      <c r="AF52" s="18"/>
      <c r="AG52" s="18"/>
      <c r="AH52" s="18"/>
      <c r="AI52" s="15">
        <v>82.22</v>
      </c>
      <c r="AJ52" s="15" t="s">
        <v>2787</v>
      </c>
      <c r="AK52" s="15" t="s">
        <v>2787</v>
      </c>
      <c r="AL52" s="15">
        <v>468.0</v>
      </c>
      <c r="AM52" s="15">
        <v>468.0</v>
      </c>
      <c r="AN52" s="15" t="s">
        <v>2787</v>
      </c>
      <c r="AO52" s="18"/>
      <c r="AP52" s="18"/>
      <c r="AQ52" s="15" t="s">
        <v>2908</v>
      </c>
      <c r="AR52" s="18"/>
      <c r="AS52" s="15" t="s">
        <v>2952</v>
      </c>
      <c r="AT52" s="18"/>
      <c r="AU52" s="18"/>
      <c r="AV52" s="18"/>
      <c r="AW52" s="15" t="s">
        <v>4063</v>
      </c>
      <c r="AX52" s="18"/>
      <c r="AY52" s="15" t="s">
        <v>4063</v>
      </c>
      <c r="AZ52" s="15" t="s">
        <v>2805</v>
      </c>
      <c r="BA52" s="15" t="s">
        <v>2870</v>
      </c>
      <c r="BB52" s="15" t="s">
        <v>2807</v>
      </c>
      <c r="BC52" s="15" t="s">
        <v>3132</v>
      </c>
      <c r="BD52" s="15" t="s">
        <v>2807</v>
      </c>
      <c r="BE52" s="15" t="s">
        <v>3662</v>
      </c>
      <c r="BF52" s="18"/>
      <c r="BG52" s="18"/>
      <c r="BH52" s="15" t="s">
        <v>3663</v>
      </c>
      <c r="BI52" s="15" t="s">
        <v>4064</v>
      </c>
      <c r="BJ52" s="19" t="s">
        <v>4065</v>
      </c>
      <c r="BK52" s="19" t="s">
        <v>4066</v>
      </c>
      <c r="BL52" s="18"/>
      <c r="BM52" s="18"/>
      <c r="BN52" s="18"/>
      <c r="BO52" s="19" t="s">
        <v>4067</v>
      </c>
      <c r="BP52" s="18"/>
      <c r="BQ52" s="15" t="s">
        <v>451</v>
      </c>
      <c r="BR52" s="26"/>
      <c r="BS52" s="26"/>
      <c r="BT52" s="26"/>
      <c r="BU52" s="26"/>
      <c r="BV52" s="26"/>
      <c r="BW52" s="15" t="s">
        <v>3005</v>
      </c>
      <c r="BX52" s="26"/>
      <c r="BY52" s="18" t="str">
        <f t="shared" si="2"/>
        <v>CHEM</v>
      </c>
      <c r="BZ52" s="18" t="str">
        <f t="shared" ref="BZ52:CA52" si="52">IF(ISBLANK(BU52), BL52, BU52)</f>
        <v/>
      </c>
      <c r="CA52" s="18" t="str">
        <f t="shared" si="52"/>
        <v/>
      </c>
      <c r="CB52" s="15" t="s">
        <v>2908</v>
      </c>
      <c r="CC52" s="15" t="s">
        <v>2908</v>
      </c>
      <c r="CD52" s="25" t="s">
        <v>2797</v>
      </c>
      <c r="CE52" s="18"/>
      <c r="CF52" s="18"/>
      <c r="CG52" s="18"/>
    </row>
    <row r="53" ht="18.75" hidden="1" customHeight="1">
      <c r="A53" s="14">
        <v>44738.41036982639</v>
      </c>
      <c r="B53" s="15" t="s">
        <v>4068</v>
      </c>
      <c r="C53" s="16" t="s">
        <v>4069</v>
      </c>
      <c r="D53" s="15" t="str">
        <f>IFERROR(__xludf.DUMMYFUNCTION("QUERY(TY_ALL_2023_Batch!$A$1:$E$824, ""SELECT E WHERE C='""&amp;B53&amp;""'"", 0)"),"#N/A")</f>
        <v>#N/A</v>
      </c>
      <c r="E53" s="15" t="s">
        <v>4070</v>
      </c>
      <c r="F53" s="15" t="s">
        <v>4071</v>
      </c>
      <c r="G53" s="15" t="s">
        <v>4072</v>
      </c>
      <c r="H53" s="15" t="s">
        <v>2785</v>
      </c>
      <c r="I53" s="17">
        <v>36937.0</v>
      </c>
      <c r="J53" s="15">
        <v>2020.0</v>
      </c>
      <c r="K53" s="15" t="s">
        <v>2941</v>
      </c>
      <c r="L53" s="15" t="s">
        <v>2787</v>
      </c>
      <c r="M53" s="18"/>
      <c r="N53" s="15" t="s">
        <v>1044</v>
      </c>
      <c r="O53" s="15" t="s">
        <v>4068</v>
      </c>
      <c r="P53" s="15" t="s">
        <v>1044</v>
      </c>
      <c r="Q53" s="15">
        <v>9.172449889E9</v>
      </c>
      <c r="R53" s="15">
        <v>7.79643923E9</v>
      </c>
      <c r="S53" s="15">
        <v>9.172449889E9</v>
      </c>
      <c r="T53" s="15" t="s">
        <v>4071</v>
      </c>
      <c r="U53" s="15" t="s">
        <v>4073</v>
      </c>
      <c r="V53" s="15" t="s">
        <v>4074</v>
      </c>
      <c r="W53" s="15" t="s">
        <v>4075</v>
      </c>
      <c r="X53" s="15">
        <v>73.2</v>
      </c>
      <c r="Y53" s="15" t="s">
        <v>2795</v>
      </c>
      <c r="Z53" s="15">
        <v>6.0</v>
      </c>
      <c r="AA53" s="15">
        <v>6.0</v>
      </c>
      <c r="AB53" s="15">
        <v>77.6</v>
      </c>
      <c r="AC53" s="15">
        <v>82.66</v>
      </c>
      <c r="AD53" s="15">
        <v>66.78</v>
      </c>
      <c r="AE53" s="15">
        <v>65.23</v>
      </c>
      <c r="AF53" s="15">
        <v>8.0</v>
      </c>
      <c r="AG53" s="15">
        <v>8.0</v>
      </c>
      <c r="AH53" s="15">
        <v>86.66</v>
      </c>
      <c r="AI53" s="18"/>
      <c r="AJ53" s="15" t="s">
        <v>2797</v>
      </c>
      <c r="AK53" s="15" t="s">
        <v>2787</v>
      </c>
      <c r="AL53" s="15" t="s">
        <v>2796</v>
      </c>
      <c r="AM53" s="15">
        <v>323.33</v>
      </c>
      <c r="AN53" s="15" t="s">
        <v>2787</v>
      </c>
      <c r="AO53" s="15" t="s">
        <v>4076</v>
      </c>
      <c r="AP53" s="15" t="s">
        <v>4077</v>
      </c>
      <c r="AQ53" s="15" t="s">
        <v>4078</v>
      </c>
      <c r="AR53" s="15" t="s">
        <v>4079</v>
      </c>
      <c r="AS53" s="15" t="s">
        <v>4080</v>
      </c>
      <c r="AT53" s="15" t="s">
        <v>2796</v>
      </c>
      <c r="AU53" s="15" t="s">
        <v>2796</v>
      </c>
      <c r="AV53" s="15" t="s">
        <v>4081</v>
      </c>
      <c r="AW53" s="15" t="s">
        <v>4082</v>
      </c>
      <c r="AX53" s="18"/>
      <c r="AY53" s="15" t="s">
        <v>4083</v>
      </c>
      <c r="AZ53" s="15" t="s">
        <v>4084</v>
      </c>
      <c r="BA53" s="15" t="s">
        <v>4085</v>
      </c>
      <c r="BB53" s="15" t="s">
        <v>2807</v>
      </c>
      <c r="BC53" s="15" t="s">
        <v>4086</v>
      </c>
      <c r="BD53" s="15" t="s">
        <v>2842</v>
      </c>
      <c r="BE53" s="15" t="s">
        <v>2796</v>
      </c>
      <c r="BF53" s="15" t="s">
        <v>2797</v>
      </c>
      <c r="BG53" s="15" t="s">
        <v>2797</v>
      </c>
      <c r="BH53" s="18"/>
      <c r="BI53" s="15" t="s">
        <v>4087</v>
      </c>
      <c r="BJ53" s="19" t="s">
        <v>4088</v>
      </c>
      <c r="BK53" s="19" t="s">
        <v>4089</v>
      </c>
      <c r="BL53" s="18"/>
      <c r="BM53" s="18"/>
      <c r="BN53" s="18"/>
      <c r="BO53" s="19" t="s">
        <v>4090</v>
      </c>
      <c r="BP53" s="19" t="s">
        <v>4091</v>
      </c>
      <c r="BQ53" s="15" t="s">
        <v>451</v>
      </c>
      <c r="BR53" s="26"/>
      <c r="BS53" s="26"/>
      <c r="BT53" s="26"/>
      <c r="BU53" s="26"/>
      <c r="BV53" s="26"/>
      <c r="BW53" s="15" t="s">
        <v>4092</v>
      </c>
      <c r="BX53" s="26"/>
      <c r="BY53" s="18" t="str">
        <f t="shared" si="2"/>
        <v>CHEM</v>
      </c>
      <c r="BZ53" s="18" t="str">
        <f t="shared" ref="BZ53:CA53" si="53">IF(ISBLANK(BU53), BL53, BU53)</f>
        <v/>
      </c>
      <c r="CA53" s="18" t="str">
        <f t="shared" si="53"/>
        <v/>
      </c>
      <c r="CB53" s="15" t="s">
        <v>2908</v>
      </c>
      <c r="CC53" s="15" t="s">
        <v>2908</v>
      </c>
      <c r="CD53" s="25" t="s">
        <v>2797</v>
      </c>
      <c r="CE53" s="18"/>
      <c r="CF53" s="18"/>
      <c r="CG53" s="18"/>
    </row>
    <row r="54" ht="18.75" hidden="1" customHeight="1">
      <c r="A54" s="14">
        <v>44735.608116793985</v>
      </c>
      <c r="B54" s="15" t="s">
        <v>4093</v>
      </c>
      <c r="C54" s="16" t="s">
        <v>4094</v>
      </c>
      <c r="D54" s="15" t="str">
        <f>IFERROR(__xludf.DUMMYFUNCTION("QUERY(TY_ALL_2023_Batch!$A$1:$E$824, ""SELECT E WHERE C='""&amp;B54&amp;""'"", 0)"),"#N/A")</f>
        <v>#N/A</v>
      </c>
      <c r="E54" s="15" t="s">
        <v>4095</v>
      </c>
      <c r="F54" s="15" t="s">
        <v>4096</v>
      </c>
      <c r="G54" s="15" t="s">
        <v>4097</v>
      </c>
      <c r="H54" s="15" t="s">
        <v>2785</v>
      </c>
      <c r="I54" s="17">
        <v>37106.0</v>
      </c>
      <c r="J54" s="15">
        <v>2020.0</v>
      </c>
      <c r="K54" s="15" t="s">
        <v>2941</v>
      </c>
      <c r="L54" s="15" t="s">
        <v>2787</v>
      </c>
      <c r="M54" s="18"/>
      <c r="N54" s="15" t="s">
        <v>1029</v>
      </c>
      <c r="O54" s="15" t="s">
        <v>4093</v>
      </c>
      <c r="P54" s="19" t="s">
        <v>4098</v>
      </c>
      <c r="Q54" s="15">
        <v>8.766834791E9</v>
      </c>
      <c r="R54" s="15">
        <v>8.766834791E9</v>
      </c>
      <c r="S54" s="15">
        <v>9.579846404E9</v>
      </c>
      <c r="T54" s="15" t="s">
        <v>4096</v>
      </c>
      <c r="U54" s="15" t="s">
        <v>4099</v>
      </c>
      <c r="V54" s="15" t="s">
        <v>4100</v>
      </c>
      <c r="W54" s="15" t="s">
        <v>4101</v>
      </c>
      <c r="X54" s="15">
        <v>69.0</v>
      </c>
      <c r="Y54" s="15" t="s">
        <v>2948</v>
      </c>
      <c r="Z54" s="15">
        <v>8.62</v>
      </c>
      <c r="AA54" s="15">
        <v>8.0</v>
      </c>
      <c r="AB54" s="15">
        <v>7.5</v>
      </c>
      <c r="AC54" s="15" t="s">
        <v>2796</v>
      </c>
      <c r="AD54" s="15" t="s">
        <v>2796</v>
      </c>
      <c r="AE54" s="15" t="s">
        <v>2796</v>
      </c>
      <c r="AF54" s="18"/>
      <c r="AG54" s="18"/>
      <c r="AH54" s="18"/>
      <c r="AI54" s="15">
        <v>84.89</v>
      </c>
      <c r="AJ54" s="15" t="s">
        <v>2787</v>
      </c>
      <c r="AK54" s="15" t="s">
        <v>2787</v>
      </c>
      <c r="AL54" s="29">
        <v>4.00335415E8</v>
      </c>
      <c r="AM54" s="29">
        <v>6.30510345E8</v>
      </c>
      <c r="AN54" s="15" t="s">
        <v>2787</v>
      </c>
      <c r="AO54" s="15" t="s">
        <v>4102</v>
      </c>
      <c r="AP54" s="15" t="s">
        <v>4102</v>
      </c>
      <c r="AQ54" s="15" t="s">
        <v>3005</v>
      </c>
      <c r="AR54" s="18"/>
      <c r="AS54" s="15" t="s">
        <v>4103</v>
      </c>
      <c r="AT54" s="18"/>
      <c r="AU54" s="18"/>
      <c r="AV54" s="18"/>
      <c r="AW54" s="15" t="s">
        <v>4104</v>
      </c>
      <c r="AX54" s="18"/>
      <c r="AY54" s="15" t="s">
        <v>4105</v>
      </c>
      <c r="AZ54" s="15" t="s">
        <v>2805</v>
      </c>
      <c r="BA54" s="15" t="s">
        <v>2870</v>
      </c>
      <c r="BB54" s="15" t="s">
        <v>2807</v>
      </c>
      <c r="BC54" s="15" t="s">
        <v>4106</v>
      </c>
      <c r="BD54" s="15" t="s">
        <v>2807</v>
      </c>
      <c r="BE54" s="15" t="s">
        <v>2796</v>
      </c>
      <c r="BF54" s="18"/>
      <c r="BG54" s="18"/>
      <c r="BH54" s="18"/>
      <c r="BI54" s="18"/>
      <c r="BJ54" s="19" t="s">
        <v>4107</v>
      </c>
      <c r="BK54" s="19" t="s">
        <v>4108</v>
      </c>
      <c r="BL54" s="19" t="s">
        <v>4109</v>
      </c>
      <c r="BM54" s="19" t="s">
        <v>4110</v>
      </c>
      <c r="BN54" s="18"/>
      <c r="BO54" s="19" t="s">
        <v>4111</v>
      </c>
      <c r="BP54" s="18"/>
      <c r="BQ54" s="15" t="s">
        <v>451</v>
      </c>
      <c r="BR54" s="26"/>
      <c r="BS54" s="26"/>
      <c r="BT54" s="26"/>
      <c r="BU54" s="26"/>
      <c r="BV54" s="26"/>
      <c r="BW54" s="26"/>
      <c r="BX54" s="26"/>
      <c r="BY54" s="18" t="str">
        <f t="shared" si="2"/>
        <v>CHEM</v>
      </c>
      <c r="BZ54" s="24" t="str">
        <f t="shared" ref="BZ54:CA54" si="54">IF(ISBLANK(BU54), BL54, BU54)</f>
        <v>https://drive.google.com/open?id=1crxyVcYayQ9NIVRq9Pufn20_ak3gX1Md</v>
      </c>
      <c r="CA54" s="24" t="str">
        <f t="shared" si="54"/>
        <v>https://drive.google.com/open?id=1a1kraQ66uDHxGOEwbPeHZgebVXJXw5KV</v>
      </c>
      <c r="CB54" s="15" t="s">
        <v>2821</v>
      </c>
      <c r="CC54" s="15" t="s">
        <v>2821</v>
      </c>
      <c r="CD54" s="25" t="s">
        <v>2797</v>
      </c>
      <c r="CE54" s="18"/>
      <c r="CF54" s="18"/>
      <c r="CG54" s="18"/>
    </row>
    <row r="55" ht="18.75" hidden="1" customHeight="1">
      <c r="A55" s="30">
        <v>44736.49670753472</v>
      </c>
      <c r="B55" s="5" t="s">
        <v>4112</v>
      </c>
      <c r="C55" s="31" t="s">
        <v>4113</v>
      </c>
      <c r="E55" s="5" t="s">
        <v>4114</v>
      </c>
      <c r="F55" s="5" t="s">
        <v>4115</v>
      </c>
      <c r="G55" s="5" t="s">
        <v>4116</v>
      </c>
      <c r="H55" s="5" t="s">
        <v>2826</v>
      </c>
      <c r="I55" s="32">
        <v>36219.0</v>
      </c>
      <c r="J55" s="5">
        <v>2020.0</v>
      </c>
      <c r="K55" s="5" t="s">
        <v>2941</v>
      </c>
      <c r="L55" s="5" t="s">
        <v>2787</v>
      </c>
      <c r="N55" s="5" t="s">
        <v>1077</v>
      </c>
      <c r="O55" s="5" t="s">
        <v>4117</v>
      </c>
      <c r="P55" s="33" t="s">
        <v>4118</v>
      </c>
      <c r="Q55" s="5">
        <v>7.498077416E9</v>
      </c>
      <c r="R55" s="5">
        <v>7.498077416E9</v>
      </c>
      <c r="S55" s="5">
        <v>8.080730581E9</v>
      </c>
      <c r="T55" s="5" t="s">
        <v>4119</v>
      </c>
      <c r="U55" s="5" t="s">
        <v>4120</v>
      </c>
      <c r="V55" s="5" t="s">
        <v>4121</v>
      </c>
      <c r="W55" s="5" t="s">
        <v>4122</v>
      </c>
      <c r="X55" s="5">
        <v>78.2</v>
      </c>
      <c r="Y55" s="5" t="s">
        <v>2948</v>
      </c>
      <c r="Z55" s="5">
        <v>8.52</v>
      </c>
      <c r="AA55" s="5">
        <v>7.67</v>
      </c>
      <c r="AB55" s="5" t="s">
        <v>2796</v>
      </c>
      <c r="AC55" s="5" t="s">
        <v>2796</v>
      </c>
      <c r="AD55" s="5" t="s">
        <v>2796</v>
      </c>
      <c r="AE55" s="5" t="s">
        <v>2796</v>
      </c>
      <c r="AI55" s="5">
        <v>58.0</v>
      </c>
      <c r="AJ55" s="5" t="s">
        <v>2797</v>
      </c>
      <c r="AK55" s="5" t="s">
        <v>2797</v>
      </c>
      <c r="AN55" s="5" t="s">
        <v>2787</v>
      </c>
      <c r="AO55" s="5" t="s">
        <v>4123</v>
      </c>
      <c r="AP55" s="5" t="s">
        <v>4124</v>
      </c>
      <c r="AQ55" s="5" t="s">
        <v>4125</v>
      </c>
      <c r="AS55" s="5" t="s">
        <v>3372</v>
      </c>
      <c r="AW55" s="5" t="s">
        <v>4126</v>
      </c>
      <c r="AY55" s="5" t="s">
        <v>4127</v>
      </c>
      <c r="AZ55" s="5" t="s">
        <v>2805</v>
      </c>
      <c r="BA55" s="5" t="s">
        <v>2870</v>
      </c>
      <c r="BB55" s="5" t="s">
        <v>2807</v>
      </c>
      <c r="BC55" s="5" t="s">
        <v>3132</v>
      </c>
      <c r="BD55" s="5" t="s">
        <v>2842</v>
      </c>
      <c r="BE55" s="5" t="s">
        <v>2796</v>
      </c>
      <c r="BG55" s="5" t="s">
        <v>4128</v>
      </c>
      <c r="BJ55" s="33" t="s">
        <v>4129</v>
      </c>
      <c r="BK55" s="33" t="s">
        <v>4130</v>
      </c>
      <c r="BO55" s="33" t="s">
        <v>4131</v>
      </c>
      <c r="BQ55" s="5" t="s">
        <v>451</v>
      </c>
      <c r="BR55" s="4"/>
      <c r="BS55" s="4"/>
      <c r="BT55" s="4"/>
      <c r="BU55" s="4"/>
      <c r="BV55" s="4"/>
      <c r="BW55" s="4"/>
      <c r="BX55" s="4"/>
      <c r="BZ55" s="18" t="str">
        <f t="shared" ref="BZ55:CA55" si="55">IF(ISBLANK(BU55), BL55, BU55)</f>
        <v/>
      </c>
      <c r="CA55" s="18" t="str">
        <f t="shared" si="55"/>
        <v/>
      </c>
      <c r="CB55" s="5" t="s">
        <v>2908</v>
      </c>
      <c r="CC55" s="5" t="s">
        <v>2908</v>
      </c>
      <c r="CD55" s="34" t="s">
        <v>2797</v>
      </c>
      <c r="CG55" s="18"/>
    </row>
    <row r="56" ht="18.75" hidden="1" customHeight="1">
      <c r="A56" s="30">
        <v>44743.63238167824</v>
      </c>
      <c r="B56" s="5" t="s">
        <v>1038</v>
      </c>
      <c r="C56" s="31" t="s">
        <v>4132</v>
      </c>
      <c r="E56" s="5" t="s">
        <v>4133</v>
      </c>
      <c r="F56" s="5" t="s">
        <v>4134</v>
      </c>
      <c r="G56" s="5" t="s">
        <v>4135</v>
      </c>
      <c r="H56" s="5" t="s">
        <v>2785</v>
      </c>
      <c r="I56" s="32">
        <v>36553.0</v>
      </c>
      <c r="J56" s="5">
        <v>2020.0</v>
      </c>
      <c r="K56" s="5" t="s">
        <v>2941</v>
      </c>
      <c r="L56" s="5" t="s">
        <v>2787</v>
      </c>
      <c r="N56" s="5" t="s">
        <v>4136</v>
      </c>
      <c r="O56" s="5" t="s">
        <v>1038</v>
      </c>
      <c r="P56" s="33" t="s">
        <v>4137</v>
      </c>
      <c r="Q56" s="5">
        <v>7.083304771E9</v>
      </c>
      <c r="R56" s="5">
        <v>7.083304771E9</v>
      </c>
      <c r="T56" s="5" t="s">
        <v>4134</v>
      </c>
      <c r="U56" s="5" t="s">
        <v>4138</v>
      </c>
      <c r="V56" s="5" t="s">
        <v>4139</v>
      </c>
      <c r="W56" s="5" t="s">
        <v>4140</v>
      </c>
      <c r="X56" s="5">
        <v>93.8</v>
      </c>
      <c r="Y56" s="5" t="s">
        <v>2948</v>
      </c>
      <c r="Z56" s="5">
        <v>8.5</v>
      </c>
      <c r="AA56" s="5">
        <v>8.3</v>
      </c>
      <c r="AB56" s="5" t="s">
        <v>2796</v>
      </c>
      <c r="AC56" s="5" t="s">
        <v>2796</v>
      </c>
      <c r="AD56" s="5" t="s">
        <v>2796</v>
      </c>
      <c r="AE56" s="5" t="s">
        <v>2796</v>
      </c>
      <c r="AI56" s="5">
        <v>88.22</v>
      </c>
      <c r="AJ56" s="5" t="s">
        <v>2797</v>
      </c>
      <c r="AK56" s="5" t="s">
        <v>2797</v>
      </c>
      <c r="AN56" s="5" t="s">
        <v>2797</v>
      </c>
      <c r="AQ56" s="5" t="s">
        <v>2952</v>
      </c>
      <c r="AW56" s="5" t="s">
        <v>4141</v>
      </c>
      <c r="AY56" s="5" t="s">
        <v>4142</v>
      </c>
      <c r="AZ56" s="5" t="s">
        <v>2805</v>
      </c>
      <c r="BA56" s="5" t="s">
        <v>2870</v>
      </c>
      <c r="BB56" s="5" t="s">
        <v>2807</v>
      </c>
      <c r="BC56" s="5" t="s">
        <v>4143</v>
      </c>
      <c r="BD56" s="5" t="s">
        <v>2807</v>
      </c>
      <c r="BE56" s="5" t="s">
        <v>2796</v>
      </c>
      <c r="BI56" s="5" t="s">
        <v>4144</v>
      </c>
      <c r="BJ56" s="33" t="s">
        <v>4145</v>
      </c>
      <c r="BK56" s="33" t="s">
        <v>4146</v>
      </c>
      <c r="BN56" s="33" t="s">
        <v>4147</v>
      </c>
      <c r="BO56" s="33" t="s">
        <v>4148</v>
      </c>
      <c r="BP56" s="33" t="s">
        <v>4149</v>
      </c>
      <c r="BQ56" s="5" t="s">
        <v>451</v>
      </c>
      <c r="BW56" s="5" t="s">
        <v>2796</v>
      </c>
      <c r="BZ56" s="18" t="str">
        <f t="shared" ref="BZ56:CA56" si="56">IF(ISBLANK(BU56), BL56, BU56)</f>
        <v/>
      </c>
      <c r="CA56" s="18" t="str">
        <f t="shared" si="56"/>
        <v/>
      </c>
      <c r="CB56" s="5" t="s">
        <v>2908</v>
      </c>
      <c r="CC56" s="5" t="s">
        <v>2908</v>
      </c>
      <c r="CD56" s="34" t="s">
        <v>2797</v>
      </c>
      <c r="CG56" s="18"/>
    </row>
    <row r="57" ht="18.75" hidden="1" customHeight="1">
      <c r="A57" s="30">
        <v>44742.94900800926</v>
      </c>
      <c r="B57" s="5" t="s">
        <v>546</v>
      </c>
      <c r="C57" s="31" t="s">
        <v>4150</v>
      </c>
      <c r="E57" s="5" t="s">
        <v>4151</v>
      </c>
      <c r="F57" s="5" t="s">
        <v>4152</v>
      </c>
      <c r="G57" s="5" t="s">
        <v>4153</v>
      </c>
      <c r="H57" s="5" t="s">
        <v>2785</v>
      </c>
      <c r="I57" s="32">
        <v>36967.0</v>
      </c>
      <c r="J57" s="5">
        <v>2019.0</v>
      </c>
      <c r="K57" s="5" t="s">
        <v>2786</v>
      </c>
      <c r="L57" s="5" t="s">
        <v>2787</v>
      </c>
      <c r="N57" s="5" t="s">
        <v>4154</v>
      </c>
      <c r="O57" s="5" t="s">
        <v>4155</v>
      </c>
      <c r="P57" s="33" t="s">
        <v>4156</v>
      </c>
      <c r="Q57" s="5">
        <v>8.080155571E9</v>
      </c>
      <c r="R57" s="5">
        <v>8.390246468E9</v>
      </c>
      <c r="S57" s="5">
        <v>9.273352141E9</v>
      </c>
      <c r="T57" s="5" t="s">
        <v>4152</v>
      </c>
      <c r="U57" s="5" t="s">
        <v>4157</v>
      </c>
      <c r="V57" s="5" t="s">
        <v>4158</v>
      </c>
      <c r="W57" s="5" t="s">
        <v>4159</v>
      </c>
      <c r="X57" s="5">
        <v>87.0</v>
      </c>
      <c r="Y57" s="5" t="s">
        <v>2795</v>
      </c>
      <c r="Z57" s="5">
        <v>6.9</v>
      </c>
      <c r="AA57" s="5">
        <v>7.2</v>
      </c>
      <c r="AB57" s="5" t="s">
        <v>3005</v>
      </c>
      <c r="AC57" s="5" t="s">
        <v>3005</v>
      </c>
      <c r="AD57" s="5" t="s">
        <v>3005</v>
      </c>
      <c r="AE57" s="5" t="s">
        <v>3005</v>
      </c>
      <c r="AF57" s="5">
        <v>6.9</v>
      </c>
      <c r="AG57" s="5">
        <v>7.2</v>
      </c>
      <c r="AH57" s="5">
        <v>72.0</v>
      </c>
      <c r="AJ57" s="5" t="s">
        <v>2787</v>
      </c>
      <c r="AK57" s="5" t="s">
        <v>2787</v>
      </c>
      <c r="AL57" s="5">
        <v>566.6</v>
      </c>
      <c r="AM57" s="5">
        <v>520.5</v>
      </c>
      <c r="AN57" s="5" t="s">
        <v>2797</v>
      </c>
      <c r="AO57" s="5" t="s">
        <v>3003</v>
      </c>
      <c r="AP57" s="5" t="s">
        <v>3005</v>
      </c>
      <c r="AQ57" s="5" t="s">
        <v>3005</v>
      </c>
      <c r="AR57" s="5" t="s">
        <v>4160</v>
      </c>
      <c r="AS57" s="5" t="s">
        <v>3005</v>
      </c>
      <c r="AT57" s="5" t="s">
        <v>3005</v>
      </c>
      <c r="AU57" s="5" t="s">
        <v>3005</v>
      </c>
      <c r="AV57" s="5" t="s">
        <v>4161</v>
      </c>
      <c r="AW57" s="5" t="s">
        <v>4162</v>
      </c>
      <c r="AX57" s="5" t="s">
        <v>3005</v>
      </c>
      <c r="AY57" s="5" t="s">
        <v>4163</v>
      </c>
      <c r="AZ57" s="5" t="s">
        <v>2805</v>
      </c>
      <c r="BA57" s="5" t="s">
        <v>2899</v>
      </c>
      <c r="BB57" s="5" t="s">
        <v>3005</v>
      </c>
      <c r="BC57" s="5" t="s">
        <v>4164</v>
      </c>
      <c r="BD57" s="5" t="s">
        <v>2807</v>
      </c>
      <c r="BE57" s="5" t="s">
        <v>4165</v>
      </c>
      <c r="BF57" s="5" t="s">
        <v>3005</v>
      </c>
      <c r="BG57" s="5" t="s">
        <v>3005</v>
      </c>
      <c r="BH57" s="5" t="s">
        <v>4166</v>
      </c>
      <c r="BI57" s="5" t="s">
        <v>4167</v>
      </c>
      <c r="BJ57" s="33" t="s">
        <v>4168</v>
      </c>
      <c r="BK57" s="33" t="s">
        <v>4169</v>
      </c>
      <c r="BL57" s="33" t="s">
        <v>4170</v>
      </c>
      <c r="BM57" s="33" t="s">
        <v>4171</v>
      </c>
      <c r="BN57" s="33" t="s">
        <v>4172</v>
      </c>
      <c r="BO57" s="33" t="s">
        <v>4173</v>
      </c>
      <c r="BP57" s="33" t="s">
        <v>4174</v>
      </c>
      <c r="BQ57" s="5" t="s">
        <v>451</v>
      </c>
      <c r="BR57" s="33" t="s">
        <v>4175</v>
      </c>
      <c r="BS57" s="33" t="s">
        <v>4176</v>
      </c>
      <c r="BT57" s="33" t="s">
        <v>4177</v>
      </c>
      <c r="BU57" s="33" t="s">
        <v>4178</v>
      </c>
      <c r="BV57" s="33" t="s">
        <v>4179</v>
      </c>
      <c r="BW57" s="5" t="s">
        <v>4180</v>
      </c>
      <c r="BZ57" s="24" t="str">
        <f t="shared" ref="BZ57:CA57" si="57">IF(ISBLANK(BU57), BL57, BU57)</f>
        <v>https://drive.google.com/open?id=1vZMWoPVhd3i5ah1kSDH3rrVV_Hmuv4EP</v>
      </c>
      <c r="CA57" s="24" t="str">
        <f t="shared" si="57"/>
        <v>https://drive.google.com/open?id=1ko1ejfu0d4e2L1eFVmh5pi5MODGCBm4s</v>
      </c>
      <c r="CB57" s="5" t="s">
        <v>2821</v>
      </c>
      <c r="CC57" s="5" t="s">
        <v>2821</v>
      </c>
      <c r="CD57" s="34" t="s">
        <v>2787</v>
      </c>
      <c r="CG57" s="18"/>
    </row>
    <row r="58" ht="18.75" hidden="1" customHeight="1">
      <c r="A58" s="30">
        <v>44782.53232773148</v>
      </c>
      <c r="B58" s="5" t="s">
        <v>531</v>
      </c>
      <c r="C58" s="31" t="s">
        <v>4181</v>
      </c>
      <c r="E58" s="5" t="s">
        <v>4182</v>
      </c>
      <c r="F58" s="5" t="s">
        <v>4183</v>
      </c>
      <c r="G58" s="5" t="s">
        <v>4184</v>
      </c>
      <c r="H58" s="5" t="s">
        <v>2826</v>
      </c>
      <c r="I58" s="32">
        <v>36862.0</v>
      </c>
      <c r="J58" s="5">
        <v>2019.0</v>
      </c>
      <c r="K58" s="5" t="s">
        <v>2786</v>
      </c>
      <c r="L58" s="5" t="s">
        <v>2787</v>
      </c>
      <c r="N58" s="5" t="s">
        <v>4185</v>
      </c>
      <c r="O58" s="5" t="s">
        <v>531</v>
      </c>
      <c r="P58" s="33" t="s">
        <v>4186</v>
      </c>
      <c r="Q58" s="5">
        <v>9.370549792E9</v>
      </c>
      <c r="R58" s="5">
        <v>9.370549792E9</v>
      </c>
      <c r="S58" s="5">
        <v>9.767984127E9</v>
      </c>
      <c r="T58" s="5" t="s">
        <v>4183</v>
      </c>
      <c r="U58" s="5" t="s">
        <v>4187</v>
      </c>
      <c r="V58" s="5" t="s">
        <v>4188</v>
      </c>
      <c r="W58" s="5" t="s">
        <v>4189</v>
      </c>
      <c r="X58" s="5">
        <v>93.8</v>
      </c>
      <c r="Y58" s="5" t="s">
        <v>2795</v>
      </c>
      <c r="Z58" s="5">
        <v>8.89</v>
      </c>
      <c r="AA58" s="5">
        <v>8.62</v>
      </c>
      <c r="AB58" s="5">
        <v>8.0</v>
      </c>
      <c r="AC58" s="5">
        <v>7.62</v>
      </c>
      <c r="AD58" s="5" t="s">
        <v>2796</v>
      </c>
      <c r="AE58" s="5" t="s">
        <v>2796</v>
      </c>
      <c r="AF58" s="5">
        <v>7.79</v>
      </c>
      <c r="AG58" s="5">
        <v>9.14</v>
      </c>
      <c r="AH58" s="5">
        <v>82.62</v>
      </c>
      <c r="AJ58" s="5" t="s">
        <v>2787</v>
      </c>
      <c r="AK58" s="5" t="s">
        <v>2787</v>
      </c>
      <c r="AL58" s="5">
        <v>725.0</v>
      </c>
      <c r="AM58" s="5">
        <v>655.0</v>
      </c>
      <c r="AN58" s="5" t="s">
        <v>2787</v>
      </c>
      <c r="AO58" s="5" t="s">
        <v>2796</v>
      </c>
      <c r="AP58" s="5" t="s">
        <v>4190</v>
      </c>
      <c r="AQ58" s="5" t="s">
        <v>4191</v>
      </c>
      <c r="AR58" s="5" t="s">
        <v>2870</v>
      </c>
      <c r="AU58" s="5" t="s">
        <v>4192</v>
      </c>
      <c r="AV58" s="5" t="s">
        <v>4193</v>
      </c>
      <c r="AW58" s="5" t="s">
        <v>4194</v>
      </c>
      <c r="AY58" s="5" t="s">
        <v>4195</v>
      </c>
      <c r="AZ58" s="5" t="s">
        <v>3179</v>
      </c>
      <c r="BA58" s="5" t="s">
        <v>2870</v>
      </c>
      <c r="BB58" s="5" t="s">
        <v>2807</v>
      </c>
      <c r="BC58" s="5" t="s">
        <v>3012</v>
      </c>
      <c r="BD58" s="5" t="s">
        <v>2807</v>
      </c>
      <c r="BE58" s="5" t="s">
        <v>2796</v>
      </c>
      <c r="BJ58" s="33" t="s">
        <v>4196</v>
      </c>
      <c r="BK58" s="33" t="s">
        <v>4197</v>
      </c>
      <c r="BM58" s="33" t="s">
        <v>4198</v>
      </c>
      <c r="BN58" s="33" t="s">
        <v>4199</v>
      </c>
      <c r="BO58" s="33" t="s">
        <v>4200</v>
      </c>
      <c r="BP58" s="33" t="s">
        <v>4201</v>
      </c>
      <c r="BQ58" s="5" t="s">
        <v>451</v>
      </c>
      <c r="BT58" s="33" t="s">
        <v>4202</v>
      </c>
      <c r="BW58" s="5" t="s">
        <v>2796</v>
      </c>
      <c r="BZ58" s="18" t="str">
        <f t="shared" ref="BZ58:CA58" si="58">IF(ISBLANK(BU58), BL58, BU58)</f>
        <v/>
      </c>
      <c r="CA58" s="24" t="str">
        <f t="shared" si="58"/>
        <v>https://drive.google.com/open?id=177VAik1HHj4CQ-zjYFWVqO17ZSNAIYD3</v>
      </c>
      <c r="CB58" s="5" t="s">
        <v>2908</v>
      </c>
      <c r="CC58" s="5" t="s">
        <v>2821</v>
      </c>
      <c r="CD58" s="34" t="s">
        <v>2797</v>
      </c>
      <c r="CG58" s="18"/>
    </row>
    <row r="59" ht="18.75" hidden="1" customHeight="1">
      <c r="A59" s="14">
        <v>44741.67526340278</v>
      </c>
      <c r="B59" s="15" t="s">
        <v>1110</v>
      </c>
      <c r="C59" s="16" t="s">
        <v>4203</v>
      </c>
      <c r="D59" s="15" t="str">
        <f>IFERROR(__xludf.DUMMYFUNCTION("QUERY(TY_ALL_2023_Batch!$A$1:$E$824, ""SELECT E WHERE C='""&amp;B59&amp;""'"", 0)"),"CIVIL")</f>
        <v>CIVIL</v>
      </c>
      <c r="E59" s="15" t="s">
        <v>4204</v>
      </c>
      <c r="F59" s="15" t="s">
        <v>3247</v>
      </c>
      <c r="G59" s="15" t="s">
        <v>4205</v>
      </c>
      <c r="H59" s="15" t="s">
        <v>2785</v>
      </c>
      <c r="I59" s="17">
        <v>37065.0</v>
      </c>
      <c r="J59" s="15">
        <v>2020.0</v>
      </c>
      <c r="K59" s="15" t="s">
        <v>2941</v>
      </c>
      <c r="L59" s="15" t="s">
        <v>2787</v>
      </c>
      <c r="M59" s="18"/>
      <c r="N59" s="15" t="s">
        <v>4206</v>
      </c>
      <c r="O59" s="15" t="s">
        <v>1110</v>
      </c>
      <c r="P59" s="19" t="s">
        <v>4207</v>
      </c>
      <c r="Q59" s="15">
        <v>9.834858288E9</v>
      </c>
      <c r="R59" s="15">
        <v>9.834858288E9</v>
      </c>
      <c r="S59" s="15">
        <v>7.21878282E9</v>
      </c>
      <c r="T59" s="15" t="s">
        <v>4208</v>
      </c>
      <c r="U59" s="15" t="s">
        <v>4209</v>
      </c>
      <c r="V59" s="15" t="s">
        <v>4210</v>
      </c>
      <c r="W59" s="15" t="s">
        <v>4211</v>
      </c>
      <c r="X59" s="15">
        <v>83.8</v>
      </c>
      <c r="Y59" s="15" t="s">
        <v>2948</v>
      </c>
      <c r="Z59" s="15">
        <v>7.85</v>
      </c>
      <c r="AA59" s="15">
        <v>7.71</v>
      </c>
      <c r="AB59" s="15" t="s">
        <v>2796</v>
      </c>
      <c r="AC59" s="15" t="s">
        <v>2796</v>
      </c>
      <c r="AD59" s="15" t="s">
        <v>2796</v>
      </c>
      <c r="AE59" s="15" t="s">
        <v>2796</v>
      </c>
      <c r="AF59" s="18"/>
      <c r="AG59" s="18"/>
      <c r="AH59" s="18"/>
      <c r="AI59" s="15">
        <v>92.47</v>
      </c>
      <c r="AJ59" s="15" t="s">
        <v>2787</v>
      </c>
      <c r="AK59" s="15" t="s">
        <v>2787</v>
      </c>
      <c r="AL59" s="18"/>
      <c r="AM59" s="18"/>
      <c r="AN59" s="15" t="s">
        <v>2797</v>
      </c>
      <c r="AO59" s="15" t="s">
        <v>2796</v>
      </c>
      <c r="AP59" s="15" t="s">
        <v>2796</v>
      </c>
      <c r="AQ59" s="15" t="s">
        <v>4212</v>
      </c>
      <c r="AR59" s="18"/>
      <c r="AS59" s="18"/>
      <c r="AT59" s="18"/>
      <c r="AU59" s="18"/>
      <c r="AV59" s="15" t="s">
        <v>4213</v>
      </c>
      <c r="AW59" s="15" t="s">
        <v>4214</v>
      </c>
      <c r="AX59" s="18"/>
      <c r="AY59" s="15" t="s">
        <v>4215</v>
      </c>
      <c r="AZ59" s="15" t="s">
        <v>4216</v>
      </c>
      <c r="BA59" s="15" t="s">
        <v>2870</v>
      </c>
      <c r="BB59" s="15" t="s">
        <v>2807</v>
      </c>
      <c r="BC59" s="15" t="s">
        <v>4217</v>
      </c>
      <c r="BD59" s="15" t="s">
        <v>2842</v>
      </c>
      <c r="BE59" s="15" t="s">
        <v>4218</v>
      </c>
      <c r="BF59" s="18"/>
      <c r="BG59" s="18"/>
      <c r="BH59" s="18"/>
      <c r="BI59" s="18"/>
      <c r="BJ59" s="19" t="s">
        <v>4219</v>
      </c>
      <c r="BK59" s="19" t="s">
        <v>4220</v>
      </c>
      <c r="BL59" s="19" t="s">
        <v>4221</v>
      </c>
      <c r="BM59" s="19" t="s">
        <v>4222</v>
      </c>
      <c r="BN59" s="19" t="s">
        <v>4223</v>
      </c>
      <c r="BO59" s="19" t="s">
        <v>4224</v>
      </c>
      <c r="BP59" s="19" t="s">
        <v>4225</v>
      </c>
      <c r="BQ59" s="15" t="s">
        <v>228</v>
      </c>
      <c r="BR59" s="26"/>
      <c r="BS59" s="26"/>
      <c r="BT59" s="26"/>
      <c r="BU59" s="26"/>
      <c r="BV59" s="26"/>
      <c r="BW59" s="15" t="s">
        <v>4226</v>
      </c>
      <c r="BX59" s="26"/>
      <c r="BY59" s="18" t="str">
        <f t="shared" ref="BY59:BY96" si="60">IF(NOT(ISBLANK(BQ59)), BQ59, D59)</f>
        <v>CIVIL</v>
      </c>
      <c r="BZ59" s="24" t="str">
        <f t="shared" ref="BZ59:CA59" si="59">IF(ISBLANK(BU59), BL59, BU59)</f>
        <v>https://drive.google.com/open?id=1zhm6OWKg2JZC2cFKcL6UpEbqpTdcUkMd</v>
      </c>
      <c r="CA59" s="24" t="str">
        <f t="shared" si="59"/>
        <v>https://drive.google.com/open?id=1Ef5I96eQ1wZhNFP-TNSznq-wDlR5fe_Y</v>
      </c>
      <c r="CB59" s="15" t="s">
        <v>3599</v>
      </c>
      <c r="CC59" s="15" t="s">
        <v>2821</v>
      </c>
      <c r="CD59" s="25" t="s">
        <v>2787</v>
      </c>
      <c r="CE59" s="18"/>
      <c r="CF59" s="18"/>
      <c r="CG59" s="18"/>
    </row>
    <row r="60" ht="18.75" hidden="1" customHeight="1">
      <c r="A60" s="14">
        <v>44736.5130081713</v>
      </c>
      <c r="B60" s="15" t="s">
        <v>1140</v>
      </c>
      <c r="C60" s="16" t="s">
        <v>4227</v>
      </c>
      <c r="D60" s="15" t="str">
        <f>IFERROR(__xludf.DUMMYFUNCTION("QUERY(TY_ALL_2023_Batch!$A$1:$E$824, ""SELECT E WHERE C='""&amp;B60&amp;""'"", 0)"),"CIVIL")</f>
        <v>CIVIL</v>
      </c>
      <c r="E60" s="15" t="s">
        <v>3977</v>
      </c>
      <c r="F60" s="15" t="s">
        <v>4228</v>
      </c>
      <c r="G60" s="15" t="s">
        <v>4229</v>
      </c>
      <c r="H60" s="15" t="s">
        <v>2785</v>
      </c>
      <c r="I60" s="17">
        <v>37073.0</v>
      </c>
      <c r="J60" s="15">
        <v>2020.0</v>
      </c>
      <c r="K60" s="15" t="s">
        <v>2941</v>
      </c>
      <c r="L60" s="15" t="s">
        <v>2787</v>
      </c>
      <c r="M60" s="18"/>
      <c r="N60" s="15" t="s">
        <v>4230</v>
      </c>
      <c r="O60" s="15" t="s">
        <v>1140</v>
      </c>
      <c r="P60" s="19" t="s">
        <v>4231</v>
      </c>
      <c r="Q60" s="15">
        <v>9.067746065E9</v>
      </c>
      <c r="R60" s="15">
        <v>9.067746065E9</v>
      </c>
      <c r="S60" s="15">
        <v>7.028084601E9</v>
      </c>
      <c r="T60" s="15" t="s">
        <v>4232</v>
      </c>
      <c r="U60" s="15" t="s">
        <v>4233</v>
      </c>
      <c r="V60" s="15" t="s">
        <v>4234</v>
      </c>
      <c r="W60" s="15" t="s">
        <v>4235</v>
      </c>
      <c r="X60" s="15">
        <v>87.0</v>
      </c>
      <c r="Y60" s="15" t="s">
        <v>2948</v>
      </c>
      <c r="Z60" s="15">
        <v>8.48</v>
      </c>
      <c r="AA60" s="15">
        <v>8.43</v>
      </c>
      <c r="AB60" s="15" t="s">
        <v>2796</v>
      </c>
      <c r="AC60" s="15" t="s">
        <v>2796</v>
      </c>
      <c r="AD60" s="15" t="s">
        <v>2796</v>
      </c>
      <c r="AE60" s="15" t="s">
        <v>2796</v>
      </c>
      <c r="AF60" s="18"/>
      <c r="AG60" s="18"/>
      <c r="AH60" s="18"/>
      <c r="AI60" s="15">
        <v>91.58</v>
      </c>
      <c r="AJ60" s="15" t="s">
        <v>2787</v>
      </c>
      <c r="AK60" s="15" t="s">
        <v>2787</v>
      </c>
      <c r="AL60" s="18"/>
      <c r="AM60" s="18"/>
      <c r="AN60" s="15" t="s">
        <v>2797</v>
      </c>
      <c r="AO60" s="15" t="s">
        <v>2797</v>
      </c>
      <c r="AP60" s="15" t="s">
        <v>2797</v>
      </c>
      <c r="AQ60" s="15" t="s">
        <v>4236</v>
      </c>
      <c r="AR60" s="15" t="s">
        <v>2797</v>
      </c>
      <c r="AS60" s="15" t="s">
        <v>2797</v>
      </c>
      <c r="AT60" s="15" t="s">
        <v>2797</v>
      </c>
      <c r="AU60" s="15" t="s">
        <v>2796</v>
      </c>
      <c r="AV60" s="15" t="s">
        <v>4237</v>
      </c>
      <c r="AW60" s="15" t="s">
        <v>4238</v>
      </c>
      <c r="AX60" s="15" t="s">
        <v>4239</v>
      </c>
      <c r="AY60" s="15" t="s">
        <v>4240</v>
      </c>
      <c r="AZ60" s="15" t="s">
        <v>4044</v>
      </c>
      <c r="BA60" s="15" t="s">
        <v>2870</v>
      </c>
      <c r="BB60" s="15" t="s">
        <v>2807</v>
      </c>
      <c r="BC60" s="15" t="s">
        <v>4241</v>
      </c>
      <c r="BD60" s="15" t="s">
        <v>2807</v>
      </c>
      <c r="BE60" s="15" t="s">
        <v>2796</v>
      </c>
      <c r="BF60" s="15" t="s">
        <v>4242</v>
      </c>
      <c r="BG60" s="18"/>
      <c r="BH60" s="15" t="s">
        <v>4243</v>
      </c>
      <c r="BI60" s="15" t="s">
        <v>4244</v>
      </c>
      <c r="BJ60" s="19" t="s">
        <v>4245</v>
      </c>
      <c r="BK60" s="19" t="s">
        <v>4246</v>
      </c>
      <c r="BL60" s="19" t="s">
        <v>4247</v>
      </c>
      <c r="BM60" s="19" t="s">
        <v>4248</v>
      </c>
      <c r="BN60" s="19" t="s">
        <v>4249</v>
      </c>
      <c r="BO60" s="19" t="s">
        <v>4250</v>
      </c>
      <c r="BP60" s="19" t="s">
        <v>4251</v>
      </c>
      <c r="BQ60" s="15" t="s">
        <v>228</v>
      </c>
      <c r="BR60" s="26"/>
      <c r="BS60" s="26"/>
      <c r="BT60" s="26"/>
      <c r="BU60" s="26"/>
      <c r="BV60" s="26"/>
      <c r="BW60" s="26"/>
      <c r="BX60" s="26"/>
      <c r="BY60" s="18" t="str">
        <f t="shared" si="60"/>
        <v>CIVIL</v>
      </c>
      <c r="BZ60" s="24" t="str">
        <f t="shared" ref="BZ60:CA60" si="61">IF(ISBLANK(BU60), BL60, BU60)</f>
        <v>https://drive.google.com/open?id=1CJzDE8hCsn8de-qwf9X3mgaIAwNr4PR1</v>
      </c>
      <c r="CA60" s="24" t="str">
        <f t="shared" si="61"/>
        <v>https://drive.google.com/open?id=19H5yE9lYgj26CNIWFgCU1Omc9Yi8sjSM</v>
      </c>
      <c r="CB60" s="15" t="s">
        <v>2908</v>
      </c>
      <c r="CC60" s="15" t="s">
        <v>2821</v>
      </c>
      <c r="CD60" s="25" t="s">
        <v>2787</v>
      </c>
      <c r="CE60" s="18"/>
      <c r="CF60" s="18"/>
      <c r="CG60" s="18"/>
    </row>
    <row r="61" ht="18.75" hidden="1" customHeight="1">
      <c r="A61" s="14">
        <v>44736.051218368055</v>
      </c>
      <c r="B61" s="15" t="s">
        <v>1098</v>
      </c>
      <c r="C61" s="16" t="s">
        <v>4252</v>
      </c>
      <c r="D61" s="15" t="str">
        <f>IFERROR(__xludf.DUMMYFUNCTION("QUERY(TY_ALL_2023_Batch!$A$1:$E$824, ""SELECT E WHERE C='""&amp;B61&amp;""'"", 0)"),"CIVIL")</f>
        <v>CIVIL</v>
      </c>
      <c r="E61" s="15" t="s">
        <v>4253</v>
      </c>
      <c r="F61" s="15" t="s">
        <v>4254</v>
      </c>
      <c r="G61" s="15" t="s">
        <v>4255</v>
      </c>
      <c r="H61" s="15" t="s">
        <v>2785</v>
      </c>
      <c r="I61" s="17">
        <v>37199.0</v>
      </c>
      <c r="J61" s="15">
        <v>2020.0</v>
      </c>
      <c r="K61" s="15" t="s">
        <v>2941</v>
      </c>
      <c r="L61" s="15" t="s">
        <v>2787</v>
      </c>
      <c r="M61" s="18"/>
      <c r="N61" s="15" t="s">
        <v>4256</v>
      </c>
      <c r="O61" s="15" t="s">
        <v>4257</v>
      </c>
      <c r="P61" s="19" t="s">
        <v>4258</v>
      </c>
      <c r="Q61" s="15">
        <v>7.796092945E9</v>
      </c>
      <c r="R61" s="15">
        <v>7.796092945E9</v>
      </c>
      <c r="S61" s="15"/>
      <c r="T61" s="15" t="s">
        <v>4254</v>
      </c>
      <c r="U61" s="15" t="s">
        <v>4259</v>
      </c>
      <c r="V61" s="15" t="s">
        <v>4260</v>
      </c>
      <c r="W61" s="15" t="s">
        <v>4261</v>
      </c>
      <c r="X61" s="15">
        <v>86.6</v>
      </c>
      <c r="Y61" s="15" t="s">
        <v>2948</v>
      </c>
      <c r="Z61" s="15">
        <v>7.62</v>
      </c>
      <c r="AA61" s="15">
        <v>8.24</v>
      </c>
      <c r="AB61" s="15" t="s">
        <v>2796</v>
      </c>
      <c r="AC61" s="15" t="s">
        <v>2796</v>
      </c>
      <c r="AD61" s="15" t="s">
        <v>2796</v>
      </c>
      <c r="AE61" s="15" t="s">
        <v>2796</v>
      </c>
      <c r="AF61" s="18"/>
      <c r="AG61" s="18"/>
      <c r="AH61" s="18"/>
      <c r="AI61" s="15">
        <v>93.68</v>
      </c>
      <c r="AJ61" s="15" t="s">
        <v>2787</v>
      </c>
      <c r="AK61" s="15" t="s">
        <v>2787</v>
      </c>
      <c r="AL61" s="15">
        <v>653.33</v>
      </c>
      <c r="AM61" s="15">
        <v>653.33</v>
      </c>
      <c r="AN61" s="15" t="s">
        <v>2797</v>
      </c>
      <c r="AO61" s="15" t="s">
        <v>2797</v>
      </c>
      <c r="AP61" s="15" t="s">
        <v>2797</v>
      </c>
      <c r="AQ61" s="15" t="s">
        <v>4262</v>
      </c>
      <c r="AR61" s="18"/>
      <c r="AS61" s="15"/>
      <c r="AT61" s="18"/>
      <c r="AU61" s="18"/>
      <c r="AV61" s="15" t="s">
        <v>4263</v>
      </c>
      <c r="AW61" s="15" t="s">
        <v>4264</v>
      </c>
      <c r="AX61" s="18"/>
      <c r="AY61" s="15" t="s">
        <v>4265</v>
      </c>
      <c r="AZ61" s="15" t="s">
        <v>4216</v>
      </c>
      <c r="BA61" s="15" t="s">
        <v>2870</v>
      </c>
      <c r="BB61" s="15" t="s">
        <v>2807</v>
      </c>
      <c r="BC61" s="15" t="s">
        <v>4266</v>
      </c>
      <c r="BD61" s="15" t="s">
        <v>2807</v>
      </c>
      <c r="BE61" s="15" t="s">
        <v>4267</v>
      </c>
      <c r="BF61" s="18"/>
      <c r="BG61" s="18"/>
      <c r="BH61" s="18"/>
      <c r="BI61" s="15" t="s">
        <v>4267</v>
      </c>
      <c r="BJ61" s="19" t="s">
        <v>4268</v>
      </c>
      <c r="BK61" s="19" t="s">
        <v>4269</v>
      </c>
      <c r="BL61" s="19" t="s">
        <v>4270</v>
      </c>
      <c r="BM61" s="19" t="s">
        <v>4271</v>
      </c>
      <c r="BN61" s="19" t="s">
        <v>4272</v>
      </c>
      <c r="BO61" s="19" t="s">
        <v>4273</v>
      </c>
      <c r="BP61" s="19" t="s">
        <v>4274</v>
      </c>
      <c r="BQ61" s="15" t="s">
        <v>228</v>
      </c>
      <c r="BR61" s="26"/>
      <c r="BS61" s="26"/>
      <c r="BT61" s="26"/>
      <c r="BU61" s="26"/>
      <c r="BV61" s="26"/>
      <c r="BW61" s="26"/>
      <c r="BX61" s="26"/>
      <c r="BY61" s="18" t="str">
        <f t="shared" si="60"/>
        <v>CIVIL</v>
      </c>
      <c r="BZ61" s="24" t="str">
        <f t="shared" ref="BZ61:CA61" si="62">IF(ISBLANK(BU61), BL61, BU61)</f>
        <v>https://drive.google.com/open?id=1WaVqkQpki_wjAZflOLMpZ9fUY2olqYri</v>
      </c>
      <c r="CA61" s="24" t="str">
        <f t="shared" si="62"/>
        <v>https://drive.google.com/open?id=1MyPNBd-_4d95QZ7rCBiCPG8T7XAy5SQV</v>
      </c>
      <c r="CB61" s="15" t="s">
        <v>2821</v>
      </c>
      <c r="CC61" s="15" t="s">
        <v>2908</v>
      </c>
      <c r="CD61" s="25" t="s">
        <v>2909</v>
      </c>
      <c r="CE61" s="18"/>
      <c r="CF61" s="18"/>
      <c r="CG61" s="18"/>
    </row>
    <row r="62" ht="18.75" hidden="1" customHeight="1">
      <c r="A62" s="14">
        <v>44741.579620185184</v>
      </c>
      <c r="B62" s="15" t="s">
        <v>1167</v>
      </c>
      <c r="C62" s="16" t="s">
        <v>4275</v>
      </c>
      <c r="D62" s="15" t="str">
        <f>IFERROR(__xludf.DUMMYFUNCTION("QUERY(TY_ALL_2023_Batch!$A$1:$E$824, ""SELECT E WHERE C='""&amp;B62&amp;""'"", 0)"),"CIVIL")</f>
        <v>CIVIL</v>
      </c>
      <c r="E62" s="15" t="s">
        <v>4276</v>
      </c>
      <c r="F62" s="15" t="s">
        <v>4277</v>
      </c>
      <c r="G62" s="15" t="s">
        <v>4278</v>
      </c>
      <c r="H62" s="15" t="s">
        <v>2785</v>
      </c>
      <c r="I62" s="17">
        <v>37222.0</v>
      </c>
      <c r="J62" s="15">
        <v>2020.0</v>
      </c>
      <c r="K62" s="15" t="s">
        <v>2941</v>
      </c>
      <c r="L62" s="15" t="s">
        <v>2787</v>
      </c>
      <c r="M62" s="18"/>
      <c r="N62" s="15" t="s">
        <v>4279</v>
      </c>
      <c r="O62" s="15" t="s">
        <v>1167</v>
      </c>
      <c r="P62" s="19" t="s">
        <v>4280</v>
      </c>
      <c r="Q62" s="15">
        <v>9.518915039E9</v>
      </c>
      <c r="R62" s="15">
        <v>9.518915039E9</v>
      </c>
      <c r="S62" s="15">
        <v>7.773983834E9</v>
      </c>
      <c r="T62" s="15" t="s">
        <v>4281</v>
      </c>
      <c r="U62" s="15" t="s">
        <v>4282</v>
      </c>
      <c r="V62" s="15" t="s">
        <v>4283</v>
      </c>
      <c r="W62" s="15" t="s">
        <v>4284</v>
      </c>
      <c r="X62" s="15">
        <v>87.6</v>
      </c>
      <c r="Y62" s="15" t="s">
        <v>2948</v>
      </c>
      <c r="Z62" s="15">
        <v>8.9</v>
      </c>
      <c r="AA62" s="15">
        <v>9.05</v>
      </c>
      <c r="AB62" s="15" t="s">
        <v>2796</v>
      </c>
      <c r="AC62" s="15" t="s">
        <v>2796</v>
      </c>
      <c r="AD62" s="15" t="s">
        <v>2796</v>
      </c>
      <c r="AE62" s="15" t="s">
        <v>2796</v>
      </c>
      <c r="AF62" s="18"/>
      <c r="AG62" s="18"/>
      <c r="AH62" s="18"/>
      <c r="AI62" s="15">
        <v>95.74</v>
      </c>
      <c r="AJ62" s="15" t="s">
        <v>2787</v>
      </c>
      <c r="AK62" s="15" t="s">
        <v>2787</v>
      </c>
      <c r="AL62" s="35">
        <v>0.6</v>
      </c>
      <c r="AM62" s="15">
        <v>82.0</v>
      </c>
      <c r="AN62" s="15" t="s">
        <v>2797</v>
      </c>
      <c r="AO62" s="18"/>
      <c r="AP62" s="18"/>
      <c r="AQ62" s="15" t="s">
        <v>2870</v>
      </c>
      <c r="AR62" s="15" t="s">
        <v>4285</v>
      </c>
      <c r="AS62" s="18"/>
      <c r="AT62" s="18"/>
      <c r="AU62" s="18"/>
      <c r="AV62" s="15" t="s">
        <v>4285</v>
      </c>
      <c r="AW62" s="15" t="s">
        <v>4286</v>
      </c>
      <c r="AX62" s="18"/>
      <c r="AY62" s="15" t="s">
        <v>4287</v>
      </c>
      <c r="AZ62" s="15" t="s">
        <v>4216</v>
      </c>
      <c r="BA62" s="15" t="s">
        <v>2870</v>
      </c>
      <c r="BB62" s="15" t="s">
        <v>2807</v>
      </c>
      <c r="BC62" s="15" t="s">
        <v>3686</v>
      </c>
      <c r="BD62" s="15" t="s">
        <v>4288</v>
      </c>
      <c r="BE62" s="15" t="s">
        <v>4289</v>
      </c>
      <c r="BF62" s="18"/>
      <c r="BG62" s="18"/>
      <c r="BH62" s="18"/>
      <c r="BI62" s="18"/>
      <c r="BJ62" s="19" t="s">
        <v>4290</v>
      </c>
      <c r="BK62" s="19" t="s">
        <v>4291</v>
      </c>
      <c r="BL62" s="19" t="s">
        <v>4292</v>
      </c>
      <c r="BM62" s="19" t="s">
        <v>4293</v>
      </c>
      <c r="BN62" s="28" t="s">
        <v>2931</v>
      </c>
      <c r="BO62" s="19" t="s">
        <v>4294</v>
      </c>
      <c r="BP62" s="19" t="s">
        <v>4295</v>
      </c>
      <c r="BQ62" s="15" t="s">
        <v>228</v>
      </c>
      <c r="BR62" s="18"/>
      <c r="BS62" s="18"/>
      <c r="BT62" s="18"/>
      <c r="BU62" s="18"/>
      <c r="BV62" s="18"/>
      <c r="BW62" s="15" t="s">
        <v>4296</v>
      </c>
      <c r="BX62" s="18"/>
      <c r="BY62" s="18" t="str">
        <f t="shared" si="60"/>
        <v>CIVIL</v>
      </c>
      <c r="BZ62" s="24" t="str">
        <f t="shared" ref="BZ62:CA62" si="63">IF(ISBLANK(BU62), BL62, BU62)</f>
        <v>https://drive.google.com/open?id=18RGAk-VN_x8L5Tkixh4LdJac6JuqsaxQ</v>
      </c>
      <c r="CA62" s="24" t="str">
        <f t="shared" si="63"/>
        <v>https://drive.google.com/open?id=1qcFPgTazC_9OpRcEWDCJEAP30feaj-UB</v>
      </c>
      <c r="CB62" s="15" t="s">
        <v>2821</v>
      </c>
      <c r="CC62" s="15" t="s">
        <v>2821</v>
      </c>
      <c r="CD62" s="25" t="s">
        <v>2797</v>
      </c>
      <c r="CE62" s="18"/>
      <c r="CF62" s="18"/>
      <c r="CG62" s="18"/>
    </row>
    <row r="63" ht="18.75" hidden="1" customHeight="1">
      <c r="A63" s="14">
        <v>44742.514570150466</v>
      </c>
      <c r="B63" s="15" t="s">
        <v>1152</v>
      </c>
      <c r="C63" s="16" t="s">
        <v>4297</v>
      </c>
      <c r="D63" s="15" t="str">
        <f>IFERROR(__xludf.DUMMYFUNCTION("QUERY(TY_ALL_2023_Batch!$A$1:$E$824, ""SELECT E WHERE C='""&amp;B63&amp;""'"", 0)"),"CIVIL")</f>
        <v>CIVIL</v>
      </c>
      <c r="E63" s="15" t="s">
        <v>4298</v>
      </c>
      <c r="F63" s="15" t="s">
        <v>4299</v>
      </c>
      <c r="G63" s="15" t="s">
        <v>2973</v>
      </c>
      <c r="H63" s="15" t="s">
        <v>2785</v>
      </c>
      <c r="I63" s="17">
        <v>37093.0</v>
      </c>
      <c r="J63" s="15">
        <v>2020.0</v>
      </c>
      <c r="K63" s="15" t="s">
        <v>2941</v>
      </c>
      <c r="L63" s="15" t="s">
        <v>2787</v>
      </c>
      <c r="M63" s="18"/>
      <c r="N63" s="15" t="s">
        <v>4300</v>
      </c>
      <c r="O63" s="15" t="s">
        <v>4301</v>
      </c>
      <c r="P63" s="19" t="s">
        <v>4302</v>
      </c>
      <c r="Q63" s="15">
        <v>8.600864581E9</v>
      </c>
      <c r="R63" s="15">
        <v>8.600864581E9</v>
      </c>
      <c r="S63" s="15">
        <v>9.85026855E9</v>
      </c>
      <c r="T63" s="15" t="s">
        <v>4299</v>
      </c>
      <c r="U63" s="15" t="s">
        <v>4303</v>
      </c>
      <c r="V63" s="15" t="s">
        <v>4304</v>
      </c>
      <c r="W63" s="15" t="s">
        <v>4304</v>
      </c>
      <c r="X63" s="15">
        <v>90.4</v>
      </c>
      <c r="Y63" s="15" t="s">
        <v>2948</v>
      </c>
      <c r="Z63" s="15">
        <v>8.1</v>
      </c>
      <c r="AA63" s="15">
        <v>8.03</v>
      </c>
      <c r="AB63" s="15" t="s">
        <v>2796</v>
      </c>
      <c r="AC63" s="15" t="s">
        <v>2796</v>
      </c>
      <c r="AD63" s="15" t="s">
        <v>2796</v>
      </c>
      <c r="AE63" s="15" t="s">
        <v>2796</v>
      </c>
      <c r="AF63" s="18"/>
      <c r="AG63" s="18"/>
      <c r="AH63" s="18"/>
      <c r="AI63" s="15">
        <v>92.32</v>
      </c>
      <c r="AJ63" s="15" t="s">
        <v>2787</v>
      </c>
      <c r="AK63" s="15" t="s">
        <v>2787</v>
      </c>
      <c r="AL63" s="18"/>
      <c r="AM63" s="18"/>
      <c r="AN63" s="15" t="s">
        <v>2797</v>
      </c>
      <c r="AO63" s="18"/>
      <c r="AP63" s="18"/>
      <c r="AQ63" s="15" t="s">
        <v>3587</v>
      </c>
      <c r="AR63" s="18"/>
      <c r="AS63" s="15" t="s">
        <v>4305</v>
      </c>
      <c r="AT63" s="18"/>
      <c r="AU63" s="18"/>
      <c r="AV63" s="15" t="s">
        <v>4285</v>
      </c>
      <c r="AW63" s="15" t="s">
        <v>4306</v>
      </c>
      <c r="AX63" s="18"/>
      <c r="AY63" s="15" t="s">
        <v>4307</v>
      </c>
      <c r="AZ63" s="15" t="s">
        <v>4216</v>
      </c>
      <c r="BA63" s="15" t="s">
        <v>2870</v>
      </c>
      <c r="BB63" s="15" t="s">
        <v>2807</v>
      </c>
      <c r="BC63" s="15" t="s">
        <v>4308</v>
      </c>
      <c r="BD63" s="15" t="s">
        <v>2807</v>
      </c>
      <c r="BE63" s="15" t="s">
        <v>3063</v>
      </c>
      <c r="BF63" s="18"/>
      <c r="BG63" s="18"/>
      <c r="BH63" s="18"/>
      <c r="BI63" s="15" t="s">
        <v>4309</v>
      </c>
      <c r="BJ63" s="19" t="s">
        <v>4310</v>
      </c>
      <c r="BK63" s="19" t="s">
        <v>4311</v>
      </c>
      <c r="BL63" s="18"/>
      <c r="BM63" s="19" t="s">
        <v>4312</v>
      </c>
      <c r="BN63" s="18"/>
      <c r="BO63" s="19" t="s">
        <v>4313</v>
      </c>
      <c r="BP63" s="19" t="s">
        <v>4314</v>
      </c>
      <c r="BQ63" s="15" t="s">
        <v>228</v>
      </c>
      <c r="BR63" s="26"/>
      <c r="BS63" s="26"/>
      <c r="BT63" s="26"/>
      <c r="BU63" s="26"/>
      <c r="BV63" s="26"/>
      <c r="BW63" s="15" t="s">
        <v>2796</v>
      </c>
      <c r="BX63" s="26"/>
      <c r="BY63" s="18" t="str">
        <f t="shared" si="60"/>
        <v>CIVIL</v>
      </c>
      <c r="BZ63" s="18" t="str">
        <f t="shared" ref="BZ63:CA63" si="64">IF(ISBLANK(BU63), BL63, BU63)</f>
        <v/>
      </c>
      <c r="CA63" s="24" t="str">
        <f t="shared" si="64"/>
        <v>https://drive.google.com/open?id=1Yheoy-7OSpIqfH6ew2hqb_Q7y5Skn9-G</v>
      </c>
      <c r="CB63" s="15" t="s">
        <v>2908</v>
      </c>
      <c r="CC63" s="15" t="s">
        <v>2821</v>
      </c>
      <c r="CD63" s="25" t="s">
        <v>2797</v>
      </c>
      <c r="CE63" s="18"/>
      <c r="CF63" s="18"/>
      <c r="CG63" s="18"/>
    </row>
    <row r="64" ht="18.75" hidden="1" customHeight="1">
      <c r="A64" s="14">
        <v>44742.94528126158</v>
      </c>
      <c r="B64" s="15" t="s">
        <v>263</v>
      </c>
      <c r="C64" s="16" t="s">
        <v>4315</v>
      </c>
      <c r="D64" s="15" t="str">
        <f>IFERROR(__xludf.DUMMYFUNCTION("QUERY(TY_ALL_2023_Batch!$A$1:$E$824, ""SELECT E WHERE C='""&amp;B64&amp;""'"", 0)"),"CIVIL")</f>
        <v>CIVIL</v>
      </c>
      <c r="E64" s="15" t="s">
        <v>4316</v>
      </c>
      <c r="F64" s="15" t="s">
        <v>4317</v>
      </c>
      <c r="G64" s="15" t="s">
        <v>4318</v>
      </c>
      <c r="H64" s="15" t="s">
        <v>2826</v>
      </c>
      <c r="I64" s="17">
        <v>37317.0</v>
      </c>
      <c r="J64" s="15">
        <v>2019.0</v>
      </c>
      <c r="K64" s="15" t="s">
        <v>2786</v>
      </c>
      <c r="L64" s="15" t="s">
        <v>2787</v>
      </c>
      <c r="M64" s="18"/>
      <c r="N64" s="15" t="s">
        <v>4319</v>
      </c>
      <c r="O64" s="15" t="s">
        <v>4320</v>
      </c>
      <c r="P64" s="19" t="s">
        <v>4321</v>
      </c>
      <c r="Q64" s="15">
        <v>8.080330541E9</v>
      </c>
      <c r="R64" s="15">
        <v>9.552581821E9</v>
      </c>
      <c r="S64" s="15">
        <v>7.667058314E9</v>
      </c>
      <c r="T64" s="15" t="s">
        <v>4322</v>
      </c>
      <c r="U64" s="15" t="s">
        <v>4323</v>
      </c>
      <c r="V64" s="15" t="s">
        <v>4324</v>
      </c>
      <c r="W64" s="15" t="s">
        <v>4325</v>
      </c>
      <c r="X64" s="15">
        <v>88.6</v>
      </c>
      <c r="Y64" s="15" t="s">
        <v>2795</v>
      </c>
      <c r="Z64" s="15">
        <v>8.71</v>
      </c>
      <c r="AA64" s="15">
        <v>8.48</v>
      </c>
      <c r="AB64" s="15" t="s">
        <v>2796</v>
      </c>
      <c r="AC64" s="15" t="s">
        <v>2796</v>
      </c>
      <c r="AD64" s="15" t="s">
        <v>2796</v>
      </c>
      <c r="AE64" s="15" t="s">
        <v>2796</v>
      </c>
      <c r="AF64" s="15">
        <v>7.63</v>
      </c>
      <c r="AG64" s="15">
        <v>8.62</v>
      </c>
      <c r="AH64" s="15">
        <v>73.69</v>
      </c>
      <c r="AI64" s="18"/>
      <c r="AJ64" s="15" t="s">
        <v>2787</v>
      </c>
      <c r="AK64" s="15" t="s">
        <v>2787</v>
      </c>
      <c r="AL64" s="15">
        <v>668.0</v>
      </c>
      <c r="AM64" s="15">
        <v>669.0</v>
      </c>
      <c r="AN64" s="15" t="s">
        <v>2787</v>
      </c>
      <c r="AO64" s="15">
        <v>0.0</v>
      </c>
      <c r="AP64" s="15" t="s">
        <v>4326</v>
      </c>
      <c r="AQ64" s="15" t="s">
        <v>4327</v>
      </c>
      <c r="AR64" s="15" t="s">
        <v>4328</v>
      </c>
      <c r="AS64" s="15"/>
      <c r="AT64" s="18"/>
      <c r="AU64" s="15" t="s">
        <v>4329</v>
      </c>
      <c r="AV64" s="15" t="s">
        <v>4330</v>
      </c>
      <c r="AW64" s="15" t="s">
        <v>4331</v>
      </c>
      <c r="AX64" s="18"/>
      <c r="AY64" s="15" t="s">
        <v>4332</v>
      </c>
      <c r="AZ64" s="15" t="s">
        <v>4216</v>
      </c>
      <c r="BA64" s="15" t="s">
        <v>2870</v>
      </c>
      <c r="BB64" s="15" t="s">
        <v>2807</v>
      </c>
      <c r="BC64" s="15" t="s">
        <v>4333</v>
      </c>
      <c r="BD64" s="15" t="s">
        <v>2807</v>
      </c>
      <c r="BE64" s="15" t="s">
        <v>2796</v>
      </c>
      <c r="BF64" s="18"/>
      <c r="BG64" s="18"/>
      <c r="BH64" s="15"/>
      <c r="BI64" s="18"/>
      <c r="BJ64" s="19" t="s">
        <v>4334</v>
      </c>
      <c r="BK64" s="19" t="s">
        <v>4335</v>
      </c>
      <c r="BL64" s="19" t="s">
        <v>4336</v>
      </c>
      <c r="BM64" s="19" t="s">
        <v>4337</v>
      </c>
      <c r="BN64" s="19" t="s">
        <v>4338</v>
      </c>
      <c r="BO64" s="19" t="s">
        <v>4339</v>
      </c>
      <c r="BP64" s="18"/>
      <c r="BQ64" s="15" t="s">
        <v>228</v>
      </c>
      <c r="BR64" s="26"/>
      <c r="BS64" s="26"/>
      <c r="BT64" s="19" t="s">
        <v>4340</v>
      </c>
      <c r="BU64" s="19" t="s">
        <v>4341</v>
      </c>
      <c r="BV64" s="19" t="s">
        <v>4342</v>
      </c>
      <c r="BW64" s="15" t="s">
        <v>4343</v>
      </c>
      <c r="BX64" s="26"/>
      <c r="BY64" s="18" t="str">
        <f t="shared" si="60"/>
        <v>CIVIL</v>
      </c>
      <c r="BZ64" s="24" t="str">
        <f t="shared" ref="BZ64:CA64" si="65">IF(ISBLANK(BU64), BL64, BU64)</f>
        <v>https://drive.google.com/open?id=1PNl2VMFHw0tefBZwU39wza4beXG8K9Pt</v>
      </c>
      <c r="CA64" s="24" t="str">
        <f t="shared" si="65"/>
        <v>https://drive.google.com/open?id=19vMIPZZ_RSyTGFS5aDZKawdDrKmAfoDf</v>
      </c>
      <c r="CB64" s="15" t="s">
        <v>2821</v>
      </c>
      <c r="CC64" s="15" t="s">
        <v>2821</v>
      </c>
      <c r="CD64" s="25" t="s">
        <v>2909</v>
      </c>
      <c r="CE64" s="18"/>
      <c r="CF64" s="18"/>
      <c r="CG64" s="18"/>
    </row>
    <row r="65" ht="18.75" hidden="1" customHeight="1">
      <c r="A65" s="14">
        <v>44742.94213833333</v>
      </c>
      <c r="B65" s="15" t="s">
        <v>245</v>
      </c>
      <c r="C65" s="16" t="s">
        <v>4344</v>
      </c>
      <c r="D65" s="15" t="str">
        <f>IFERROR(__xludf.DUMMYFUNCTION("QUERY(TY_ALL_2023_Batch!$A$1:$E$824, ""SELECT E WHERE C='""&amp;B65&amp;""'"", 0)"),"CIVIL")</f>
        <v>CIVIL</v>
      </c>
      <c r="E65" s="15" t="s">
        <v>4345</v>
      </c>
      <c r="F65" s="15" t="s">
        <v>4346</v>
      </c>
      <c r="G65" s="15" t="s">
        <v>4347</v>
      </c>
      <c r="H65" s="15" t="s">
        <v>2826</v>
      </c>
      <c r="I65" s="17">
        <v>37167.0</v>
      </c>
      <c r="J65" s="15">
        <v>2019.0</v>
      </c>
      <c r="K65" s="15" t="s">
        <v>2786</v>
      </c>
      <c r="L65" s="15" t="s">
        <v>2787</v>
      </c>
      <c r="M65" s="18"/>
      <c r="N65" s="15" t="s">
        <v>4348</v>
      </c>
      <c r="O65" s="15" t="s">
        <v>245</v>
      </c>
      <c r="P65" s="19" t="s">
        <v>4349</v>
      </c>
      <c r="Q65" s="15">
        <v>7.666342374E9</v>
      </c>
      <c r="R65" s="15">
        <v>7.666342374E9</v>
      </c>
      <c r="S65" s="15">
        <v>9.92248928E9</v>
      </c>
      <c r="T65" s="15" t="s">
        <v>4346</v>
      </c>
      <c r="U65" s="15" t="s">
        <v>4350</v>
      </c>
      <c r="V65" s="15" t="s">
        <v>4351</v>
      </c>
      <c r="W65" s="18"/>
      <c r="X65" s="15">
        <v>82.0</v>
      </c>
      <c r="Y65" s="15" t="s">
        <v>2795</v>
      </c>
      <c r="Z65" s="15">
        <v>7.86</v>
      </c>
      <c r="AA65" s="15">
        <v>7.52</v>
      </c>
      <c r="AB65" s="15" t="s">
        <v>2796</v>
      </c>
      <c r="AC65" s="15" t="s">
        <v>2796</v>
      </c>
      <c r="AD65" s="15" t="s">
        <v>2796</v>
      </c>
      <c r="AE65" s="15" t="s">
        <v>2796</v>
      </c>
      <c r="AF65" s="15">
        <v>8.0</v>
      </c>
      <c r="AG65" s="15">
        <v>7.76</v>
      </c>
      <c r="AH65" s="15">
        <v>76.0</v>
      </c>
      <c r="AI65" s="18"/>
      <c r="AJ65" s="15" t="s">
        <v>2787</v>
      </c>
      <c r="AK65" s="15" t="s">
        <v>2787</v>
      </c>
      <c r="AL65" s="18"/>
      <c r="AM65" s="18"/>
      <c r="AN65" s="15" t="s">
        <v>2797</v>
      </c>
      <c r="AO65" s="18"/>
      <c r="AP65" s="18"/>
      <c r="AQ65" s="15" t="s">
        <v>4352</v>
      </c>
      <c r="AR65" s="18"/>
      <c r="AS65" s="15" t="s">
        <v>4353</v>
      </c>
      <c r="AT65" s="18"/>
      <c r="AU65" s="18"/>
      <c r="AV65" s="15" t="s">
        <v>4354</v>
      </c>
      <c r="AW65" s="15" t="s">
        <v>4355</v>
      </c>
      <c r="AX65" s="18"/>
      <c r="AY65" s="15" t="s">
        <v>4356</v>
      </c>
      <c r="AZ65" s="15" t="s">
        <v>4216</v>
      </c>
      <c r="BA65" s="15" t="s">
        <v>2870</v>
      </c>
      <c r="BB65" s="15" t="s">
        <v>2807</v>
      </c>
      <c r="BC65" s="15" t="s">
        <v>2926</v>
      </c>
      <c r="BD65" s="15" t="s">
        <v>2807</v>
      </c>
      <c r="BE65" s="15" t="s">
        <v>2796</v>
      </c>
      <c r="BF65" s="18"/>
      <c r="BG65" s="18"/>
      <c r="BH65" s="18"/>
      <c r="BI65" s="15" t="s">
        <v>4357</v>
      </c>
      <c r="BJ65" s="19" t="s">
        <v>4358</v>
      </c>
      <c r="BK65" s="19" t="s">
        <v>4359</v>
      </c>
      <c r="BL65" s="19" t="s">
        <v>4360</v>
      </c>
      <c r="BM65" s="20" t="s">
        <v>4361</v>
      </c>
      <c r="BN65" s="18"/>
      <c r="BO65" s="19" t="s">
        <v>4362</v>
      </c>
      <c r="BP65" s="18"/>
      <c r="BQ65" s="15" t="s">
        <v>228</v>
      </c>
      <c r="BR65" s="18"/>
      <c r="BS65" s="18"/>
      <c r="BT65" s="19" t="s">
        <v>4363</v>
      </c>
      <c r="BU65" s="18"/>
      <c r="BV65" s="18"/>
      <c r="BW65" s="15" t="s">
        <v>4364</v>
      </c>
      <c r="BX65" s="18"/>
      <c r="BY65" s="18" t="str">
        <f t="shared" si="60"/>
        <v>CIVIL</v>
      </c>
      <c r="BZ65" s="24" t="str">
        <f t="shared" ref="BZ65:CA65" si="66">IF(ISBLANK(BU65), BL65, BU65)</f>
        <v>https://drive.google.com/open?id=1vKGXx7ogn71b8C02PiyoniCQE60k60zi</v>
      </c>
      <c r="CA65" s="24" t="str">
        <f t="shared" si="66"/>
        <v>https://drive.google.com/open?id=1SB5cowl9JJm59XhjrXvC6xbKN6VIoO5D</v>
      </c>
      <c r="CB65" s="15" t="s">
        <v>2821</v>
      </c>
      <c r="CC65" s="15" t="s">
        <v>2821</v>
      </c>
      <c r="CD65" s="25" t="s">
        <v>2909</v>
      </c>
      <c r="CE65" s="18"/>
      <c r="CF65" s="18"/>
      <c r="CG65" s="18"/>
    </row>
    <row r="66" ht="18.75" hidden="1" customHeight="1">
      <c r="A66" s="36">
        <v>44741.95022027778</v>
      </c>
      <c r="B66" s="28" t="s">
        <v>1119</v>
      </c>
      <c r="C66" s="37" t="s">
        <v>4365</v>
      </c>
      <c r="D66" s="28" t="str">
        <f>IFERROR(__xludf.DUMMYFUNCTION("QUERY(TY_ALL_2023_Batch!$A$1:$E$824, ""SELECT E WHERE C='""&amp;B66&amp;""'"", 0)"),"CIVIL")</f>
        <v>CIVIL</v>
      </c>
      <c r="E66" s="28" t="s">
        <v>4366</v>
      </c>
      <c r="F66" s="28" t="s">
        <v>4317</v>
      </c>
      <c r="G66" s="28" t="s">
        <v>4367</v>
      </c>
      <c r="H66" s="28" t="s">
        <v>2785</v>
      </c>
      <c r="I66" s="38">
        <v>37258.0</v>
      </c>
      <c r="J66" s="28">
        <v>2020.0</v>
      </c>
      <c r="K66" s="28" t="s">
        <v>2941</v>
      </c>
      <c r="L66" s="28" t="s">
        <v>2787</v>
      </c>
      <c r="M66" s="39"/>
      <c r="N66" s="28" t="s">
        <v>4368</v>
      </c>
      <c r="O66" s="28" t="s">
        <v>1119</v>
      </c>
      <c r="P66" s="27" t="s">
        <v>4369</v>
      </c>
      <c r="Q66" s="28">
        <v>7.219817453E9</v>
      </c>
      <c r="R66" s="28">
        <v>7.219817453E9</v>
      </c>
      <c r="S66" s="28">
        <v>7.620707615E9</v>
      </c>
      <c r="T66" s="28" t="s">
        <v>4370</v>
      </c>
      <c r="U66" s="28" t="s">
        <v>4371</v>
      </c>
      <c r="V66" s="28" t="s">
        <v>4372</v>
      </c>
      <c r="W66" s="28" t="s">
        <v>4373</v>
      </c>
      <c r="X66" s="28">
        <v>88.2</v>
      </c>
      <c r="Y66" s="28" t="s">
        <v>2948</v>
      </c>
      <c r="Z66" s="28">
        <v>8.76</v>
      </c>
      <c r="AA66" s="28">
        <v>8.67</v>
      </c>
      <c r="AB66" s="28" t="s">
        <v>2796</v>
      </c>
      <c r="AC66" s="28" t="s">
        <v>2796</v>
      </c>
      <c r="AD66" s="28" t="s">
        <v>2796</v>
      </c>
      <c r="AE66" s="28" t="s">
        <v>2796</v>
      </c>
      <c r="AF66" s="39"/>
      <c r="AG66" s="39"/>
      <c r="AH66" s="39"/>
      <c r="AI66" s="28">
        <v>90.32</v>
      </c>
      <c r="AJ66" s="28" t="s">
        <v>2787</v>
      </c>
      <c r="AK66" s="28" t="s">
        <v>2787</v>
      </c>
      <c r="AL66" s="39"/>
      <c r="AM66" s="39"/>
      <c r="AN66" s="28" t="s">
        <v>2797</v>
      </c>
      <c r="AO66" s="28" t="s">
        <v>2796</v>
      </c>
      <c r="AP66" s="28" t="s">
        <v>2796</v>
      </c>
      <c r="AQ66" s="28" t="s">
        <v>2870</v>
      </c>
      <c r="AR66" s="39"/>
      <c r="AS66" s="28" t="s">
        <v>2870</v>
      </c>
      <c r="AT66" s="39"/>
      <c r="AU66" s="28" t="s">
        <v>2796</v>
      </c>
      <c r="AV66" s="28" t="s">
        <v>4374</v>
      </c>
      <c r="AW66" s="28" t="s">
        <v>4375</v>
      </c>
      <c r="AX66" s="39"/>
      <c r="AY66" s="28" t="s">
        <v>4376</v>
      </c>
      <c r="AZ66" s="28" t="s">
        <v>4377</v>
      </c>
      <c r="BA66" s="28" t="s">
        <v>2870</v>
      </c>
      <c r="BB66" s="28" t="s">
        <v>2807</v>
      </c>
      <c r="BC66" s="28" t="s">
        <v>3686</v>
      </c>
      <c r="BD66" s="28" t="s">
        <v>2807</v>
      </c>
      <c r="BE66" s="28" t="s">
        <v>2796</v>
      </c>
      <c r="BF66" s="39"/>
      <c r="BG66" s="39"/>
      <c r="BH66" s="39"/>
      <c r="BI66" s="39"/>
      <c r="BJ66" s="27" t="s">
        <v>4378</v>
      </c>
      <c r="BK66" s="27" t="s">
        <v>4379</v>
      </c>
      <c r="BL66" s="27" t="s">
        <v>4380</v>
      </c>
      <c r="BM66" s="27" t="s">
        <v>4381</v>
      </c>
      <c r="BN66" s="27" t="s">
        <v>4382</v>
      </c>
      <c r="BO66" s="27" t="s">
        <v>4383</v>
      </c>
      <c r="BP66" s="27" t="s">
        <v>4384</v>
      </c>
      <c r="BQ66" s="28" t="s">
        <v>228</v>
      </c>
      <c r="BR66" s="40"/>
      <c r="BS66" s="40"/>
      <c r="BT66" s="40"/>
      <c r="BU66" s="40"/>
      <c r="BV66" s="40"/>
      <c r="BW66" s="28" t="s">
        <v>4385</v>
      </c>
      <c r="BX66" s="40"/>
      <c r="BY66" s="39" t="str">
        <f t="shared" si="60"/>
        <v>CIVIL</v>
      </c>
      <c r="BZ66" s="24" t="str">
        <f t="shared" ref="BZ66:CA66" si="67">IF(ISBLANK(BU66), BL66, BU66)</f>
        <v>https://drive.google.com/open?id=1aZ15cH_3RefuJk3wjcTUwhUjDo3XcKLv</v>
      </c>
      <c r="CA66" s="24" t="str">
        <f t="shared" si="67"/>
        <v>https://drive.google.com/open?id=1RDRjlUg78CjkTMqYKPFlYkIwulFB7y5Z</v>
      </c>
      <c r="CB66" s="28" t="s">
        <v>2821</v>
      </c>
      <c r="CC66" s="28" t="s">
        <v>2821</v>
      </c>
      <c r="CD66" s="41" t="s">
        <v>2797</v>
      </c>
      <c r="CE66" s="39"/>
      <c r="CF66" s="39"/>
      <c r="CG66" s="18"/>
    </row>
    <row r="67" ht="18.75" hidden="1" customHeight="1">
      <c r="A67" s="14">
        <v>44740.66015519676</v>
      </c>
      <c r="B67" s="15" t="s">
        <v>1107</v>
      </c>
      <c r="C67" s="16" t="s">
        <v>4386</v>
      </c>
      <c r="D67" s="15" t="str">
        <f>IFERROR(__xludf.DUMMYFUNCTION("QUERY(TY_ALL_2023_Batch!$A$1:$E$824, ""SELECT E WHERE C='""&amp;B67&amp;""'"", 0)"),"CIVIL")</f>
        <v>CIVIL</v>
      </c>
      <c r="E67" s="15" t="s">
        <v>4387</v>
      </c>
      <c r="F67" s="15" t="s">
        <v>3785</v>
      </c>
      <c r="G67" s="15" t="s">
        <v>4388</v>
      </c>
      <c r="H67" s="15" t="s">
        <v>2785</v>
      </c>
      <c r="I67" s="17">
        <v>36951.0</v>
      </c>
      <c r="J67" s="15">
        <v>2020.0</v>
      </c>
      <c r="K67" s="15" t="s">
        <v>2941</v>
      </c>
      <c r="L67" s="15" t="s">
        <v>2787</v>
      </c>
      <c r="M67" s="18"/>
      <c r="N67" s="15" t="s">
        <v>4389</v>
      </c>
      <c r="O67" s="15" t="s">
        <v>4390</v>
      </c>
      <c r="P67" s="19" t="s">
        <v>4391</v>
      </c>
      <c r="Q67" s="15">
        <v>7.709451169E9</v>
      </c>
      <c r="R67" s="15">
        <v>7.709451169E9</v>
      </c>
      <c r="S67" s="15">
        <v>8.779114218E9</v>
      </c>
      <c r="T67" s="15" t="s">
        <v>3785</v>
      </c>
      <c r="U67" s="15" t="s">
        <v>4392</v>
      </c>
      <c r="V67" s="15" t="s">
        <v>4393</v>
      </c>
      <c r="W67" s="18"/>
      <c r="X67" s="15">
        <v>80.4</v>
      </c>
      <c r="Y67" s="15" t="s">
        <v>2948</v>
      </c>
      <c r="Z67" s="15">
        <v>8.62</v>
      </c>
      <c r="AA67" s="15">
        <v>8.29</v>
      </c>
      <c r="AB67" s="15" t="s">
        <v>2796</v>
      </c>
      <c r="AC67" s="15" t="s">
        <v>2796</v>
      </c>
      <c r="AD67" s="15" t="s">
        <v>2796</v>
      </c>
      <c r="AE67" s="15" t="s">
        <v>2796</v>
      </c>
      <c r="AF67" s="18"/>
      <c r="AG67" s="18"/>
      <c r="AH67" s="18"/>
      <c r="AI67" s="15">
        <v>93.39</v>
      </c>
      <c r="AJ67" s="15" t="s">
        <v>2787</v>
      </c>
      <c r="AK67" s="15" t="s">
        <v>2787</v>
      </c>
      <c r="AL67" s="15">
        <v>502.0</v>
      </c>
      <c r="AM67" s="15">
        <v>560.0</v>
      </c>
      <c r="AN67" s="15" t="s">
        <v>2797</v>
      </c>
      <c r="AO67" s="18"/>
      <c r="AP67" s="18"/>
      <c r="AQ67" s="15" t="s">
        <v>4394</v>
      </c>
      <c r="AR67" s="18"/>
      <c r="AS67" s="15"/>
      <c r="AT67" s="18"/>
      <c r="AU67" s="15" t="s">
        <v>2796</v>
      </c>
      <c r="AV67" s="15" t="s">
        <v>4395</v>
      </c>
      <c r="AW67" s="15" t="s">
        <v>4396</v>
      </c>
      <c r="AX67" s="15" t="s">
        <v>2796</v>
      </c>
      <c r="AY67" s="15" t="s">
        <v>4397</v>
      </c>
      <c r="AZ67" s="15" t="s">
        <v>4216</v>
      </c>
      <c r="BA67" s="15" t="s">
        <v>2870</v>
      </c>
      <c r="BB67" s="15" t="s">
        <v>2807</v>
      </c>
      <c r="BC67" s="15" t="s">
        <v>3686</v>
      </c>
      <c r="BD67" s="15" t="s">
        <v>4398</v>
      </c>
      <c r="BE67" s="15" t="s">
        <v>4399</v>
      </c>
      <c r="BF67" s="15" t="s">
        <v>4400</v>
      </c>
      <c r="BG67" s="18"/>
      <c r="BH67" s="15" t="s">
        <v>4401</v>
      </c>
      <c r="BI67" s="15" t="s">
        <v>4402</v>
      </c>
      <c r="BJ67" s="19" t="s">
        <v>4403</v>
      </c>
      <c r="BK67" s="19" t="s">
        <v>4404</v>
      </c>
      <c r="BL67" s="19" t="s">
        <v>4405</v>
      </c>
      <c r="BM67" s="19" t="s">
        <v>4406</v>
      </c>
      <c r="BN67" s="18"/>
      <c r="BO67" s="19" t="s">
        <v>4407</v>
      </c>
      <c r="BP67" s="19" t="s">
        <v>4408</v>
      </c>
      <c r="BQ67" s="15" t="s">
        <v>228</v>
      </c>
      <c r="BR67" s="19" t="s">
        <v>4409</v>
      </c>
      <c r="BS67" s="18"/>
      <c r="BT67" s="19" t="s">
        <v>4410</v>
      </c>
      <c r="BU67" s="19" t="s">
        <v>4411</v>
      </c>
      <c r="BV67" s="19" t="s">
        <v>4412</v>
      </c>
      <c r="BW67" s="15" t="s">
        <v>4413</v>
      </c>
      <c r="BX67" s="18"/>
      <c r="BY67" s="18" t="str">
        <f t="shared" si="60"/>
        <v>CIVIL</v>
      </c>
      <c r="BZ67" s="24" t="str">
        <f t="shared" ref="BZ67:CA67" si="68">IF(ISBLANK(BU67), BL67, BU67)</f>
        <v>https://drive.google.com/open?id=1USQTT99eRhYCIrLpzz5qD-qxkyDhmBv0</v>
      </c>
      <c r="CA67" s="24" t="str">
        <f t="shared" si="68"/>
        <v>https://drive.google.com/open?id=1PvIdBfFykibVxIOJzK0-gwPylnBTyoSE</v>
      </c>
      <c r="CB67" s="15" t="s">
        <v>2821</v>
      </c>
      <c r="CC67" s="15" t="s">
        <v>2821</v>
      </c>
      <c r="CD67" s="25" t="s">
        <v>4414</v>
      </c>
      <c r="CE67" s="18"/>
      <c r="CF67" s="18"/>
      <c r="CG67" s="18"/>
    </row>
    <row r="68" ht="18.75" hidden="1" customHeight="1">
      <c r="A68" s="14">
        <v>44740.85313362269</v>
      </c>
      <c r="B68" s="15" t="s">
        <v>344</v>
      </c>
      <c r="C68" s="16" t="s">
        <v>4415</v>
      </c>
      <c r="D68" s="15" t="str">
        <f>IFERROR(__xludf.DUMMYFUNCTION("QUERY(TY_ALL_2023_Batch!$A$1:$E$824, ""SELECT E WHERE C='""&amp;B68&amp;""'"", 0)"),"CIVIL")</f>
        <v>CIVIL</v>
      </c>
      <c r="E68" s="15" t="s">
        <v>4416</v>
      </c>
      <c r="F68" s="15" t="s">
        <v>4417</v>
      </c>
      <c r="G68" s="15" t="s">
        <v>4418</v>
      </c>
      <c r="H68" s="15" t="s">
        <v>2826</v>
      </c>
      <c r="I68" s="17">
        <v>37488.0</v>
      </c>
      <c r="J68" s="15">
        <v>2019.0</v>
      </c>
      <c r="K68" s="15" t="s">
        <v>2786</v>
      </c>
      <c r="L68" s="15" t="s">
        <v>2787</v>
      </c>
      <c r="M68" s="18"/>
      <c r="N68" s="15" t="s">
        <v>4419</v>
      </c>
      <c r="O68" s="15" t="s">
        <v>344</v>
      </c>
      <c r="P68" s="19" t="s">
        <v>4420</v>
      </c>
      <c r="Q68" s="15">
        <v>9.579531851E9</v>
      </c>
      <c r="R68" s="15">
        <v>9.579531851E9</v>
      </c>
      <c r="S68" s="15">
        <v>7.030246076E9</v>
      </c>
      <c r="T68" s="15" t="s">
        <v>4417</v>
      </c>
      <c r="U68" s="15" t="s">
        <v>4421</v>
      </c>
      <c r="V68" s="15" t="s">
        <v>4422</v>
      </c>
      <c r="W68" s="18"/>
      <c r="X68" s="15">
        <v>93.1</v>
      </c>
      <c r="Y68" s="15" t="s">
        <v>2795</v>
      </c>
      <c r="Z68" s="15">
        <v>9.57</v>
      </c>
      <c r="AA68" s="15">
        <v>9.05</v>
      </c>
      <c r="AB68" s="15" t="s">
        <v>2796</v>
      </c>
      <c r="AC68" s="15" t="s">
        <v>2796</v>
      </c>
      <c r="AD68" s="15" t="s">
        <v>2796</v>
      </c>
      <c r="AE68" s="15" t="s">
        <v>2796</v>
      </c>
      <c r="AF68" s="15">
        <v>9.58</v>
      </c>
      <c r="AG68" s="15">
        <v>9.33</v>
      </c>
      <c r="AH68" s="15">
        <v>94.8</v>
      </c>
      <c r="AI68" s="18"/>
      <c r="AJ68" s="15" t="s">
        <v>2787</v>
      </c>
      <c r="AK68" s="15" t="s">
        <v>2787</v>
      </c>
      <c r="AL68" s="15">
        <v>597.0</v>
      </c>
      <c r="AM68" s="15">
        <v>685.0</v>
      </c>
      <c r="AN68" s="15" t="s">
        <v>2797</v>
      </c>
      <c r="AO68" s="18"/>
      <c r="AP68" s="18"/>
      <c r="AQ68" s="15" t="s">
        <v>3889</v>
      </c>
      <c r="AR68" s="15" t="s">
        <v>4423</v>
      </c>
      <c r="AS68" s="15"/>
      <c r="AT68" s="18"/>
      <c r="AU68" s="15" t="s">
        <v>4424</v>
      </c>
      <c r="AV68" s="15" t="s">
        <v>4425</v>
      </c>
      <c r="AW68" s="15" t="s">
        <v>4426</v>
      </c>
      <c r="AX68" s="15" t="s">
        <v>4427</v>
      </c>
      <c r="AY68" s="15" t="s">
        <v>4428</v>
      </c>
      <c r="AZ68" s="15" t="s">
        <v>4216</v>
      </c>
      <c r="BA68" s="15" t="s">
        <v>2806</v>
      </c>
      <c r="BB68" s="15" t="s">
        <v>4429</v>
      </c>
      <c r="BC68" s="15" t="s">
        <v>4430</v>
      </c>
      <c r="BD68" s="15" t="s">
        <v>2842</v>
      </c>
      <c r="BE68" s="15" t="s">
        <v>4431</v>
      </c>
      <c r="BF68" s="18"/>
      <c r="BG68" s="18"/>
      <c r="BH68" s="18"/>
      <c r="BI68" s="15" t="s">
        <v>4432</v>
      </c>
      <c r="BJ68" s="19" t="s">
        <v>4433</v>
      </c>
      <c r="BK68" s="19" t="s">
        <v>4434</v>
      </c>
      <c r="BL68" s="19" t="s">
        <v>4435</v>
      </c>
      <c r="BM68" s="19" t="s">
        <v>4436</v>
      </c>
      <c r="BN68" s="19" t="s">
        <v>4437</v>
      </c>
      <c r="BO68" s="19" t="s">
        <v>4438</v>
      </c>
      <c r="BP68" s="19" t="s">
        <v>4439</v>
      </c>
      <c r="BQ68" s="15" t="s">
        <v>228</v>
      </c>
      <c r="BR68" s="19" t="s">
        <v>4440</v>
      </c>
      <c r="BS68" s="19" t="s">
        <v>4441</v>
      </c>
      <c r="BT68" s="19" t="s">
        <v>4442</v>
      </c>
      <c r="BU68" s="19" t="s">
        <v>4443</v>
      </c>
      <c r="BV68" s="19" t="s">
        <v>4444</v>
      </c>
      <c r="BW68" s="15" t="s">
        <v>4445</v>
      </c>
      <c r="BX68" s="26"/>
      <c r="BY68" s="18" t="str">
        <f t="shared" si="60"/>
        <v>CIVIL</v>
      </c>
      <c r="BZ68" s="24" t="str">
        <f t="shared" ref="BZ68:CA68" si="69">IF(ISBLANK(BU68), BL68, BU68)</f>
        <v>https://drive.google.com/open?id=1XySCkZrCdXwZd7x5HgMWhKgPuYqH5vFI</v>
      </c>
      <c r="CA68" s="24" t="str">
        <f t="shared" si="69"/>
        <v>https://drive.google.com/open?id=1oqiauIsRWgMLv-F6DZyxrnai2siQw17S</v>
      </c>
      <c r="CB68" s="15" t="s">
        <v>2821</v>
      </c>
      <c r="CC68" s="15" t="s">
        <v>2821</v>
      </c>
      <c r="CD68" s="25" t="s">
        <v>2787</v>
      </c>
      <c r="CE68" s="18"/>
      <c r="CF68" s="18"/>
      <c r="CG68" s="18"/>
    </row>
    <row r="69" ht="18.75" hidden="1" customHeight="1">
      <c r="A69" s="14">
        <v>44735.451202638884</v>
      </c>
      <c r="B69" s="15" t="s">
        <v>356</v>
      </c>
      <c r="C69" s="16" t="s">
        <v>4446</v>
      </c>
      <c r="D69" s="15" t="str">
        <f>IFERROR(__xludf.DUMMYFUNCTION("QUERY(TY_ALL_2023_Batch!$A$1:$E$824, ""SELECT E WHERE C='""&amp;B69&amp;""'"", 0)"),"CIVIL")</f>
        <v>CIVIL</v>
      </c>
      <c r="E69" s="15" t="s">
        <v>4447</v>
      </c>
      <c r="F69" s="15" t="s">
        <v>2824</v>
      </c>
      <c r="G69" s="15" t="s">
        <v>4448</v>
      </c>
      <c r="H69" s="15" t="s">
        <v>2785</v>
      </c>
      <c r="I69" s="17">
        <v>36847.0</v>
      </c>
      <c r="J69" s="15">
        <v>2019.0</v>
      </c>
      <c r="K69" s="15" t="s">
        <v>2786</v>
      </c>
      <c r="L69" s="15" t="s">
        <v>2787</v>
      </c>
      <c r="M69" s="18"/>
      <c r="N69" s="15" t="s">
        <v>4449</v>
      </c>
      <c r="O69" s="15" t="s">
        <v>356</v>
      </c>
      <c r="P69" s="19" t="s">
        <v>4450</v>
      </c>
      <c r="Q69" s="15">
        <v>7.387336991E9</v>
      </c>
      <c r="R69" s="15">
        <v>7.387336991E9</v>
      </c>
      <c r="S69" s="15">
        <v>8.432191711E9</v>
      </c>
      <c r="T69" s="15" t="s">
        <v>2824</v>
      </c>
      <c r="U69" s="15" t="s">
        <v>4451</v>
      </c>
      <c r="V69" s="15" t="s">
        <v>4452</v>
      </c>
      <c r="W69" s="15" t="s">
        <v>4453</v>
      </c>
      <c r="X69" s="15">
        <v>77.6</v>
      </c>
      <c r="Y69" s="15" t="s">
        <v>2795</v>
      </c>
      <c r="Z69" s="15">
        <v>7.29</v>
      </c>
      <c r="AA69" s="15">
        <v>7.62</v>
      </c>
      <c r="AB69" s="15" t="s">
        <v>2796</v>
      </c>
      <c r="AC69" s="15" t="s">
        <v>2796</v>
      </c>
      <c r="AD69" s="15" t="s">
        <v>2796</v>
      </c>
      <c r="AE69" s="15" t="s">
        <v>2796</v>
      </c>
      <c r="AF69" s="15">
        <v>7.68</v>
      </c>
      <c r="AG69" s="15">
        <v>7.52</v>
      </c>
      <c r="AH69" s="15">
        <v>65.38</v>
      </c>
      <c r="AI69" s="18"/>
      <c r="AJ69" s="15" t="s">
        <v>2787</v>
      </c>
      <c r="AK69" s="15" t="s">
        <v>2787</v>
      </c>
      <c r="AL69" s="18"/>
      <c r="AM69" s="18"/>
      <c r="AN69" s="15" t="s">
        <v>2787</v>
      </c>
      <c r="AO69" s="18"/>
      <c r="AP69" s="18"/>
      <c r="AQ69" s="15" t="s">
        <v>4454</v>
      </c>
      <c r="AR69" s="18"/>
      <c r="AS69" s="15" t="s">
        <v>4455</v>
      </c>
      <c r="AT69" s="18"/>
      <c r="AU69" s="18"/>
      <c r="AV69" s="15" t="s">
        <v>4456</v>
      </c>
      <c r="AW69" s="15" t="s">
        <v>4457</v>
      </c>
      <c r="AX69" s="18"/>
      <c r="AY69" s="15" t="s">
        <v>4458</v>
      </c>
      <c r="AZ69" s="15" t="s">
        <v>4216</v>
      </c>
      <c r="BA69" s="15" t="s">
        <v>2870</v>
      </c>
      <c r="BB69" s="15" t="s">
        <v>2807</v>
      </c>
      <c r="BC69" s="15" t="s">
        <v>4241</v>
      </c>
      <c r="BD69" s="15" t="s">
        <v>4459</v>
      </c>
      <c r="BE69" s="15" t="s">
        <v>4460</v>
      </c>
      <c r="BF69" s="15" t="s">
        <v>4461</v>
      </c>
      <c r="BG69" s="18"/>
      <c r="BH69" s="18"/>
      <c r="BI69" s="15" t="s">
        <v>4462</v>
      </c>
      <c r="BJ69" s="19" t="s">
        <v>4463</v>
      </c>
      <c r="BK69" s="19" t="s">
        <v>4464</v>
      </c>
      <c r="BL69" s="18"/>
      <c r="BM69" s="18"/>
      <c r="BN69" s="19" t="s">
        <v>4465</v>
      </c>
      <c r="BO69" s="19" t="s">
        <v>4466</v>
      </c>
      <c r="BP69" s="19" t="s">
        <v>4467</v>
      </c>
      <c r="BQ69" s="15" t="s">
        <v>228</v>
      </c>
      <c r="BR69" s="26"/>
      <c r="BS69" s="26"/>
      <c r="BT69" s="26"/>
      <c r="BU69" s="26"/>
      <c r="BV69" s="26"/>
      <c r="BW69" s="26"/>
      <c r="BX69" s="26"/>
      <c r="BY69" s="18" t="str">
        <f t="shared" si="60"/>
        <v>CIVIL</v>
      </c>
      <c r="BZ69" s="18" t="str">
        <f t="shared" ref="BZ69:CA69" si="70">IF(ISBLANK(BU69), BL69, BU69)</f>
        <v/>
      </c>
      <c r="CA69" s="18" t="str">
        <f t="shared" si="70"/>
        <v/>
      </c>
      <c r="CB69" s="15" t="s">
        <v>2908</v>
      </c>
      <c r="CC69" s="15" t="s">
        <v>2908</v>
      </c>
      <c r="CD69" s="25" t="s">
        <v>2797</v>
      </c>
      <c r="CE69" s="18"/>
      <c r="CF69" s="18"/>
      <c r="CG69" s="18"/>
    </row>
    <row r="70" ht="18.75" hidden="1" customHeight="1">
      <c r="A70" s="14">
        <v>44742.89704684028</v>
      </c>
      <c r="B70" s="15" t="s">
        <v>326</v>
      </c>
      <c r="C70" s="16" t="s">
        <v>4468</v>
      </c>
      <c r="D70" s="15" t="str">
        <f>IFERROR(__xludf.DUMMYFUNCTION("QUERY(TY_ALL_2023_Batch!$A$1:$E$824, ""SELECT E WHERE C='""&amp;B70&amp;""'"", 0)"),"CIVIL")</f>
        <v>CIVIL</v>
      </c>
      <c r="E70" s="15" t="s">
        <v>4469</v>
      </c>
      <c r="F70" s="15" t="s">
        <v>4470</v>
      </c>
      <c r="G70" s="15" t="s">
        <v>4471</v>
      </c>
      <c r="H70" s="15" t="s">
        <v>2785</v>
      </c>
      <c r="I70" s="17">
        <v>37153.0</v>
      </c>
      <c r="J70" s="15">
        <v>2019.0</v>
      </c>
      <c r="K70" s="15" t="s">
        <v>2786</v>
      </c>
      <c r="L70" s="15" t="s">
        <v>2787</v>
      </c>
      <c r="M70" s="18"/>
      <c r="N70" s="15" t="s">
        <v>4472</v>
      </c>
      <c r="O70" s="15" t="s">
        <v>326</v>
      </c>
      <c r="P70" s="19" t="s">
        <v>4473</v>
      </c>
      <c r="Q70" s="15">
        <v>7.020678399E9</v>
      </c>
      <c r="R70" s="15">
        <v>7.020678399E9</v>
      </c>
      <c r="S70" s="15">
        <v>9.766392269E9</v>
      </c>
      <c r="T70" s="15" t="s">
        <v>4470</v>
      </c>
      <c r="U70" s="15" t="s">
        <v>4073</v>
      </c>
      <c r="V70" s="15" t="s">
        <v>4474</v>
      </c>
      <c r="W70" s="15" t="s">
        <v>4475</v>
      </c>
      <c r="X70" s="15">
        <v>91.0</v>
      </c>
      <c r="Y70" s="15" t="s">
        <v>2795</v>
      </c>
      <c r="Z70" s="15">
        <v>7.05</v>
      </c>
      <c r="AA70" s="15">
        <v>7.52</v>
      </c>
      <c r="AB70" s="15" t="s">
        <v>2796</v>
      </c>
      <c r="AC70" s="15" t="s">
        <v>2796</v>
      </c>
      <c r="AD70" s="15" t="s">
        <v>2796</v>
      </c>
      <c r="AE70" s="15" t="s">
        <v>2796</v>
      </c>
      <c r="AF70" s="15">
        <v>6.79</v>
      </c>
      <c r="AG70" s="15">
        <v>8.24</v>
      </c>
      <c r="AH70" s="15">
        <v>76.92</v>
      </c>
      <c r="AI70" s="18"/>
      <c r="AJ70" s="15" t="s">
        <v>2787</v>
      </c>
      <c r="AK70" s="15" t="s">
        <v>2787</v>
      </c>
      <c r="AL70" s="42">
        <v>0.6666</v>
      </c>
      <c r="AM70" s="42">
        <v>0.7566</v>
      </c>
      <c r="AN70" s="15" t="s">
        <v>2787</v>
      </c>
      <c r="AO70" s="15" t="s">
        <v>4476</v>
      </c>
      <c r="AP70" s="15" t="s">
        <v>4477</v>
      </c>
      <c r="AQ70" s="15" t="s">
        <v>4478</v>
      </c>
      <c r="AR70" s="18"/>
      <c r="AS70" s="15" t="s">
        <v>4479</v>
      </c>
      <c r="AT70" s="18"/>
      <c r="AU70" s="15" t="s">
        <v>4480</v>
      </c>
      <c r="AV70" s="15" t="s">
        <v>4481</v>
      </c>
      <c r="AW70" s="15" t="s">
        <v>4482</v>
      </c>
      <c r="AX70" s="15" t="s">
        <v>2796</v>
      </c>
      <c r="AY70" s="15" t="s">
        <v>4483</v>
      </c>
      <c r="AZ70" s="15" t="s">
        <v>4216</v>
      </c>
      <c r="BA70" s="15" t="s">
        <v>2899</v>
      </c>
      <c r="BB70" s="15" t="s">
        <v>4484</v>
      </c>
      <c r="BC70" s="15" t="s">
        <v>4485</v>
      </c>
      <c r="BD70" s="15" t="s">
        <v>2842</v>
      </c>
      <c r="BE70" s="15" t="s">
        <v>2796</v>
      </c>
      <c r="BF70" s="15" t="s">
        <v>2796</v>
      </c>
      <c r="BG70" s="15" t="s">
        <v>2796</v>
      </c>
      <c r="BH70" s="15" t="s">
        <v>2796</v>
      </c>
      <c r="BI70" s="15" t="s">
        <v>2796</v>
      </c>
      <c r="BJ70" s="19" t="s">
        <v>4486</v>
      </c>
      <c r="BK70" s="19" t="s">
        <v>4487</v>
      </c>
      <c r="BL70" s="18"/>
      <c r="BM70" s="18"/>
      <c r="BN70" s="19" t="s">
        <v>4488</v>
      </c>
      <c r="BO70" s="19" t="s">
        <v>4489</v>
      </c>
      <c r="BP70" s="19" t="s">
        <v>4490</v>
      </c>
      <c r="BQ70" s="15" t="s">
        <v>228</v>
      </c>
      <c r="BR70" s="26"/>
      <c r="BS70" s="26"/>
      <c r="BT70" s="26"/>
      <c r="BU70" s="26"/>
      <c r="BV70" s="26"/>
      <c r="BW70" s="15" t="s">
        <v>4491</v>
      </c>
      <c r="BX70" s="26"/>
      <c r="BY70" s="18" t="str">
        <f t="shared" si="60"/>
        <v>CIVIL</v>
      </c>
      <c r="BZ70" s="18" t="str">
        <f t="shared" ref="BZ70:CA70" si="71">IF(ISBLANK(BU70), BL70, BU70)</f>
        <v/>
      </c>
      <c r="CA70" s="18" t="str">
        <f t="shared" si="71"/>
        <v/>
      </c>
      <c r="CB70" s="15" t="s">
        <v>2908</v>
      </c>
      <c r="CC70" s="15" t="s">
        <v>2908</v>
      </c>
      <c r="CD70" s="25" t="s">
        <v>2797</v>
      </c>
      <c r="CE70" s="18"/>
      <c r="CF70" s="18"/>
      <c r="CG70" s="18"/>
    </row>
    <row r="71" ht="18.75" hidden="1" customHeight="1">
      <c r="A71" s="14">
        <v>44734.48217887731</v>
      </c>
      <c r="B71" s="15" t="s">
        <v>230</v>
      </c>
      <c r="C71" s="16" t="s">
        <v>4492</v>
      </c>
      <c r="D71" s="15" t="str">
        <f>IFERROR(__xludf.DUMMYFUNCTION("QUERY(TY_ALL_2023_Batch!$A$1:$E$824, ""SELECT E WHERE C='""&amp;B71&amp;""'"", 0)"),"CIVIL")</f>
        <v>CIVIL</v>
      </c>
      <c r="E71" s="15" t="s">
        <v>3328</v>
      </c>
      <c r="F71" s="18"/>
      <c r="G71" s="15" t="s">
        <v>4493</v>
      </c>
      <c r="H71" s="15" t="s">
        <v>2785</v>
      </c>
      <c r="I71" s="17">
        <v>37315.0</v>
      </c>
      <c r="J71" s="15">
        <v>2019.0</v>
      </c>
      <c r="K71" s="15" t="s">
        <v>2786</v>
      </c>
      <c r="L71" s="15" t="s">
        <v>2787</v>
      </c>
      <c r="M71" s="18"/>
      <c r="N71" s="15" t="s">
        <v>4494</v>
      </c>
      <c r="O71" s="15" t="s">
        <v>230</v>
      </c>
      <c r="P71" s="19" t="s">
        <v>4495</v>
      </c>
      <c r="Q71" s="15">
        <v>9.797421716E9</v>
      </c>
      <c r="R71" s="15">
        <v>9.797421716E9</v>
      </c>
      <c r="S71" s="18"/>
      <c r="T71" s="15" t="s">
        <v>4496</v>
      </c>
      <c r="U71" s="15" t="s">
        <v>4497</v>
      </c>
      <c r="V71" s="15" t="s">
        <v>4498</v>
      </c>
      <c r="W71" s="15" t="s">
        <v>4499</v>
      </c>
      <c r="X71" s="15">
        <v>79.6</v>
      </c>
      <c r="Y71" s="15" t="s">
        <v>2795</v>
      </c>
      <c r="Z71" s="15">
        <v>7.6</v>
      </c>
      <c r="AA71" s="15">
        <v>7.5</v>
      </c>
      <c r="AB71" s="15" t="s">
        <v>2796</v>
      </c>
      <c r="AC71" s="15" t="s">
        <v>2796</v>
      </c>
      <c r="AD71" s="15" t="s">
        <v>2796</v>
      </c>
      <c r="AE71" s="15" t="s">
        <v>2796</v>
      </c>
      <c r="AF71" s="15">
        <v>7.8</v>
      </c>
      <c r="AG71" s="15">
        <v>7.6</v>
      </c>
      <c r="AH71" s="15">
        <v>82.4</v>
      </c>
      <c r="AI71" s="18"/>
      <c r="AJ71" s="15" t="s">
        <v>2787</v>
      </c>
      <c r="AK71" s="15" t="s">
        <v>2787</v>
      </c>
      <c r="AL71" s="18"/>
      <c r="AM71" s="18"/>
      <c r="AN71" s="15" t="s">
        <v>2797</v>
      </c>
      <c r="AO71" s="18"/>
      <c r="AP71" s="18"/>
      <c r="AQ71" s="15" t="s">
        <v>4500</v>
      </c>
      <c r="AR71" s="15" t="s">
        <v>4501</v>
      </c>
      <c r="AS71" s="18"/>
      <c r="AT71" s="18"/>
      <c r="AU71" s="18"/>
      <c r="AV71" s="15" t="s">
        <v>4502</v>
      </c>
      <c r="AW71" s="15" t="s">
        <v>4503</v>
      </c>
      <c r="AX71" s="18"/>
      <c r="AY71" s="15" t="s">
        <v>3989</v>
      </c>
      <c r="AZ71" s="15" t="s">
        <v>4044</v>
      </c>
      <c r="BA71" s="15" t="s">
        <v>2806</v>
      </c>
      <c r="BB71" s="15" t="s">
        <v>4504</v>
      </c>
      <c r="BC71" s="15" t="s">
        <v>4505</v>
      </c>
      <c r="BD71" s="15" t="s">
        <v>2807</v>
      </c>
      <c r="BE71" s="15" t="s">
        <v>2796</v>
      </c>
      <c r="BF71" s="18"/>
      <c r="BG71" s="18"/>
      <c r="BH71" s="18"/>
      <c r="BI71" s="18"/>
      <c r="BJ71" s="19" t="s">
        <v>4506</v>
      </c>
      <c r="BK71" s="19" t="s">
        <v>4507</v>
      </c>
      <c r="BL71" s="18"/>
      <c r="BM71" s="18"/>
      <c r="BN71" s="19" t="s">
        <v>4508</v>
      </c>
      <c r="BO71" s="19" t="s">
        <v>4509</v>
      </c>
      <c r="BP71" s="18"/>
      <c r="BQ71" s="15" t="s">
        <v>228</v>
      </c>
      <c r="BR71" s="26"/>
      <c r="BS71" s="26"/>
      <c r="BT71" s="26"/>
      <c r="BU71" s="26"/>
      <c r="BV71" s="26"/>
      <c r="BW71" s="26"/>
      <c r="BX71" s="26"/>
      <c r="BY71" s="18" t="str">
        <f t="shared" si="60"/>
        <v>CIVIL</v>
      </c>
      <c r="BZ71" s="18" t="str">
        <f t="shared" ref="BZ71:CA71" si="72">IF(ISBLANK(BU71), BL71, BU71)</f>
        <v/>
      </c>
      <c r="CA71" s="18" t="str">
        <f t="shared" si="72"/>
        <v/>
      </c>
      <c r="CB71" s="15" t="s">
        <v>4032</v>
      </c>
      <c r="CC71" s="15" t="s">
        <v>2908</v>
      </c>
      <c r="CD71" s="25" t="s">
        <v>2797</v>
      </c>
      <c r="CE71" s="18"/>
      <c r="CF71" s="18"/>
      <c r="CG71" s="18"/>
    </row>
    <row r="72" ht="18.75" hidden="1" customHeight="1">
      <c r="A72" s="14">
        <v>44742.57599572917</v>
      </c>
      <c r="B72" s="15" t="s">
        <v>1113</v>
      </c>
      <c r="C72" s="16" t="s">
        <v>4510</v>
      </c>
      <c r="D72" s="15" t="str">
        <f>IFERROR(__xludf.DUMMYFUNCTION("QUERY(TY_ALL_2023_Batch!$A$1:$E$824, ""SELECT E WHERE C='""&amp;B72&amp;""'"", 0)"),"CIVIL")</f>
        <v>CIVIL</v>
      </c>
      <c r="E72" s="15" t="s">
        <v>3550</v>
      </c>
      <c r="F72" s="15" t="s">
        <v>4511</v>
      </c>
      <c r="G72" s="15" t="s">
        <v>4512</v>
      </c>
      <c r="H72" s="15" t="s">
        <v>2785</v>
      </c>
      <c r="I72" s="17">
        <v>36975.0</v>
      </c>
      <c r="J72" s="15">
        <v>2020.0</v>
      </c>
      <c r="K72" s="15" t="s">
        <v>2941</v>
      </c>
      <c r="L72" s="15" t="s">
        <v>2787</v>
      </c>
      <c r="M72" s="18"/>
      <c r="N72" s="15" t="s">
        <v>4513</v>
      </c>
      <c r="O72" s="15" t="s">
        <v>1113</v>
      </c>
      <c r="P72" s="19" t="s">
        <v>4514</v>
      </c>
      <c r="Q72" s="15">
        <v>9.370592746E9</v>
      </c>
      <c r="R72" s="15">
        <v>9.370592746E9</v>
      </c>
      <c r="S72" s="15">
        <v>9.763631077E9</v>
      </c>
      <c r="T72" s="15" t="s">
        <v>4511</v>
      </c>
      <c r="U72" s="15" t="s">
        <v>4515</v>
      </c>
      <c r="V72" s="15" t="s">
        <v>4516</v>
      </c>
      <c r="W72" s="15" t="s">
        <v>4517</v>
      </c>
      <c r="X72" s="15">
        <v>90.4</v>
      </c>
      <c r="Y72" s="15" t="s">
        <v>2948</v>
      </c>
      <c r="Z72" s="15">
        <v>9.29</v>
      </c>
      <c r="AA72" s="15">
        <v>8.95</v>
      </c>
      <c r="AB72" s="15" t="s">
        <v>2796</v>
      </c>
      <c r="AC72" s="15" t="s">
        <v>2796</v>
      </c>
      <c r="AD72" s="15" t="s">
        <v>2796</v>
      </c>
      <c r="AE72" s="15" t="s">
        <v>2796</v>
      </c>
      <c r="AF72" s="18"/>
      <c r="AG72" s="18"/>
      <c r="AH72" s="18"/>
      <c r="AI72" s="15">
        <v>94.1</v>
      </c>
      <c r="AJ72" s="15" t="s">
        <v>2787</v>
      </c>
      <c r="AK72" s="15" t="s">
        <v>2787</v>
      </c>
      <c r="AL72" s="15">
        <v>553.33</v>
      </c>
      <c r="AM72" s="15">
        <v>598.33</v>
      </c>
      <c r="AN72" s="15" t="s">
        <v>2797</v>
      </c>
      <c r="AO72" s="15" t="s">
        <v>2796</v>
      </c>
      <c r="AP72" s="15" t="s">
        <v>2796</v>
      </c>
      <c r="AQ72" s="15" t="s">
        <v>3889</v>
      </c>
      <c r="AR72" s="18"/>
      <c r="AS72" s="18"/>
      <c r="AT72" s="18"/>
      <c r="AU72" s="15" t="s">
        <v>4518</v>
      </c>
      <c r="AV72" s="15" t="s">
        <v>4519</v>
      </c>
      <c r="AW72" s="15" t="s">
        <v>4520</v>
      </c>
      <c r="AX72" s="18"/>
      <c r="AY72" s="15" t="s">
        <v>4521</v>
      </c>
      <c r="AZ72" s="15" t="s">
        <v>4216</v>
      </c>
      <c r="BA72" s="15" t="s">
        <v>2899</v>
      </c>
      <c r="BB72" s="15" t="s">
        <v>3462</v>
      </c>
      <c r="BC72" s="15" t="s">
        <v>4522</v>
      </c>
      <c r="BD72" s="15" t="s">
        <v>2807</v>
      </c>
      <c r="BE72" s="15" t="s">
        <v>4523</v>
      </c>
      <c r="BF72" s="18"/>
      <c r="BG72" s="15" t="s">
        <v>4524</v>
      </c>
      <c r="BH72" s="15" t="s">
        <v>4525</v>
      </c>
      <c r="BI72" s="15" t="s">
        <v>4526</v>
      </c>
      <c r="BJ72" s="19" t="s">
        <v>4527</v>
      </c>
      <c r="BK72" s="19" t="s">
        <v>4528</v>
      </c>
      <c r="BL72" s="19" t="s">
        <v>4529</v>
      </c>
      <c r="BM72" s="19" t="s">
        <v>4530</v>
      </c>
      <c r="BN72" s="19" t="s">
        <v>4531</v>
      </c>
      <c r="BO72" s="19" t="s">
        <v>4532</v>
      </c>
      <c r="BP72" s="19" t="s">
        <v>4533</v>
      </c>
      <c r="BQ72" s="15" t="s">
        <v>228</v>
      </c>
      <c r="BR72" s="19" t="s">
        <v>4534</v>
      </c>
      <c r="BS72" s="19" t="s">
        <v>4535</v>
      </c>
      <c r="BT72" s="19" t="s">
        <v>4536</v>
      </c>
      <c r="BU72" s="19" t="s">
        <v>4537</v>
      </c>
      <c r="BV72" s="19" t="s">
        <v>4538</v>
      </c>
      <c r="BW72" s="15" t="s">
        <v>4539</v>
      </c>
      <c r="BX72" s="26"/>
      <c r="BY72" s="18" t="str">
        <f t="shared" si="60"/>
        <v>CIVIL</v>
      </c>
      <c r="BZ72" s="24" t="str">
        <f t="shared" ref="BZ72:CA72" si="73">IF(ISBLANK(BU72), BL72, BU72)</f>
        <v>https://drive.google.com/open?id=1gdgXvckDpi3tFS2ujdKLJzw3lGwje3-7</v>
      </c>
      <c r="CA72" s="24" t="str">
        <f t="shared" si="73"/>
        <v>https://drive.google.com/open?id=1rrLzV-rrIzFllOSAsxQweyiEwwMKiDdx</v>
      </c>
      <c r="CB72" s="15" t="s">
        <v>2821</v>
      </c>
      <c r="CC72" s="15" t="s">
        <v>2821</v>
      </c>
      <c r="CD72" s="25" t="s">
        <v>2787</v>
      </c>
      <c r="CE72" s="18"/>
      <c r="CF72" s="18"/>
      <c r="CG72" s="18"/>
    </row>
    <row r="73" ht="18.75" hidden="1" customHeight="1">
      <c r="A73" s="14">
        <v>44742.99041462963</v>
      </c>
      <c r="B73" s="15" t="s">
        <v>335</v>
      </c>
      <c r="C73" s="16" t="s">
        <v>4540</v>
      </c>
      <c r="D73" s="15" t="str">
        <f>IFERROR(__xludf.DUMMYFUNCTION("QUERY(TY_ALL_2023_Batch!$A$1:$E$824, ""SELECT E WHERE C='""&amp;B73&amp;""'"", 0)"),"CIVIL")</f>
        <v>CIVIL</v>
      </c>
      <c r="E73" s="15" t="s">
        <v>4541</v>
      </c>
      <c r="F73" s="18"/>
      <c r="G73" s="15" t="s">
        <v>4542</v>
      </c>
      <c r="H73" s="15" t="s">
        <v>2785</v>
      </c>
      <c r="I73" s="17">
        <v>36981.0</v>
      </c>
      <c r="J73" s="15">
        <v>2019.0</v>
      </c>
      <c r="K73" s="15" t="s">
        <v>2786</v>
      </c>
      <c r="L73" s="15" t="s">
        <v>2787</v>
      </c>
      <c r="M73" s="18"/>
      <c r="N73" s="15" t="s">
        <v>4543</v>
      </c>
      <c r="O73" s="15" t="s">
        <v>335</v>
      </c>
      <c r="P73" s="19" t="s">
        <v>4544</v>
      </c>
      <c r="Q73" s="15">
        <v>6.006737643E9</v>
      </c>
      <c r="R73" s="15">
        <v>7.05193187E9</v>
      </c>
      <c r="S73" s="15">
        <v>7.006153769E9</v>
      </c>
      <c r="T73" s="15" t="s">
        <v>4545</v>
      </c>
      <c r="U73" s="15" t="s">
        <v>4546</v>
      </c>
      <c r="V73" s="15" t="s">
        <v>4547</v>
      </c>
      <c r="W73" s="18"/>
      <c r="X73" s="15">
        <v>93.6</v>
      </c>
      <c r="Y73" s="15" t="s">
        <v>2795</v>
      </c>
      <c r="Z73" s="15">
        <v>7.84</v>
      </c>
      <c r="AA73" s="15">
        <v>6.76</v>
      </c>
      <c r="AB73" s="15">
        <v>7.29</v>
      </c>
      <c r="AC73" s="15" t="s">
        <v>2796</v>
      </c>
      <c r="AD73" s="15" t="s">
        <v>2796</v>
      </c>
      <c r="AE73" s="15" t="s">
        <v>2796</v>
      </c>
      <c r="AF73" s="15">
        <v>8.24</v>
      </c>
      <c r="AG73" s="15">
        <v>8.33</v>
      </c>
      <c r="AH73" s="15">
        <v>87.0</v>
      </c>
      <c r="AI73" s="18"/>
      <c r="AJ73" s="15" t="s">
        <v>2787</v>
      </c>
      <c r="AK73" s="15" t="s">
        <v>2787</v>
      </c>
      <c r="AL73" s="15">
        <v>41.0</v>
      </c>
      <c r="AM73" s="15">
        <v>53.66</v>
      </c>
      <c r="AN73" s="15" t="s">
        <v>2797</v>
      </c>
      <c r="AO73" s="15" t="s">
        <v>2908</v>
      </c>
      <c r="AP73" s="15" t="s">
        <v>2908</v>
      </c>
      <c r="AQ73" s="15" t="s">
        <v>4548</v>
      </c>
      <c r="AR73" s="15" t="s">
        <v>4549</v>
      </c>
      <c r="AS73" s="15" t="s">
        <v>4550</v>
      </c>
      <c r="AT73" s="18"/>
      <c r="AU73" s="15" t="s">
        <v>2870</v>
      </c>
      <c r="AV73" s="15" t="s">
        <v>4551</v>
      </c>
      <c r="AW73" s="15" t="s">
        <v>4552</v>
      </c>
      <c r="AX73" s="18"/>
      <c r="AY73" s="15" t="s">
        <v>4553</v>
      </c>
      <c r="AZ73" s="15" t="s">
        <v>4044</v>
      </c>
      <c r="BA73" s="15" t="s">
        <v>2899</v>
      </c>
      <c r="BB73" s="15" t="s">
        <v>4554</v>
      </c>
      <c r="BC73" s="15" t="s">
        <v>4555</v>
      </c>
      <c r="BD73" s="15" t="s">
        <v>4556</v>
      </c>
      <c r="BE73" s="15" t="s">
        <v>2796</v>
      </c>
      <c r="BF73" s="15" t="s">
        <v>2796</v>
      </c>
      <c r="BG73" s="18"/>
      <c r="BH73" s="18"/>
      <c r="BI73" s="15" t="s">
        <v>4557</v>
      </c>
      <c r="BJ73" s="19" t="s">
        <v>4558</v>
      </c>
      <c r="BK73" s="19" t="s">
        <v>4559</v>
      </c>
      <c r="BL73" s="18"/>
      <c r="BM73" s="18"/>
      <c r="BN73" s="19" t="s">
        <v>4560</v>
      </c>
      <c r="BO73" s="19" t="s">
        <v>4561</v>
      </c>
      <c r="BP73" s="19" t="s">
        <v>4562</v>
      </c>
      <c r="BQ73" s="15" t="s">
        <v>228</v>
      </c>
      <c r="BR73" s="26"/>
      <c r="BS73" s="26"/>
      <c r="BT73" s="26"/>
      <c r="BU73" s="26"/>
      <c r="BV73" s="26"/>
      <c r="BW73" s="15" t="s">
        <v>2797</v>
      </c>
      <c r="BX73" s="26"/>
      <c r="BY73" s="18" t="str">
        <f t="shared" si="60"/>
        <v>CIVIL</v>
      </c>
      <c r="BZ73" s="18" t="str">
        <f t="shared" ref="BZ73:CA73" si="74">IF(ISBLANK(BU73), BL73, BU73)</f>
        <v/>
      </c>
      <c r="CA73" s="18" t="str">
        <f t="shared" si="74"/>
        <v/>
      </c>
      <c r="CB73" s="15" t="s">
        <v>2908</v>
      </c>
      <c r="CC73" s="15" t="s">
        <v>2908</v>
      </c>
      <c r="CD73" s="25" t="s">
        <v>2797</v>
      </c>
      <c r="CE73" s="18"/>
      <c r="CF73" s="18"/>
      <c r="CG73" s="18"/>
    </row>
    <row r="74" ht="18.75" hidden="1" customHeight="1">
      <c r="A74" s="14">
        <v>44770.63904709491</v>
      </c>
      <c r="B74" s="15" t="s">
        <v>1164</v>
      </c>
      <c r="C74" s="16" t="s">
        <v>4563</v>
      </c>
      <c r="D74" s="15" t="str">
        <f>IFERROR(__xludf.DUMMYFUNCTION("QUERY(TY_ALL_2023_Batch!$A$1:$E$824, ""SELECT E WHERE C='""&amp;B74&amp;""'"", 0)"),"CIVIL")</f>
        <v>CIVIL</v>
      </c>
      <c r="E74" s="15" t="s">
        <v>4564</v>
      </c>
      <c r="F74" s="15" t="s">
        <v>3247</v>
      </c>
      <c r="G74" s="15" t="s">
        <v>4565</v>
      </c>
      <c r="H74" s="15" t="s">
        <v>2785</v>
      </c>
      <c r="I74" s="17">
        <v>37053.0</v>
      </c>
      <c r="J74" s="15">
        <v>2020.0</v>
      </c>
      <c r="K74" s="15" t="s">
        <v>2941</v>
      </c>
      <c r="L74" s="15" t="s">
        <v>2787</v>
      </c>
      <c r="M74" s="18"/>
      <c r="N74" s="15" t="s">
        <v>4566</v>
      </c>
      <c r="O74" s="15" t="s">
        <v>1164</v>
      </c>
      <c r="P74" s="19" t="s">
        <v>4567</v>
      </c>
      <c r="Q74" s="15">
        <v>9.325689313E9</v>
      </c>
      <c r="R74" s="15">
        <v>9.325689313E9</v>
      </c>
      <c r="S74" s="15">
        <v>9.890535498E9</v>
      </c>
      <c r="T74" s="15" t="s">
        <v>4568</v>
      </c>
      <c r="U74" s="15" t="s">
        <v>4569</v>
      </c>
      <c r="V74" s="15" t="s">
        <v>4570</v>
      </c>
      <c r="W74" s="15" t="s">
        <v>4571</v>
      </c>
      <c r="X74" s="15">
        <v>91.8</v>
      </c>
      <c r="Y74" s="15" t="s">
        <v>2948</v>
      </c>
      <c r="Z74" s="15">
        <v>9.52</v>
      </c>
      <c r="AA74" s="15">
        <v>9.24</v>
      </c>
      <c r="AB74" s="15">
        <v>9.43</v>
      </c>
      <c r="AC74" s="15">
        <v>9.62</v>
      </c>
      <c r="AD74" s="15" t="s">
        <v>2796</v>
      </c>
      <c r="AE74" s="15" t="s">
        <v>2796</v>
      </c>
      <c r="AF74" s="18"/>
      <c r="AG74" s="18"/>
      <c r="AH74" s="18"/>
      <c r="AI74" s="15">
        <v>90.95</v>
      </c>
      <c r="AJ74" s="15" t="s">
        <v>2787</v>
      </c>
      <c r="AK74" s="15" t="s">
        <v>2787</v>
      </c>
      <c r="AL74" s="15">
        <v>634.0</v>
      </c>
      <c r="AM74" s="15">
        <v>692.0</v>
      </c>
      <c r="AN74" s="15" t="s">
        <v>2797</v>
      </c>
      <c r="AO74" s="15" t="s">
        <v>2796</v>
      </c>
      <c r="AP74" s="15" t="s">
        <v>2796</v>
      </c>
      <c r="AQ74" s="15" t="s">
        <v>4572</v>
      </c>
      <c r="AR74" s="18"/>
      <c r="AS74" s="15"/>
      <c r="AT74" s="15" t="s">
        <v>2796</v>
      </c>
      <c r="AU74" s="15" t="s">
        <v>4573</v>
      </c>
      <c r="AV74" s="15" t="s">
        <v>4574</v>
      </c>
      <c r="AW74" s="15" t="s">
        <v>4575</v>
      </c>
      <c r="AX74" s="15" t="s">
        <v>2796</v>
      </c>
      <c r="AY74" s="15" t="s">
        <v>4576</v>
      </c>
      <c r="AZ74" s="15" t="s">
        <v>4216</v>
      </c>
      <c r="BA74" s="15" t="s">
        <v>2870</v>
      </c>
      <c r="BB74" s="15" t="s">
        <v>2807</v>
      </c>
      <c r="BC74" s="15" t="s">
        <v>4577</v>
      </c>
      <c r="BD74" s="15" t="s">
        <v>2807</v>
      </c>
      <c r="BE74" s="15" t="s">
        <v>4578</v>
      </c>
      <c r="BF74" s="15" t="s">
        <v>4579</v>
      </c>
      <c r="BG74" s="15" t="s">
        <v>2796</v>
      </c>
      <c r="BH74" s="15" t="s">
        <v>4580</v>
      </c>
      <c r="BI74" s="15" t="s">
        <v>4581</v>
      </c>
      <c r="BJ74" s="19" t="s">
        <v>4582</v>
      </c>
      <c r="BK74" s="19" t="s">
        <v>4583</v>
      </c>
      <c r="BL74" s="19" t="s">
        <v>4584</v>
      </c>
      <c r="BM74" s="19" t="s">
        <v>4585</v>
      </c>
      <c r="BN74" s="19" t="s">
        <v>4586</v>
      </c>
      <c r="BO74" s="19" t="s">
        <v>4587</v>
      </c>
      <c r="BP74" s="19" t="s">
        <v>4588</v>
      </c>
      <c r="BQ74" s="15" t="s">
        <v>228</v>
      </c>
      <c r="BR74" s="26"/>
      <c r="BS74" s="26"/>
      <c r="BT74" s="19" t="s">
        <v>4589</v>
      </c>
      <c r="BU74" s="26"/>
      <c r="BV74" s="26"/>
      <c r="BW74" s="15" t="s">
        <v>4590</v>
      </c>
      <c r="BX74" s="26"/>
      <c r="BY74" s="18" t="str">
        <f t="shared" si="60"/>
        <v>CIVIL</v>
      </c>
      <c r="BZ74" s="24" t="str">
        <f t="shared" ref="BZ74:CA74" si="75">IF(ISBLANK(BU74), BL74, BU74)</f>
        <v>https://drive.google.com/open?id=1j5tZeqAjRg3B0NRgfOhC3WtaWvxB8-nU</v>
      </c>
      <c r="CA74" s="24" t="str">
        <f t="shared" si="75"/>
        <v>https://drive.google.com/open?id=17XOfSOinXUUJp2DKCD5t-XE-vaWF-RNf</v>
      </c>
      <c r="CB74" s="15" t="s">
        <v>2821</v>
      </c>
      <c r="CC74" s="15" t="s">
        <v>2821</v>
      </c>
      <c r="CD74" s="25" t="s">
        <v>2787</v>
      </c>
      <c r="CE74" s="18"/>
      <c r="CF74" s="18"/>
      <c r="CG74" s="18"/>
    </row>
    <row r="75" ht="18.75" hidden="1" customHeight="1">
      <c r="A75" s="14">
        <v>44758.73082378472</v>
      </c>
      <c r="B75" s="15" t="s">
        <v>281</v>
      </c>
      <c r="C75" s="16" t="s">
        <v>4591</v>
      </c>
      <c r="D75" s="15" t="str">
        <f>IFERROR(__xludf.DUMMYFUNCTION("QUERY(TY_ALL_2023_Batch!$A$1:$E$824, ""SELECT E WHERE C='""&amp;B75&amp;""'"", 0)"),"CIVIL")</f>
        <v>CIVIL</v>
      </c>
      <c r="E75" s="15" t="s">
        <v>4592</v>
      </c>
      <c r="F75" s="15" t="s">
        <v>4593</v>
      </c>
      <c r="G75" s="15" t="s">
        <v>4594</v>
      </c>
      <c r="H75" s="15" t="s">
        <v>2785</v>
      </c>
      <c r="I75" s="17">
        <v>37142.0</v>
      </c>
      <c r="J75" s="15">
        <v>2019.0</v>
      </c>
      <c r="K75" s="15" t="s">
        <v>2786</v>
      </c>
      <c r="L75" s="15" t="s">
        <v>2787</v>
      </c>
      <c r="M75" s="18"/>
      <c r="N75" s="15" t="s">
        <v>4595</v>
      </c>
      <c r="O75" s="15" t="s">
        <v>281</v>
      </c>
      <c r="P75" s="19" t="s">
        <v>4596</v>
      </c>
      <c r="Q75" s="15">
        <v>7.045067242E9</v>
      </c>
      <c r="R75" s="15">
        <v>7.045067242E9</v>
      </c>
      <c r="S75" s="18"/>
      <c r="T75" s="15" t="s">
        <v>4597</v>
      </c>
      <c r="U75" s="15" t="s">
        <v>4598</v>
      </c>
      <c r="V75" s="15" t="s">
        <v>4599</v>
      </c>
      <c r="W75" s="18"/>
      <c r="X75" s="15">
        <v>84.0</v>
      </c>
      <c r="Y75" s="15" t="s">
        <v>2795</v>
      </c>
      <c r="Z75" s="15">
        <v>8.48</v>
      </c>
      <c r="AA75" s="15">
        <v>8.33</v>
      </c>
      <c r="AB75" s="15" t="s">
        <v>2796</v>
      </c>
      <c r="AC75" s="15" t="s">
        <v>2796</v>
      </c>
      <c r="AD75" s="15" t="s">
        <v>2796</v>
      </c>
      <c r="AE75" s="15" t="s">
        <v>2796</v>
      </c>
      <c r="AF75" s="15">
        <v>7.32</v>
      </c>
      <c r="AG75" s="15">
        <v>8.62</v>
      </c>
      <c r="AH75" s="15">
        <v>63.0</v>
      </c>
      <c r="AI75" s="18"/>
      <c r="AJ75" s="15" t="s">
        <v>2787</v>
      </c>
      <c r="AK75" s="15" t="s">
        <v>2787</v>
      </c>
      <c r="AL75" s="15">
        <v>563.33</v>
      </c>
      <c r="AM75" s="15">
        <v>633.3</v>
      </c>
      <c r="AN75" s="15" t="s">
        <v>2797</v>
      </c>
      <c r="AO75" s="18"/>
      <c r="AP75" s="18"/>
      <c r="AQ75" s="15" t="s">
        <v>4600</v>
      </c>
      <c r="AR75" s="15" t="s">
        <v>4601</v>
      </c>
      <c r="AS75" s="15"/>
      <c r="AT75" s="18"/>
      <c r="AU75" s="15" t="s">
        <v>4602</v>
      </c>
      <c r="AV75" s="15" t="s">
        <v>4603</v>
      </c>
      <c r="AW75" s="15" t="s">
        <v>4604</v>
      </c>
      <c r="AX75" s="18"/>
      <c r="AY75" s="15" t="s">
        <v>4605</v>
      </c>
      <c r="AZ75" s="15" t="s">
        <v>4216</v>
      </c>
      <c r="BA75" s="15" t="s">
        <v>2899</v>
      </c>
      <c r="BB75" s="15" t="s">
        <v>2807</v>
      </c>
      <c r="BC75" s="15" t="s">
        <v>4606</v>
      </c>
      <c r="BD75" s="15" t="s">
        <v>2807</v>
      </c>
      <c r="BE75" s="15" t="s">
        <v>2796</v>
      </c>
      <c r="BF75" s="18"/>
      <c r="BG75" s="18"/>
      <c r="BH75" s="15" t="s">
        <v>4607</v>
      </c>
      <c r="BI75" s="18"/>
      <c r="BJ75" s="19" t="s">
        <v>4608</v>
      </c>
      <c r="BK75" s="19" t="s">
        <v>4609</v>
      </c>
      <c r="BL75" s="18"/>
      <c r="BM75" s="18"/>
      <c r="BN75" s="19" t="s">
        <v>4610</v>
      </c>
      <c r="BO75" s="19" t="s">
        <v>4611</v>
      </c>
      <c r="BP75" s="19" t="s">
        <v>4612</v>
      </c>
      <c r="BQ75" s="15" t="s">
        <v>228</v>
      </c>
      <c r="BR75" s="26"/>
      <c r="BS75" s="26"/>
      <c r="BT75" s="19" t="s">
        <v>4613</v>
      </c>
      <c r="BU75" s="26"/>
      <c r="BV75" s="26"/>
      <c r="BW75" s="15" t="s">
        <v>4614</v>
      </c>
      <c r="BX75" s="26"/>
      <c r="BY75" s="18" t="str">
        <f t="shared" si="60"/>
        <v>CIVIL</v>
      </c>
      <c r="BZ75" s="18" t="str">
        <f t="shared" ref="BZ75:CA75" si="76">IF(ISBLANK(BU75), BL75, BU75)</f>
        <v/>
      </c>
      <c r="CA75" s="18" t="str">
        <f t="shared" si="76"/>
        <v/>
      </c>
      <c r="CB75" s="15" t="s">
        <v>2908</v>
      </c>
      <c r="CC75" s="15" t="s">
        <v>2908</v>
      </c>
      <c r="CD75" s="25" t="s">
        <v>2797</v>
      </c>
      <c r="CE75" s="18"/>
      <c r="CF75" s="18"/>
      <c r="CG75" s="18"/>
    </row>
    <row r="76" ht="18.75" hidden="1" customHeight="1">
      <c r="A76" s="14">
        <v>44743.84814943287</v>
      </c>
      <c r="B76" s="15" t="s">
        <v>329</v>
      </c>
      <c r="C76" s="16" t="s">
        <v>4615</v>
      </c>
      <c r="D76" s="15" t="str">
        <f>IFERROR(__xludf.DUMMYFUNCTION("QUERY(TY_ALL_2023_Batch!$A$1:$E$824, ""SELECT E WHERE C='""&amp;B76&amp;""'"", 0)"),"CIVIL")</f>
        <v>CIVIL</v>
      </c>
      <c r="E76" s="15" t="s">
        <v>4616</v>
      </c>
      <c r="F76" s="15" t="s">
        <v>3247</v>
      </c>
      <c r="G76" s="15" t="s">
        <v>4617</v>
      </c>
      <c r="H76" s="15" t="s">
        <v>2826</v>
      </c>
      <c r="I76" s="17">
        <v>37156.0</v>
      </c>
      <c r="J76" s="15">
        <v>2019.0</v>
      </c>
      <c r="K76" s="15" t="s">
        <v>2786</v>
      </c>
      <c r="L76" s="15" t="s">
        <v>2787</v>
      </c>
      <c r="M76" s="18"/>
      <c r="N76" s="15" t="s">
        <v>4618</v>
      </c>
      <c r="O76" s="15" t="s">
        <v>329</v>
      </c>
      <c r="P76" s="19" t="s">
        <v>4619</v>
      </c>
      <c r="Q76" s="15">
        <v>8.99950212E9</v>
      </c>
      <c r="R76" s="15">
        <v>8.99950212E9</v>
      </c>
      <c r="S76" s="18"/>
      <c r="T76" s="15" t="s">
        <v>3247</v>
      </c>
      <c r="U76" s="15" t="s">
        <v>4620</v>
      </c>
      <c r="V76" s="15" t="s">
        <v>4621</v>
      </c>
      <c r="W76" s="18"/>
      <c r="X76" s="15">
        <v>94.0</v>
      </c>
      <c r="Y76" s="15" t="s">
        <v>2795</v>
      </c>
      <c r="Z76" s="15">
        <v>7.9</v>
      </c>
      <c r="AA76" s="15">
        <v>8.43</v>
      </c>
      <c r="AB76" s="15" t="s">
        <v>2796</v>
      </c>
      <c r="AC76" s="15" t="s">
        <v>2796</v>
      </c>
      <c r="AD76" s="15" t="s">
        <v>2796</v>
      </c>
      <c r="AE76" s="15" t="s">
        <v>2796</v>
      </c>
      <c r="AF76" s="15">
        <v>7.63</v>
      </c>
      <c r="AG76" s="15">
        <v>8.81</v>
      </c>
      <c r="AH76" s="15">
        <v>68.62</v>
      </c>
      <c r="AI76" s="18"/>
      <c r="AJ76" s="15" t="s">
        <v>2787</v>
      </c>
      <c r="AK76" s="15" t="s">
        <v>2787</v>
      </c>
      <c r="AL76" s="18"/>
      <c r="AM76" s="18"/>
      <c r="AN76" s="15" t="s">
        <v>2787</v>
      </c>
      <c r="AO76" s="18"/>
      <c r="AP76" s="15" t="s">
        <v>3201</v>
      </c>
      <c r="AQ76" s="15" t="s">
        <v>2796</v>
      </c>
      <c r="AR76" s="18"/>
      <c r="AS76" s="15" t="s">
        <v>4622</v>
      </c>
      <c r="AT76" s="18"/>
      <c r="AU76" s="18"/>
      <c r="AV76" s="15" t="s">
        <v>4623</v>
      </c>
      <c r="AW76" s="15" t="s">
        <v>4624</v>
      </c>
      <c r="AX76" s="18"/>
      <c r="AY76" s="15" t="s">
        <v>4625</v>
      </c>
      <c r="AZ76" s="15" t="s">
        <v>4216</v>
      </c>
      <c r="BA76" s="15" t="s">
        <v>2797</v>
      </c>
      <c r="BB76" s="15" t="s">
        <v>2797</v>
      </c>
      <c r="BC76" s="15" t="s">
        <v>4626</v>
      </c>
      <c r="BD76" s="15" t="s">
        <v>2797</v>
      </c>
      <c r="BE76" s="15" t="s">
        <v>3989</v>
      </c>
      <c r="BF76" s="18"/>
      <c r="BG76" s="18"/>
      <c r="BH76" s="18"/>
      <c r="BI76" s="18"/>
      <c r="BJ76" s="19" t="s">
        <v>4627</v>
      </c>
      <c r="BK76" s="19" t="s">
        <v>4628</v>
      </c>
      <c r="BL76" s="18"/>
      <c r="BM76" s="18"/>
      <c r="BN76" s="18"/>
      <c r="BO76" s="19" t="s">
        <v>4629</v>
      </c>
      <c r="BP76" s="19" t="s">
        <v>4630</v>
      </c>
      <c r="BQ76" s="15" t="s">
        <v>228</v>
      </c>
      <c r="BR76" s="26"/>
      <c r="BS76" s="26"/>
      <c r="BT76" s="26"/>
      <c r="BU76" s="26"/>
      <c r="BV76" s="26"/>
      <c r="BW76" s="15" t="s">
        <v>4631</v>
      </c>
      <c r="BX76" s="26"/>
      <c r="BY76" s="18" t="str">
        <f t="shared" si="60"/>
        <v>CIVIL</v>
      </c>
      <c r="BZ76" s="18" t="str">
        <f t="shared" ref="BZ76:CA76" si="77">IF(ISBLANK(BU76), BL76, BU76)</f>
        <v/>
      </c>
      <c r="CA76" s="18" t="str">
        <f t="shared" si="77"/>
        <v/>
      </c>
      <c r="CB76" s="15" t="s">
        <v>2908</v>
      </c>
      <c r="CC76" s="15" t="s">
        <v>2908</v>
      </c>
      <c r="CD76" s="25" t="s">
        <v>2797</v>
      </c>
      <c r="CE76" s="18"/>
      <c r="CF76" s="18"/>
      <c r="CG76" s="18"/>
    </row>
    <row r="77" ht="18.75" hidden="1" customHeight="1">
      <c r="A77" s="14">
        <v>44735.85009707176</v>
      </c>
      <c r="B77" s="15" t="s">
        <v>287</v>
      </c>
      <c r="C77" s="16" t="s">
        <v>4632</v>
      </c>
      <c r="D77" s="15" t="str">
        <f>IFERROR(__xludf.DUMMYFUNCTION("QUERY(TY_ALL_2023_Batch!$A$1:$E$824, ""SELECT E WHERE C='""&amp;B77&amp;""'"", 0)"),"CIVIL")</f>
        <v>CIVIL</v>
      </c>
      <c r="E77" s="15" t="s">
        <v>4633</v>
      </c>
      <c r="F77" s="15" t="s">
        <v>4634</v>
      </c>
      <c r="G77" s="15" t="s">
        <v>3852</v>
      </c>
      <c r="H77" s="15" t="s">
        <v>2785</v>
      </c>
      <c r="I77" s="17">
        <v>37068.0</v>
      </c>
      <c r="J77" s="15">
        <v>2019.0</v>
      </c>
      <c r="K77" s="15" t="s">
        <v>2786</v>
      </c>
      <c r="L77" s="15" t="s">
        <v>2787</v>
      </c>
      <c r="M77" s="18"/>
      <c r="N77" s="15" t="s">
        <v>4635</v>
      </c>
      <c r="O77" s="15" t="s">
        <v>287</v>
      </c>
      <c r="P77" s="19" t="s">
        <v>4636</v>
      </c>
      <c r="Q77" s="15">
        <v>9.370948991E9</v>
      </c>
      <c r="R77" s="15">
        <v>9.370948991E9</v>
      </c>
      <c r="S77" s="18"/>
      <c r="T77" s="15" t="s">
        <v>4637</v>
      </c>
      <c r="U77" s="15" t="s">
        <v>4638</v>
      </c>
      <c r="V77" s="15" t="s">
        <v>4639</v>
      </c>
      <c r="W77" s="18"/>
      <c r="X77" s="15">
        <v>82.0</v>
      </c>
      <c r="Y77" s="15" t="s">
        <v>2795</v>
      </c>
      <c r="Z77" s="15">
        <v>8.0</v>
      </c>
      <c r="AA77" s="15">
        <v>9.05</v>
      </c>
      <c r="AB77" s="15" t="s">
        <v>2796</v>
      </c>
      <c r="AC77" s="15" t="s">
        <v>2796</v>
      </c>
      <c r="AD77" s="15" t="s">
        <v>2796</v>
      </c>
      <c r="AE77" s="15" t="s">
        <v>2796</v>
      </c>
      <c r="AF77" s="15">
        <v>9.0</v>
      </c>
      <c r="AG77" s="15">
        <v>9.33</v>
      </c>
      <c r="AH77" s="15">
        <v>86.0</v>
      </c>
      <c r="AI77" s="18"/>
      <c r="AJ77" s="15" t="s">
        <v>2787</v>
      </c>
      <c r="AK77" s="15" t="s">
        <v>2787</v>
      </c>
      <c r="AL77" s="15">
        <v>89.33</v>
      </c>
      <c r="AM77" s="15">
        <v>77.0</v>
      </c>
      <c r="AN77" s="15" t="s">
        <v>2797</v>
      </c>
      <c r="AO77" s="18"/>
      <c r="AP77" s="18"/>
      <c r="AQ77" s="15" t="s">
        <v>4640</v>
      </c>
      <c r="AR77" s="18"/>
      <c r="AS77" s="18"/>
      <c r="AT77" s="18"/>
      <c r="AU77" s="18"/>
      <c r="AV77" s="15" t="s">
        <v>4641</v>
      </c>
      <c r="AW77" s="15" t="s">
        <v>4642</v>
      </c>
      <c r="AX77" s="18"/>
      <c r="AY77" s="15" t="s">
        <v>4643</v>
      </c>
      <c r="AZ77" s="15" t="s">
        <v>4216</v>
      </c>
      <c r="BA77" s="15" t="s">
        <v>2899</v>
      </c>
      <c r="BB77" s="15" t="s">
        <v>2796</v>
      </c>
      <c r="BC77" s="15" t="s">
        <v>4644</v>
      </c>
      <c r="BD77" s="15" t="s">
        <v>2796</v>
      </c>
      <c r="BE77" s="15" t="s">
        <v>2796</v>
      </c>
      <c r="BF77" s="15" t="s">
        <v>4645</v>
      </c>
      <c r="BG77" s="18"/>
      <c r="BH77" s="15" t="s">
        <v>4646</v>
      </c>
      <c r="BI77" s="15" t="s">
        <v>4647</v>
      </c>
      <c r="BJ77" s="19" t="s">
        <v>4648</v>
      </c>
      <c r="BK77" s="19" t="s">
        <v>4649</v>
      </c>
      <c r="BL77" s="19" t="s">
        <v>4650</v>
      </c>
      <c r="BM77" s="19" t="s">
        <v>4651</v>
      </c>
      <c r="BN77" s="19" t="s">
        <v>4652</v>
      </c>
      <c r="BO77" s="19" t="s">
        <v>4653</v>
      </c>
      <c r="BP77" s="19" t="s">
        <v>4654</v>
      </c>
      <c r="BQ77" s="15" t="s">
        <v>228</v>
      </c>
      <c r="BR77" s="26"/>
      <c r="BS77" s="26"/>
      <c r="BT77" s="26"/>
      <c r="BU77" s="26"/>
      <c r="BV77" s="26"/>
      <c r="BW77" s="26"/>
      <c r="BX77" s="26"/>
      <c r="BY77" s="18" t="str">
        <f t="shared" si="60"/>
        <v>CIVIL</v>
      </c>
      <c r="BZ77" s="24" t="str">
        <f t="shared" ref="BZ77:CA77" si="78">IF(ISBLANK(BU77), BL77, BU77)</f>
        <v>https://drive.google.com/open?id=13BL7rMV-GJPlaRN6PBf2UrwcVO8FSBa6</v>
      </c>
      <c r="CA77" s="24" t="str">
        <f t="shared" si="78"/>
        <v>https://drive.google.com/open?id=1DZYA-vWarvjrsq5ubVWQ02EEsyp4uPUk</v>
      </c>
      <c r="CB77" s="15" t="s">
        <v>2821</v>
      </c>
      <c r="CC77" s="15" t="s">
        <v>2821</v>
      </c>
      <c r="CD77" s="25" t="s">
        <v>2797</v>
      </c>
      <c r="CE77" s="18"/>
      <c r="CF77" s="18"/>
      <c r="CG77" s="18"/>
    </row>
    <row r="78" ht="18.75" hidden="1" customHeight="1">
      <c r="A78" s="14">
        <v>44736.41967337963</v>
      </c>
      <c r="B78" s="15" t="s">
        <v>275</v>
      </c>
      <c r="C78" s="16" t="s">
        <v>4655</v>
      </c>
      <c r="D78" s="15" t="str">
        <f>IFERROR(__xludf.DUMMYFUNCTION("QUERY(TY_ALL_2023_Batch!$A$1:$E$824, ""SELECT E WHERE C='""&amp;B78&amp;""'"", 0)"),"CIVIL")</f>
        <v>CIVIL</v>
      </c>
      <c r="E78" s="15" t="s">
        <v>4656</v>
      </c>
      <c r="F78" s="15" t="s">
        <v>4657</v>
      </c>
      <c r="G78" s="15" t="s">
        <v>4658</v>
      </c>
      <c r="H78" s="15" t="s">
        <v>2785</v>
      </c>
      <c r="I78" s="17">
        <v>36861.0</v>
      </c>
      <c r="J78" s="15">
        <v>2019.0</v>
      </c>
      <c r="K78" s="15" t="s">
        <v>2786</v>
      </c>
      <c r="L78" s="15" t="s">
        <v>2787</v>
      </c>
      <c r="M78" s="18"/>
      <c r="N78" s="15" t="s">
        <v>4659</v>
      </c>
      <c r="O78" s="15" t="s">
        <v>275</v>
      </c>
      <c r="P78" s="19" t="s">
        <v>4660</v>
      </c>
      <c r="Q78" s="15">
        <v>7.745072892E9</v>
      </c>
      <c r="R78" s="15">
        <v>7.745072892E9</v>
      </c>
      <c r="S78" s="15">
        <v>7.66600488E9</v>
      </c>
      <c r="T78" s="15" t="s">
        <v>4657</v>
      </c>
      <c r="U78" s="15" t="s">
        <v>4661</v>
      </c>
      <c r="V78" s="15" t="s">
        <v>4662</v>
      </c>
      <c r="W78" s="15" t="s">
        <v>4663</v>
      </c>
      <c r="X78" s="15">
        <v>92.8</v>
      </c>
      <c r="Y78" s="15" t="s">
        <v>2795</v>
      </c>
      <c r="Z78" s="15">
        <v>8.52</v>
      </c>
      <c r="AA78" s="15">
        <v>8.33</v>
      </c>
      <c r="AB78" s="15" t="s">
        <v>2796</v>
      </c>
      <c r="AC78" s="15" t="s">
        <v>2796</v>
      </c>
      <c r="AD78" s="15" t="s">
        <v>2796</v>
      </c>
      <c r="AE78" s="15" t="s">
        <v>2796</v>
      </c>
      <c r="AF78" s="15">
        <v>7.68</v>
      </c>
      <c r="AG78" s="15">
        <v>8.24</v>
      </c>
      <c r="AH78" s="15">
        <v>79.38</v>
      </c>
      <c r="AI78" s="18"/>
      <c r="AJ78" s="15" t="s">
        <v>2787</v>
      </c>
      <c r="AK78" s="15" t="s">
        <v>2787</v>
      </c>
      <c r="AL78" s="15">
        <v>670.0</v>
      </c>
      <c r="AM78" s="15">
        <v>617.0</v>
      </c>
      <c r="AN78" s="15" t="s">
        <v>2797</v>
      </c>
      <c r="AO78" s="18"/>
      <c r="AP78" s="18"/>
      <c r="AQ78" s="15" t="s">
        <v>4664</v>
      </c>
      <c r="AR78" s="15" t="s">
        <v>4665</v>
      </c>
      <c r="AS78" s="15"/>
      <c r="AT78" s="18"/>
      <c r="AU78" s="16" t="s">
        <v>4666</v>
      </c>
      <c r="AV78" s="15" t="s">
        <v>4667</v>
      </c>
      <c r="AW78" s="15" t="s">
        <v>4668</v>
      </c>
      <c r="AX78" s="18"/>
      <c r="AY78" s="15" t="s">
        <v>4669</v>
      </c>
      <c r="AZ78" s="15" t="s">
        <v>4670</v>
      </c>
      <c r="BA78" s="15" t="s">
        <v>2899</v>
      </c>
      <c r="BB78" s="15" t="s">
        <v>2807</v>
      </c>
      <c r="BC78" s="15" t="s">
        <v>4671</v>
      </c>
      <c r="BD78" s="15" t="s">
        <v>2807</v>
      </c>
      <c r="BE78" s="15" t="s">
        <v>4672</v>
      </c>
      <c r="BF78" s="15" t="s">
        <v>4673</v>
      </c>
      <c r="BG78" s="18"/>
      <c r="BH78" s="15" t="s">
        <v>4674</v>
      </c>
      <c r="BI78" s="15" t="s">
        <v>4675</v>
      </c>
      <c r="BJ78" s="19" t="s">
        <v>4676</v>
      </c>
      <c r="BK78" s="19" t="s">
        <v>4677</v>
      </c>
      <c r="BL78" s="19" t="s">
        <v>4678</v>
      </c>
      <c r="BM78" s="19" t="s">
        <v>4679</v>
      </c>
      <c r="BN78" s="19" t="s">
        <v>4680</v>
      </c>
      <c r="BO78" s="19" t="s">
        <v>4681</v>
      </c>
      <c r="BP78" s="19" t="s">
        <v>4682</v>
      </c>
      <c r="BQ78" s="15" t="s">
        <v>228</v>
      </c>
      <c r="BR78" s="26"/>
      <c r="BS78" s="26"/>
      <c r="BT78" s="26"/>
      <c r="BU78" s="26"/>
      <c r="BV78" s="26"/>
      <c r="BW78" s="26"/>
      <c r="BX78" s="26"/>
      <c r="BY78" s="18" t="str">
        <f t="shared" si="60"/>
        <v>CIVIL</v>
      </c>
      <c r="BZ78" s="24" t="str">
        <f t="shared" ref="BZ78:CA78" si="79">IF(ISBLANK(BU78), BL78, BU78)</f>
        <v>https://drive.google.com/open?id=1bdU5XyGJsUR_VbVysgXue6I4bkd7xjEK</v>
      </c>
      <c r="CA78" s="24" t="str">
        <f t="shared" si="79"/>
        <v>https://drive.google.com/open?id=13fRV0IUE1au2v6RJ5FxrtNO1a7PeJtt6</v>
      </c>
      <c r="CB78" s="15" t="s">
        <v>2821</v>
      </c>
      <c r="CC78" s="15" t="s">
        <v>2821</v>
      </c>
      <c r="CD78" s="25" t="s">
        <v>2797</v>
      </c>
      <c r="CE78" s="18"/>
      <c r="CF78" s="18"/>
      <c r="CG78" s="18"/>
    </row>
    <row r="79" ht="18.75" hidden="1" customHeight="1">
      <c r="A79" s="14">
        <v>44736.44362885416</v>
      </c>
      <c r="B79" s="15" t="s">
        <v>278</v>
      </c>
      <c r="C79" s="16" t="s">
        <v>4683</v>
      </c>
      <c r="D79" s="15" t="str">
        <f>IFERROR(__xludf.DUMMYFUNCTION("QUERY(TY_ALL_2023_Batch!$A$1:$E$824, ""SELECT E WHERE C='""&amp;B79&amp;""'"", 0)"),"CIVIL")</f>
        <v>CIVIL</v>
      </c>
      <c r="E79" s="15" t="s">
        <v>4684</v>
      </c>
      <c r="F79" s="15" t="s">
        <v>4685</v>
      </c>
      <c r="G79" s="15" t="s">
        <v>4686</v>
      </c>
      <c r="H79" s="15" t="s">
        <v>2826</v>
      </c>
      <c r="I79" s="17">
        <v>36797.0</v>
      </c>
      <c r="J79" s="15">
        <v>2019.0</v>
      </c>
      <c r="K79" s="15" t="s">
        <v>2786</v>
      </c>
      <c r="L79" s="15" t="s">
        <v>2787</v>
      </c>
      <c r="M79" s="18"/>
      <c r="N79" s="15" t="s">
        <v>4687</v>
      </c>
      <c r="O79" s="15" t="s">
        <v>278</v>
      </c>
      <c r="P79" s="19" t="s">
        <v>4688</v>
      </c>
      <c r="Q79" s="15">
        <v>8.767094671E9</v>
      </c>
      <c r="R79" s="15">
        <v>8.767094671E9</v>
      </c>
      <c r="S79" s="15">
        <v>8.788534782E9</v>
      </c>
      <c r="T79" s="15" t="s">
        <v>4689</v>
      </c>
      <c r="U79" s="15" t="s">
        <v>4690</v>
      </c>
      <c r="V79" s="15" t="s">
        <v>4691</v>
      </c>
      <c r="W79" s="15" t="s">
        <v>4691</v>
      </c>
      <c r="X79" s="15">
        <v>90.2</v>
      </c>
      <c r="Y79" s="15" t="s">
        <v>2795</v>
      </c>
      <c r="Z79" s="15">
        <v>9.33</v>
      </c>
      <c r="AA79" s="15">
        <v>9.05</v>
      </c>
      <c r="AB79" s="15" t="s">
        <v>2796</v>
      </c>
      <c r="AC79" s="15" t="s">
        <v>2796</v>
      </c>
      <c r="AD79" s="15" t="s">
        <v>2796</v>
      </c>
      <c r="AE79" s="15" t="s">
        <v>2796</v>
      </c>
      <c r="AF79" s="15">
        <v>7.11</v>
      </c>
      <c r="AG79" s="15">
        <v>7.71</v>
      </c>
      <c r="AH79" s="15">
        <v>97.4</v>
      </c>
      <c r="AI79" s="18"/>
      <c r="AJ79" s="15" t="s">
        <v>2787</v>
      </c>
      <c r="AK79" s="15" t="s">
        <v>2787</v>
      </c>
      <c r="AL79" s="15" t="s">
        <v>4692</v>
      </c>
      <c r="AM79" s="15" t="s">
        <v>4693</v>
      </c>
      <c r="AN79" s="15" t="s">
        <v>2787</v>
      </c>
      <c r="AO79" s="15">
        <v>0.0</v>
      </c>
      <c r="AP79" s="15" t="s">
        <v>4694</v>
      </c>
      <c r="AQ79" s="15" t="s">
        <v>4695</v>
      </c>
      <c r="AR79" s="15" t="s">
        <v>4696</v>
      </c>
      <c r="AS79" s="15" t="s">
        <v>4697</v>
      </c>
      <c r="AT79" s="18"/>
      <c r="AU79" s="15" t="s">
        <v>4698</v>
      </c>
      <c r="AV79" s="15" t="s">
        <v>4699</v>
      </c>
      <c r="AW79" s="15" t="s">
        <v>4700</v>
      </c>
      <c r="AX79" s="15"/>
      <c r="AY79" s="15" t="s">
        <v>4701</v>
      </c>
      <c r="AZ79" s="15" t="s">
        <v>4216</v>
      </c>
      <c r="BA79" s="15" t="s">
        <v>2870</v>
      </c>
      <c r="BB79" s="15" t="s">
        <v>2807</v>
      </c>
      <c r="BC79" s="15" t="s">
        <v>4702</v>
      </c>
      <c r="BD79" s="15" t="s">
        <v>4703</v>
      </c>
      <c r="BE79" s="15" t="s">
        <v>2796</v>
      </c>
      <c r="BF79" s="15"/>
      <c r="BG79" s="15"/>
      <c r="BH79" s="15" t="s">
        <v>4704</v>
      </c>
      <c r="BI79" s="15" t="s">
        <v>4705</v>
      </c>
      <c r="BJ79" s="19" t="s">
        <v>4706</v>
      </c>
      <c r="BK79" s="19" t="s">
        <v>4707</v>
      </c>
      <c r="BL79" s="18"/>
      <c r="BM79" s="18"/>
      <c r="BN79" s="19" t="s">
        <v>4708</v>
      </c>
      <c r="BO79" s="19" t="s">
        <v>4709</v>
      </c>
      <c r="BP79" s="19" t="s">
        <v>4710</v>
      </c>
      <c r="BQ79" s="15" t="s">
        <v>228</v>
      </c>
      <c r="BR79" s="26"/>
      <c r="BS79" s="26"/>
      <c r="BT79" s="26"/>
      <c r="BU79" s="26"/>
      <c r="BV79" s="26"/>
      <c r="BW79" s="26"/>
      <c r="BX79" s="26"/>
      <c r="BY79" s="18" t="str">
        <f t="shared" si="60"/>
        <v>CIVIL</v>
      </c>
      <c r="BZ79" s="18" t="str">
        <f t="shared" ref="BZ79:CA79" si="80">IF(ISBLANK(BU79), BL79, BU79)</f>
        <v/>
      </c>
      <c r="CA79" s="18" t="str">
        <f t="shared" si="80"/>
        <v/>
      </c>
      <c r="CB79" s="15" t="s">
        <v>2908</v>
      </c>
      <c r="CC79" s="15" t="s">
        <v>2908</v>
      </c>
      <c r="CD79" s="25" t="s">
        <v>2797</v>
      </c>
      <c r="CE79" s="18"/>
      <c r="CF79" s="18"/>
      <c r="CG79" s="18"/>
    </row>
    <row r="80" ht="18.75" hidden="1" customHeight="1">
      <c r="A80" s="14">
        <v>44743.00646768518</v>
      </c>
      <c r="B80" s="15" t="s">
        <v>308</v>
      </c>
      <c r="C80" s="16" t="s">
        <v>4711</v>
      </c>
      <c r="D80" s="15" t="str">
        <f>IFERROR(__xludf.DUMMYFUNCTION("QUERY(TY_ALL_2023_Batch!$A$1:$E$824, ""SELECT E WHERE C='""&amp;B80&amp;""'"", 0)"),"CIVIL")</f>
        <v>CIVIL</v>
      </c>
      <c r="E80" s="15" t="s">
        <v>4712</v>
      </c>
      <c r="F80" s="15" t="s">
        <v>4713</v>
      </c>
      <c r="G80" s="15" t="s">
        <v>4714</v>
      </c>
      <c r="H80" s="15" t="s">
        <v>2826</v>
      </c>
      <c r="I80" s="17">
        <v>37121.0</v>
      </c>
      <c r="J80" s="15">
        <v>2019.0</v>
      </c>
      <c r="K80" s="15" t="s">
        <v>2786</v>
      </c>
      <c r="L80" s="15" t="s">
        <v>2787</v>
      </c>
      <c r="M80" s="18"/>
      <c r="N80" s="15" t="s">
        <v>4715</v>
      </c>
      <c r="O80" s="15" t="s">
        <v>308</v>
      </c>
      <c r="P80" s="19" t="s">
        <v>4716</v>
      </c>
      <c r="Q80" s="15">
        <v>9.307837149E9</v>
      </c>
      <c r="R80" s="15">
        <v>9.307837149E9</v>
      </c>
      <c r="S80" s="18"/>
      <c r="T80" s="15" t="s">
        <v>4713</v>
      </c>
      <c r="U80" s="15" t="s">
        <v>4717</v>
      </c>
      <c r="V80" s="15" t="s">
        <v>4718</v>
      </c>
      <c r="W80" s="15" t="s">
        <v>4719</v>
      </c>
      <c r="X80" s="15">
        <v>95.2</v>
      </c>
      <c r="Y80" s="15" t="s">
        <v>2795</v>
      </c>
      <c r="Z80" s="15">
        <v>8.12</v>
      </c>
      <c r="AA80" s="15">
        <v>8.62</v>
      </c>
      <c r="AB80" s="15" t="s">
        <v>2796</v>
      </c>
      <c r="AC80" s="15" t="s">
        <v>2796</v>
      </c>
      <c r="AD80" s="15" t="s">
        <v>2796</v>
      </c>
      <c r="AE80" s="15" t="s">
        <v>2796</v>
      </c>
      <c r="AF80" s="15">
        <v>7.8</v>
      </c>
      <c r="AG80" s="15">
        <v>8.19</v>
      </c>
      <c r="AH80" s="15">
        <v>61.69</v>
      </c>
      <c r="AI80" s="18"/>
      <c r="AJ80" s="15" t="s">
        <v>2787</v>
      </c>
      <c r="AK80" s="15" t="s">
        <v>2787</v>
      </c>
      <c r="AL80" s="18"/>
      <c r="AM80" s="18"/>
      <c r="AN80" s="15" t="s">
        <v>2787</v>
      </c>
      <c r="AO80" s="15" t="s">
        <v>4720</v>
      </c>
      <c r="AP80" s="15" t="s">
        <v>4721</v>
      </c>
      <c r="AQ80" s="15" t="s">
        <v>4722</v>
      </c>
      <c r="AR80" s="18"/>
      <c r="AS80" s="15" t="s">
        <v>4723</v>
      </c>
      <c r="AT80" s="18"/>
      <c r="AU80" s="15" t="s">
        <v>4724</v>
      </c>
      <c r="AV80" s="15" t="s">
        <v>4724</v>
      </c>
      <c r="AW80" s="15" t="s">
        <v>4725</v>
      </c>
      <c r="AX80" s="18"/>
      <c r="AY80" s="15" t="s">
        <v>4726</v>
      </c>
      <c r="AZ80" s="15" t="s">
        <v>4216</v>
      </c>
      <c r="BA80" s="15" t="s">
        <v>4727</v>
      </c>
      <c r="BB80" s="15" t="s">
        <v>2807</v>
      </c>
      <c r="BC80" s="15" t="s">
        <v>4217</v>
      </c>
      <c r="BD80" s="15" t="s">
        <v>2842</v>
      </c>
      <c r="BE80" s="15" t="s">
        <v>4728</v>
      </c>
      <c r="BF80" s="18"/>
      <c r="BG80" s="18"/>
      <c r="BH80" s="18"/>
      <c r="BI80" s="15" t="s">
        <v>4728</v>
      </c>
      <c r="BJ80" s="19" t="s">
        <v>4729</v>
      </c>
      <c r="BK80" s="19" t="s">
        <v>4730</v>
      </c>
      <c r="BL80" s="18"/>
      <c r="BM80" s="18"/>
      <c r="BN80" s="19" t="s">
        <v>4731</v>
      </c>
      <c r="BO80" s="19" t="s">
        <v>4732</v>
      </c>
      <c r="BP80" s="18"/>
      <c r="BQ80" s="15" t="s">
        <v>228</v>
      </c>
      <c r="BR80" s="18"/>
      <c r="BS80" s="18"/>
      <c r="BT80" s="19" t="s">
        <v>4733</v>
      </c>
      <c r="BU80" s="18"/>
      <c r="BV80" s="18"/>
      <c r="BW80" s="15" t="s">
        <v>4734</v>
      </c>
      <c r="BX80" s="18"/>
      <c r="BY80" s="18" t="str">
        <f t="shared" si="60"/>
        <v>CIVIL</v>
      </c>
      <c r="BZ80" s="18" t="str">
        <f t="shared" ref="BZ80:CA80" si="81">IF(ISBLANK(BU80), BL80, BU80)</f>
        <v/>
      </c>
      <c r="CA80" s="18" t="str">
        <f t="shared" si="81"/>
        <v/>
      </c>
      <c r="CB80" s="15" t="s">
        <v>2908</v>
      </c>
      <c r="CC80" s="15" t="s">
        <v>2908</v>
      </c>
      <c r="CD80" s="25" t="s">
        <v>2787</v>
      </c>
      <c r="CE80" s="15" t="s">
        <v>3063</v>
      </c>
      <c r="CF80" s="18"/>
      <c r="CG80" s="18"/>
    </row>
    <row r="81" ht="18.75" hidden="1" customHeight="1">
      <c r="A81" s="14">
        <v>44742.98635496528</v>
      </c>
      <c r="B81" s="15" t="s">
        <v>2358</v>
      </c>
      <c r="C81" s="16" t="s">
        <v>4735</v>
      </c>
      <c r="D81" s="15" t="str">
        <f>IFERROR(__xludf.DUMMYFUNCTION("QUERY(TY_ALL_2023_Batch!$A$1:$E$824, ""SELECT E WHERE C='""&amp;B81&amp;""'"", 0)"),"MECH")</f>
        <v>MECH</v>
      </c>
      <c r="E81" s="15" t="s">
        <v>3924</v>
      </c>
      <c r="F81" s="15" t="s">
        <v>4736</v>
      </c>
      <c r="G81" s="15" t="s">
        <v>4737</v>
      </c>
      <c r="H81" s="15" t="s">
        <v>2785</v>
      </c>
      <c r="I81" s="17">
        <v>37007.0</v>
      </c>
      <c r="J81" s="15">
        <v>2019.0</v>
      </c>
      <c r="K81" s="15" t="s">
        <v>2786</v>
      </c>
      <c r="L81" s="15" t="s">
        <v>2787</v>
      </c>
      <c r="M81" s="18"/>
      <c r="N81" s="15" t="s">
        <v>4738</v>
      </c>
      <c r="O81" s="15" t="s">
        <v>2358</v>
      </c>
      <c r="P81" s="19" t="s">
        <v>4739</v>
      </c>
      <c r="Q81" s="15">
        <v>9.011173005E9</v>
      </c>
      <c r="R81" s="15">
        <v>9.011173005E9</v>
      </c>
      <c r="S81" s="18"/>
      <c r="T81" s="15" t="s">
        <v>4736</v>
      </c>
      <c r="U81" s="15" t="s">
        <v>4740</v>
      </c>
      <c r="V81" s="15" t="s">
        <v>4741</v>
      </c>
      <c r="W81" s="18"/>
      <c r="X81" s="15">
        <v>84.0</v>
      </c>
      <c r="Y81" s="15" t="s">
        <v>2795</v>
      </c>
      <c r="Z81" s="15">
        <v>5.67</v>
      </c>
      <c r="AA81" s="15">
        <v>6.95</v>
      </c>
      <c r="AB81" s="15" t="s">
        <v>2796</v>
      </c>
      <c r="AC81" s="15" t="s">
        <v>2796</v>
      </c>
      <c r="AD81" s="15" t="s">
        <v>2796</v>
      </c>
      <c r="AE81" s="15" t="s">
        <v>2796</v>
      </c>
      <c r="AF81" s="15">
        <v>7.32</v>
      </c>
      <c r="AG81" s="15">
        <v>8.38</v>
      </c>
      <c r="AH81" s="15">
        <v>57.84</v>
      </c>
      <c r="AI81" s="18"/>
      <c r="AJ81" s="15" t="s">
        <v>2787</v>
      </c>
      <c r="AK81" s="15" t="s">
        <v>2787</v>
      </c>
      <c r="AL81" s="15">
        <v>75.0</v>
      </c>
      <c r="AM81" s="15">
        <v>70.0</v>
      </c>
      <c r="AN81" s="15" t="s">
        <v>2797</v>
      </c>
      <c r="AO81" s="18"/>
      <c r="AP81" s="18"/>
      <c r="AQ81" s="15" t="s">
        <v>4742</v>
      </c>
      <c r="AR81" s="18"/>
      <c r="AS81" s="18"/>
      <c r="AT81" s="18"/>
      <c r="AU81" s="18"/>
      <c r="AV81" s="15" t="s">
        <v>4743</v>
      </c>
      <c r="AW81" s="15" t="s">
        <v>4744</v>
      </c>
      <c r="AX81" s="18"/>
      <c r="AY81" s="15" t="s">
        <v>4745</v>
      </c>
      <c r="AZ81" s="15" t="s">
        <v>4216</v>
      </c>
      <c r="BA81" s="15" t="s">
        <v>2899</v>
      </c>
      <c r="BB81" s="15" t="s">
        <v>3462</v>
      </c>
      <c r="BC81" s="15" t="s">
        <v>4746</v>
      </c>
      <c r="BD81" s="15" t="s">
        <v>2842</v>
      </c>
      <c r="BE81" s="15" t="s">
        <v>4747</v>
      </c>
      <c r="BF81" s="18"/>
      <c r="BG81" s="18"/>
      <c r="BH81" s="18"/>
      <c r="BI81" s="15" t="s">
        <v>4748</v>
      </c>
      <c r="BJ81" s="19" t="s">
        <v>4749</v>
      </c>
      <c r="BK81" s="19" t="s">
        <v>4750</v>
      </c>
      <c r="BL81" s="18"/>
      <c r="BM81" s="18"/>
      <c r="BN81" s="19" t="s">
        <v>4751</v>
      </c>
      <c r="BO81" s="19" t="s">
        <v>4752</v>
      </c>
      <c r="BP81" s="18"/>
      <c r="BQ81" s="15" t="s">
        <v>228</v>
      </c>
      <c r="BR81" s="19" t="s">
        <v>4753</v>
      </c>
      <c r="BS81" s="19" t="s">
        <v>4754</v>
      </c>
      <c r="BT81" s="19" t="s">
        <v>4755</v>
      </c>
      <c r="BU81" s="19" t="s">
        <v>4756</v>
      </c>
      <c r="BV81" s="19" t="s">
        <v>4757</v>
      </c>
      <c r="BW81" s="15" t="s">
        <v>4758</v>
      </c>
      <c r="BX81" s="18"/>
      <c r="BY81" s="18" t="str">
        <f t="shared" si="60"/>
        <v>CIVIL</v>
      </c>
      <c r="BZ81" s="24" t="str">
        <f t="shared" ref="BZ81:CA81" si="82">IF(ISBLANK(BU81), BL81, BU81)</f>
        <v>https://drive.google.com/open?id=1lc4rj5JrZPyUskl-a7k94N9NBqosP-Zc</v>
      </c>
      <c r="CA81" s="24" t="str">
        <f t="shared" si="82"/>
        <v>https://drive.google.com/open?id=1GQbd7w35xfYDZtIt_NXPaXsZF9GZftR9</v>
      </c>
      <c r="CB81" s="15" t="s">
        <v>2908</v>
      </c>
      <c r="CC81" s="15" t="s">
        <v>2908</v>
      </c>
      <c r="CD81" s="25" t="s">
        <v>2787</v>
      </c>
      <c r="CE81" s="18"/>
      <c r="CF81" s="18"/>
      <c r="CG81" s="18"/>
    </row>
    <row r="82" ht="18.75" hidden="1" customHeight="1">
      <c r="A82" s="14">
        <v>44734.48494825231</v>
      </c>
      <c r="B82" s="15" t="s">
        <v>4759</v>
      </c>
      <c r="C82" s="16" t="s">
        <v>4760</v>
      </c>
      <c r="D82" s="15" t="str">
        <f>IFERROR(__xludf.DUMMYFUNCTION("QUERY(TY_ALL_2023_Batch!$A$1:$E$824, ""SELECT E WHERE C='""&amp;B82&amp;""'"", 0)"),"#N/A")</f>
        <v>#N/A</v>
      </c>
      <c r="E82" s="15" t="s">
        <v>3924</v>
      </c>
      <c r="F82" s="15" t="s">
        <v>4761</v>
      </c>
      <c r="G82" s="15" t="s">
        <v>4762</v>
      </c>
      <c r="H82" s="15" t="s">
        <v>2785</v>
      </c>
      <c r="I82" s="17">
        <v>37031.0</v>
      </c>
      <c r="J82" s="15">
        <v>2020.0</v>
      </c>
      <c r="K82" s="15" t="s">
        <v>2941</v>
      </c>
      <c r="L82" s="15" t="s">
        <v>2787</v>
      </c>
      <c r="M82" s="18"/>
      <c r="N82" s="15" t="s">
        <v>1116</v>
      </c>
      <c r="O82" s="15" t="s">
        <v>4759</v>
      </c>
      <c r="P82" s="19" t="s">
        <v>4763</v>
      </c>
      <c r="Q82" s="15">
        <v>7.776079291E9</v>
      </c>
      <c r="R82" s="15">
        <v>7.776079291E9</v>
      </c>
      <c r="S82" s="15"/>
      <c r="T82" s="15" t="s">
        <v>4761</v>
      </c>
      <c r="U82" s="15" t="s">
        <v>4764</v>
      </c>
      <c r="V82" s="15" t="s">
        <v>4765</v>
      </c>
      <c r="W82" s="18"/>
      <c r="X82" s="15">
        <v>84.6</v>
      </c>
      <c r="Y82" s="15" t="s">
        <v>2948</v>
      </c>
      <c r="Z82" s="15">
        <v>8.14</v>
      </c>
      <c r="AA82" s="15">
        <v>7.86</v>
      </c>
      <c r="AB82" s="15" t="s">
        <v>2796</v>
      </c>
      <c r="AC82" s="15" t="s">
        <v>2796</v>
      </c>
      <c r="AD82" s="15" t="s">
        <v>2796</v>
      </c>
      <c r="AE82" s="15" t="s">
        <v>2796</v>
      </c>
      <c r="AF82" s="18"/>
      <c r="AG82" s="18"/>
      <c r="AH82" s="18"/>
      <c r="AI82" s="15">
        <v>85.6</v>
      </c>
      <c r="AJ82" s="15" t="s">
        <v>2787</v>
      </c>
      <c r="AK82" s="15" t="s">
        <v>2787</v>
      </c>
      <c r="AL82" s="18"/>
      <c r="AM82" s="18"/>
      <c r="AN82" s="15" t="s">
        <v>2787</v>
      </c>
      <c r="AO82" s="18"/>
      <c r="AP82" s="15" t="s">
        <v>4766</v>
      </c>
      <c r="AQ82" s="15" t="s">
        <v>4767</v>
      </c>
      <c r="AR82" s="15" t="s">
        <v>4768</v>
      </c>
      <c r="AS82" s="15"/>
      <c r="AT82" s="18"/>
      <c r="AU82" s="18"/>
      <c r="AV82" s="15" t="s">
        <v>4769</v>
      </c>
      <c r="AW82" s="15" t="s">
        <v>4770</v>
      </c>
      <c r="AX82" s="18"/>
      <c r="AY82" s="15" t="s">
        <v>4771</v>
      </c>
      <c r="AZ82" s="15" t="s">
        <v>4044</v>
      </c>
      <c r="BA82" s="15" t="s">
        <v>2870</v>
      </c>
      <c r="BB82" s="15" t="s">
        <v>2807</v>
      </c>
      <c r="BC82" s="15" t="s">
        <v>4772</v>
      </c>
      <c r="BD82" s="15" t="s">
        <v>2807</v>
      </c>
      <c r="BE82" s="15" t="s">
        <v>4773</v>
      </c>
      <c r="BF82" s="18"/>
      <c r="BG82" s="18"/>
      <c r="BH82" s="18"/>
      <c r="BI82" s="15" t="s">
        <v>4774</v>
      </c>
      <c r="BJ82" s="19" t="s">
        <v>4775</v>
      </c>
      <c r="BK82" s="19" t="s">
        <v>4776</v>
      </c>
      <c r="BL82" s="18"/>
      <c r="BM82" s="18"/>
      <c r="BN82" s="19" t="s">
        <v>4777</v>
      </c>
      <c r="BO82" s="19" t="s">
        <v>4778</v>
      </c>
      <c r="BP82" s="19" t="s">
        <v>4779</v>
      </c>
      <c r="BQ82" s="15" t="s">
        <v>228</v>
      </c>
      <c r="BR82" s="26"/>
      <c r="BS82" s="26"/>
      <c r="BT82" s="26"/>
      <c r="BU82" s="26"/>
      <c r="BV82" s="26"/>
      <c r="BW82" s="26"/>
      <c r="BX82" s="26"/>
      <c r="BY82" s="18" t="str">
        <f t="shared" si="60"/>
        <v>CIVIL</v>
      </c>
      <c r="BZ82" s="18" t="str">
        <f t="shared" ref="BZ82:CA82" si="83">IF(ISBLANK(BU82), BL82, BU82)</f>
        <v/>
      </c>
      <c r="CA82" s="18" t="str">
        <f t="shared" si="83"/>
        <v/>
      </c>
      <c r="CB82" s="15" t="s">
        <v>2908</v>
      </c>
      <c r="CC82" s="15" t="s">
        <v>2908</v>
      </c>
      <c r="CD82" s="25" t="s">
        <v>2787</v>
      </c>
      <c r="CE82" s="18"/>
      <c r="CF82" s="18"/>
      <c r="CG82" s="39"/>
    </row>
    <row r="83" ht="18.75" hidden="1" customHeight="1">
      <c r="A83" s="14">
        <v>44736.50149834491</v>
      </c>
      <c r="B83" s="15" t="s">
        <v>4780</v>
      </c>
      <c r="C83" s="16" t="s">
        <v>4781</v>
      </c>
      <c r="D83" s="15" t="str">
        <f>IFERROR(__xludf.DUMMYFUNCTION("QUERY(TY_ALL_2023_Batch!$A$1:$E$824, ""SELECT E WHERE C='""&amp;B83&amp;""'"", 0)"),"#N/A")</f>
        <v>#N/A</v>
      </c>
      <c r="E83" s="15" t="s">
        <v>4782</v>
      </c>
      <c r="F83" s="15" t="s">
        <v>2939</v>
      </c>
      <c r="G83" s="15" t="s">
        <v>4783</v>
      </c>
      <c r="H83" s="15" t="s">
        <v>2785</v>
      </c>
      <c r="I83" s="17">
        <v>37323.0</v>
      </c>
      <c r="J83" s="15">
        <v>2020.0</v>
      </c>
      <c r="K83" s="15" t="s">
        <v>2941</v>
      </c>
      <c r="L83" s="15" t="s">
        <v>2787</v>
      </c>
      <c r="M83" s="18"/>
      <c r="N83" s="15" t="s">
        <v>1161</v>
      </c>
      <c r="O83" s="15" t="s">
        <v>4780</v>
      </c>
      <c r="P83" s="19" t="s">
        <v>4784</v>
      </c>
      <c r="Q83" s="15">
        <v>7.028084601E9</v>
      </c>
      <c r="R83" s="15">
        <v>7.028084601E9</v>
      </c>
      <c r="S83" s="15">
        <v>8.605239303E9</v>
      </c>
      <c r="T83" s="15" t="s">
        <v>4785</v>
      </c>
      <c r="U83" s="15" t="s">
        <v>4786</v>
      </c>
      <c r="V83" s="15" t="s">
        <v>4787</v>
      </c>
      <c r="W83" s="15" t="s">
        <v>4788</v>
      </c>
      <c r="X83" s="15">
        <v>89.2</v>
      </c>
      <c r="Y83" s="15" t="s">
        <v>2948</v>
      </c>
      <c r="Z83" s="15">
        <v>7.48</v>
      </c>
      <c r="AA83" s="15">
        <v>7.41</v>
      </c>
      <c r="AB83" s="15" t="s">
        <v>2796</v>
      </c>
      <c r="AC83" s="15" t="s">
        <v>2796</v>
      </c>
      <c r="AD83" s="15" t="s">
        <v>2796</v>
      </c>
      <c r="AE83" s="15" t="s">
        <v>2796</v>
      </c>
      <c r="AF83" s="18"/>
      <c r="AG83" s="18"/>
      <c r="AH83" s="18"/>
      <c r="AI83" s="15">
        <v>91.63</v>
      </c>
      <c r="AJ83" s="15" t="s">
        <v>2787</v>
      </c>
      <c r="AK83" s="15" t="s">
        <v>2787</v>
      </c>
      <c r="AL83" s="18"/>
      <c r="AM83" s="18"/>
      <c r="AN83" s="15" t="s">
        <v>2797</v>
      </c>
      <c r="AO83" s="15" t="s">
        <v>2796</v>
      </c>
      <c r="AP83" s="15" t="s">
        <v>2796</v>
      </c>
      <c r="AQ83" s="15" t="s">
        <v>4789</v>
      </c>
      <c r="AR83" s="15" t="s">
        <v>4790</v>
      </c>
      <c r="AS83" s="15" t="s">
        <v>4791</v>
      </c>
      <c r="AT83" s="15" t="s">
        <v>2796</v>
      </c>
      <c r="AU83" s="15" t="s">
        <v>2796</v>
      </c>
      <c r="AV83" s="15" t="s">
        <v>4792</v>
      </c>
      <c r="AW83" s="15" t="s">
        <v>4793</v>
      </c>
      <c r="AX83" s="15" t="s">
        <v>2796</v>
      </c>
      <c r="AY83" s="15" t="s">
        <v>4794</v>
      </c>
      <c r="AZ83" s="15" t="s">
        <v>4216</v>
      </c>
      <c r="BA83" s="15" t="s">
        <v>2870</v>
      </c>
      <c r="BB83" s="15" t="s">
        <v>2807</v>
      </c>
      <c r="BC83" s="15" t="s">
        <v>4795</v>
      </c>
      <c r="BD83" s="15" t="s">
        <v>2807</v>
      </c>
      <c r="BE83" s="15" t="s">
        <v>2796</v>
      </c>
      <c r="BF83" s="18"/>
      <c r="BG83" s="18"/>
      <c r="BH83" s="18"/>
      <c r="BI83" s="18"/>
      <c r="BJ83" s="19" t="s">
        <v>4796</v>
      </c>
      <c r="BK83" s="19" t="s">
        <v>4797</v>
      </c>
      <c r="BL83" s="19" t="s">
        <v>4798</v>
      </c>
      <c r="BM83" s="19" t="s">
        <v>4799</v>
      </c>
      <c r="BN83" s="15"/>
      <c r="BO83" s="19" t="s">
        <v>4800</v>
      </c>
      <c r="BP83" s="19" t="s">
        <v>4801</v>
      </c>
      <c r="BQ83" s="15" t="s">
        <v>228</v>
      </c>
      <c r="BR83" s="26"/>
      <c r="BS83" s="26"/>
      <c r="BT83" s="26"/>
      <c r="BU83" s="26"/>
      <c r="BV83" s="26"/>
      <c r="BW83" s="26"/>
      <c r="BX83" s="26"/>
      <c r="BY83" s="18" t="str">
        <f t="shared" si="60"/>
        <v>CIVIL</v>
      </c>
      <c r="BZ83" s="24" t="str">
        <f t="shared" ref="BZ83:CA83" si="84">IF(ISBLANK(BU83), BL83, BU83)</f>
        <v>https://drive.google.com/open?id=1MmaoRtSP_OlOpQYS9z0t04N0FRxM-5w4</v>
      </c>
      <c r="CA83" s="24" t="str">
        <f t="shared" si="84"/>
        <v>https://drive.google.com/open?id=1-V0QqRuaYao2dt5wdDuawoRUAFQV3-oa</v>
      </c>
      <c r="CB83" s="15" t="s">
        <v>2908</v>
      </c>
      <c r="CC83" s="15" t="s">
        <v>2821</v>
      </c>
      <c r="CD83" s="25" t="s">
        <v>2797</v>
      </c>
      <c r="CE83" s="18"/>
      <c r="CF83" s="18"/>
      <c r="CG83" s="18"/>
    </row>
    <row r="84" ht="18.75" hidden="1" customHeight="1">
      <c r="A84" s="14">
        <v>44741.9440469213</v>
      </c>
      <c r="B84" s="15" t="s">
        <v>4802</v>
      </c>
      <c r="C84" s="16" t="s">
        <v>4803</v>
      </c>
      <c r="D84" s="15" t="str">
        <f>IFERROR(__xludf.DUMMYFUNCTION("QUERY(TY_ALL_2023_Batch!$A$1:$E$824, ""SELECT E WHERE C='""&amp;B84&amp;""'"", 0)"),"#N/A")</f>
        <v>#N/A</v>
      </c>
      <c r="E84" s="15" t="s">
        <v>4804</v>
      </c>
      <c r="F84" s="15" t="s">
        <v>4805</v>
      </c>
      <c r="G84" s="15" t="s">
        <v>4806</v>
      </c>
      <c r="H84" s="15" t="s">
        <v>2785</v>
      </c>
      <c r="I84" s="17">
        <v>37231.0</v>
      </c>
      <c r="J84" s="15">
        <v>2020.0</v>
      </c>
      <c r="K84" s="15" t="s">
        <v>2941</v>
      </c>
      <c r="L84" s="15" t="s">
        <v>2787</v>
      </c>
      <c r="M84" s="18"/>
      <c r="N84" s="15" t="s">
        <v>1125</v>
      </c>
      <c r="O84" s="15" t="s">
        <v>4807</v>
      </c>
      <c r="P84" s="19" t="s">
        <v>4808</v>
      </c>
      <c r="Q84" s="15">
        <v>8.78883412E9</v>
      </c>
      <c r="R84" s="15">
        <v>8.78883412E9</v>
      </c>
      <c r="S84" s="15">
        <v>9.922937521E9</v>
      </c>
      <c r="T84" s="15" t="s">
        <v>4809</v>
      </c>
      <c r="U84" s="15" t="s">
        <v>4810</v>
      </c>
      <c r="V84" s="15" t="s">
        <v>4811</v>
      </c>
      <c r="W84" s="15" t="s">
        <v>4812</v>
      </c>
      <c r="X84" s="15">
        <v>87.0</v>
      </c>
      <c r="Y84" s="15" t="s">
        <v>2948</v>
      </c>
      <c r="Z84" s="15">
        <v>9.29</v>
      </c>
      <c r="AA84" s="15">
        <v>9.14</v>
      </c>
      <c r="AB84" s="15" t="s">
        <v>2796</v>
      </c>
      <c r="AC84" s="15" t="s">
        <v>2796</v>
      </c>
      <c r="AD84" s="15" t="s">
        <v>2796</v>
      </c>
      <c r="AE84" s="15" t="s">
        <v>2796</v>
      </c>
      <c r="AF84" s="18"/>
      <c r="AG84" s="18"/>
      <c r="AH84" s="18"/>
      <c r="AI84" s="15">
        <v>95.42</v>
      </c>
      <c r="AJ84" s="15" t="s">
        <v>2787</v>
      </c>
      <c r="AK84" s="15" t="s">
        <v>2787</v>
      </c>
      <c r="AL84" s="15">
        <v>476.66</v>
      </c>
      <c r="AM84" s="15">
        <v>505.0</v>
      </c>
      <c r="AN84" s="15" t="s">
        <v>2797</v>
      </c>
      <c r="AO84" s="18"/>
      <c r="AP84" s="18"/>
      <c r="AQ84" s="15" t="s">
        <v>4813</v>
      </c>
      <c r="AR84" s="18"/>
      <c r="AS84" s="15" t="s">
        <v>4814</v>
      </c>
      <c r="AT84" s="18"/>
      <c r="AU84" s="15" t="s">
        <v>2796</v>
      </c>
      <c r="AV84" s="15" t="s">
        <v>4815</v>
      </c>
      <c r="AW84" s="15" t="s">
        <v>4816</v>
      </c>
      <c r="AX84" s="15" t="s">
        <v>2796</v>
      </c>
      <c r="AY84" s="15" t="s">
        <v>4817</v>
      </c>
      <c r="AZ84" s="15" t="s">
        <v>4216</v>
      </c>
      <c r="BA84" s="15" t="s">
        <v>2899</v>
      </c>
      <c r="BB84" s="15" t="s">
        <v>2807</v>
      </c>
      <c r="BC84" s="15" t="s">
        <v>4818</v>
      </c>
      <c r="BD84" s="15" t="s">
        <v>2807</v>
      </c>
      <c r="BE84" s="15" t="s">
        <v>4819</v>
      </c>
      <c r="BF84" s="15" t="s">
        <v>4820</v>
      </c>
      <c r="BG84" s="18"/>
      <c r="BH84" s="15" t="s">
        <v>4821</v>
      </c>
      <c r="BI84" s="15" t="s">
        <v>4822</v>
      </c>
      <c r="BJ84" s="19" t="s">
        <v>4823</v>
      </c>
      <c r="BK84" s="19" t="s">
        <v>4824</v>
      </c>
      <c r="BL84" s="19" t="s">
        <v>4825</v>
      </c>
      <c r="BM84" s="19" t="s">
        <v>4826</v>
      </c>
      <c r="BN84" s="19" t="s">
        <v>4827</v>
      </c>
      <c r="BO84" s="19" t="s">
        <v>4828</v>
      </c>
      <c r="BP84" s="19" t="s">
        <v>4829</v>
      </c>
      <c r="BQ84" s="15" t="s">
        <v>228</v>
      </c>
      <c r="BR84" s="26"/>
      <c r="BS84" s="26"/>
      <c r="BT84" s="19" t="s">
        <v>4830</v>
      </c>
      <c r="BU84" s="19" t="s">
        <v>4831</v>
      </c>
      <c r="BV84" s="19" t="s">
        <v>4832</v>
      </c>
      <c r="BW84" s="15" t="s">
        <v>4833</v>
      </c>
      <c r="BX84" s="26"/>
      <c r="BY84" s="18" t="str">
        <f t="shared" si="60"/>
        <v>CIVIL</v>
      </c>
      <c r="BZ84" s="24" t="str">
        <f t="shared" ref="BZ84:CA84" si="85">IF(ISBLANK(BU84), BL84, BU84)</f>
        <v>https://drive.google.com/open?id=1EiOI6qeYt9ljQL0AbvV5a-BCJb3w-YQK</v>
      </c>
      <c r="CA84" s="24" t="str">
        <f t="shared" si="85"/>
        <v>https://drive.google.com/open?id=1KhYO1Nshg_YqEYMT0g0V83GCqB5dN6-M</v>
      </c>
      <c r="CB84" s="15" t="s">
        <v>2821</v>
      </c>
      <c r="CC84" s="15" t="s">
        <v>2821</v>
      </c>
      <c r="CD84" s="25" t="s">
        <v>2909</v>
      </c>
      <c r="CE84" s="18"/>
      <c r="CF84" s="18"/>
      <c r="CG84" s="18"/>
    </row>
    <row r="85" ht="18.75" hidden="1" customHeight="1">
      <c r="A85" s="14">
        <v>44735.819022870375</v>
      </c>
      <c r="B85" s="15" t="s">
        <v>4834</v>
      </c>
      <c r="C85" s="16" t="s">
        <v>4835</v>
      </c>
      <c r="D85" s="15" t="str">
        <f>IFERROR(__xludf.DUMMYFUNCTION("QUERY(TY_ALL_2023_Batch!$A$1:$E$824, ""SELECT E WHERE C='""&amp;B85&amp;""'"", 0)"),"#N/A")</f>
        <v>#N/A</v>
      </c>
      <c r="E85" s="15" t="s">
        <v>4836</v>
      </c>
      <c r="F85" s="15" t="s">
        <v>2939</v>
      </c>
      <c r="G85" s="15" t="s">
        <v>4837</v>
      </c>
      <c r="H85" s="15" t="s">
        <v>2826</v>
      </c>
      <c r="I85" s="17">
        <v>37221.0</v>
      </c>
      <c r="J85" s="15">
        <v>2020.0</v>
      </c>
      <c r="K85" s="15" t="s">
        <v>2941</v>
      </c>
      <c r="L85" s="15" t="s">
        <v>2787</v>
      </c>
      <c r="M85" s="18"/>
      <c r="N85" s="15" t="s">
        <v>1155</v>
      </c>
      <c r="O85" s="15" t="s">
        <v>4834</v>
      </c>
      <c r="P85" s="19" t="s">
        <v>4838</v>
      </c>
      <c r="Q85" s="15">
        <v>9.373070116E9</v>
      </c>
      <c r="R85" s="15">
        <v>9.373070116E9</v>
      </c>
      <c r="S85" s="15">
        <v>9.881600682E9</v>
      </c>
      <c r="T85" s="15" t="s">
        <v>4839</v>
      </c>
      <c r="U85" s="15" t="s">
        <v>4840</v>
      </c>
      <c r="V85" s="15" t="s">
        <v>4841</v>
      </c>
      <c r="W85" s="15" t="s">
        <v>4841</v>
      </c>
      <c r="X85" s="15">
        <v>77.0</v>
      </c>
      <c r="Y85" s="15" t="s">
        <v>2948</v>
      </c>
      <c r="Z85" s="15">
        <v>8.24</v>
      </c>
      <c r="AA85" s="15">
        <v>8.83</v>
      </c>
      <c r="AB85" s="15" t="s">
        <v>2796</v>
      </c>
      <c r="AC85" s="15" t="s">
        <v>2796</v>
      </c>
      <c r="AD85" s="15" t="s">
        <v>2796</v>
      </c>
      <c r="AE85" s="15" t="s">
        <v>2796</v>
      </c>
      <c r="AF85" s="18"/>
      <c r="AG85" s="18"/>
      <c r="AH85" s="18"/>
      <c r="AI85" s="15">
        <v>89.0</v>
      </c>
      <c r="AJ85" s="15" t="s">
        <v>2787</v>
      </c>
      <c r="AK85" s="15" t="s">
        <v>2787</v>
      </c>
      <c r="AL85" s="15"/>
      <c r="AM85" s="15"/>
      <c r="AN85" s="15" t="s">
        <v>2797</v>
      </c>
      <c r="AO85" s="15" t="s">
        <v>2796</v>
      </c>
      <c r="AP85" s="15" t="s">
        <v>2796</v>
      </c>
      <c r="AQ85" s="15" t="s">
        <v>4842</v>
      </c>
      <c r="AR85" s="18"/>
      <c r="AS85" s="15" t="s">
        <v>4843</v>
      </c>
      <c r="AT85" s="15" t="s">
        <v>2796</v>
      </c>
      <c r="AU85" s="15" t="s">
        <v>2796</v>
      </c>
      <c r="AV85" s="15" t="s">
        <v>4844</v>
      </c>
      <c r="AW85" s="15" t="s">
        <v>4845</v>
      </c>
      <c r="AX85" s="15" t="s">
        <v>2796</v>
      </c>
      <c r="AY85" s="15" t="s">
        <v>4846</v>
      </c>
      <c r="AZ85" s="15" t="s">
        <v>4216</v>
      </c>
      <c r="BA85" s="15" t="s">
        <v>2870</v>
      </c>
      <c r="BB85" s="15" t="s">
        <v>2807</v>
      </c>
      <c r="BC85" s="15" t="s">
        <v>3686</v>
      </c>
      <c r="BD85" s="15" t="s">
        <v>2807</v>
      </c>
      <c r="BE85" s="15" t="s">
        <v>2796</v>
      </c>
      <c r="BF85" s="15" t="s">
        <v>2796</v>
      </c>
      <c r="BG85" s="15" t="s">
        <v>2796</v>
      </c>
      <c r="BH85" s="15" t="s">
        <v>2796</v>
      </c>
      <c r="BI85" s="15" t="s">
        <v>4847</v>
      </c>
      <c r="BJ85" s="19" t="s">
        <v>4848</v>
      </c>
      <c r="BK85" s="19" t="s">
        <v>4849</v>
      </c>
      <c r="BL85" s="18"/>
      <c r="BM85" s="18"/>
      <c r="BN85" s="19" t="s">
        <v>4850</v>
      </c>
      <c r="BO85" s="19" t="s">
        <v>4851</v>
      </c>
      <c r="BP85" s="19" t="s">
        <v>4852</v>
      </c>
      <c r="BQ85" s="15" t="s">
        <v>228</v>
      </c>
      <c r="BR85" s="26"/>
      <c r="BS85" s="26"/>
      <c r="BT85" s="26"/>
      <c r="BU85" s="26"/>
      <c r="BV85" s="26"/>
      <c r="BW85" s="26"/>
      <c r="BX85" s="26"/>
      <c r="BY85" s="18" t="str">
        <f t="shared" si="60"/>
        <v>CIVIL</v>
      </c>
      <c r="BZ85" s="18" t="str">
        <f t="shared" ref="BZ85:CA85" si="86">IF(ISBLANK(BU85), BL85, BU85)</f>
        <v/>
      </c>
      <c r="CA85" s="18" t="str">
        <f t="shared" si="86"/>
        <v/>
      </c>
      <c r="CB85" s="15" t="s">
        <v>2908</v>
      </c>
      <c r="CC85" s="15" t="s">
        <v>2908</v>
      </c>
      <c r="CD85" s="25" t="s">
        <v>2797</v>
      </c>
      <c r="CE85" s="18"/>
      <c r="CF85" s="18"/>
      <c r="CG85" s="18"/>
    </row>
    <row r="86" ht="18.75" hidden="1" customHeight="1">
      <c r="A86" s="14">
        <v>44735.83562875</v>
      </c>
      <c r="B86" s="15" t="s">
        <v>4853</v>
      </c>
      <c r="C86" s="16" t="s">
        <v>4854</v>
      </c>
      <c r="D86" s="15" t="str">
        <f>IFERROR(__xludf.DUMMYFUNCTION("QUERY(TY_ALL_2023_Batch!$A$1:$E$824, ""SELECT E WHERE C='""&amp;B86&amp;""'"", 0)"),"#N/A")</f>
        <v>#N/A</v>
      </c>
      <c r="E86" s="15" t="s">
        <v>4855</v>
      </c>
      <c r="F86" s="15" t="s">
        <v>4856</v>
      </c>
      <c r="G86" s="15" t="s">
        <v>4857</v>
      </c>
      <c r="H86" s="15" t="s">
        <v>2785</v>
      </c>
      <c r="I86" s="17">
        <v>37182.0</v>
      </c>
      <c r="J86" s="15">
        <v>2020.0</v>
      </c>
      <c r="K86" s="15" t="s">
        <v>2941</v>
      </c>
      <c r="L86" s="15" t="s">
        <v>2787</v>
      </c>
      <c r="M86" s="18"/>
      <c r="N86" s="15" t="s">
        <v>1122</v>
      </c>
      <c r="O86" s="15" t="s">
        <v>4853</v>
      </c>
      <c r="P86" s="19" t="s">
        <v>4858</v>
      </c>
      <c r="Q86" s="15">
        <v>7.006238755E9</v>
      </c>
      <c r="R86" s="15">
        <v>7.006238755E9</v>
      </c>
      <c r="S86" s="15">
        <v>9.906140572E9</v>
      </c>
      <c r="T86" s="15" t="s">
        <v>4859</v>
      </c>
      <c r="U86" s="15" t="s">
        <v>4860</v>
      </c>
      <c r="V86" s="15" t="s">
        <v>4861</v>
      </c>
      <c r="W86" s="15" t="s">
        <v>3104</v>
      </c>
      <c r="X86" s="15">
        <v>88.9</v>
      </c>
      <c r="Y86" s="15" t="s">
        <v>2948</v>
      </c>
      <c r="Z86" s="15">
        <v>7.48</v>
      </c>
      <c r="AA86" s="15">
        <v>7.67</v>
      </c>
      <c r="AB86" s="15">
        <v>7.48</v>
      </c>
      <c r="AC86" s="15" t="s">
        <v>2796</v>
      </c>
      <c r="AD86" s="15" t="s">
        <v>2796</v>
      </c>
      <c r="AE86" s="15" t="s">
        <v>2796</v>
      </c>
      <c r="AF86" s="18"/>
      <c r="AG86" s="18"/>
      <c r="AH86" s="18"/>
      <c r="AI86" s="15">
        <v>74.9</v>
      </c>
      <c r="AJ86" s="15" t="s">
        <v>2787</v>
      </c>
      <c r="AK86" s="15" t="s">
        <v>2787</v>
      </c>
      <c r="AL86" s="15">
        <v>97.0</v>
      </c>
      <c r="AM86" s="15">
        <v>97.0</v>
      </c>
      <c r="AN86" s="15" t="s">
        <v>2797</v>
      </c>
      <c r="AO86" s="18"/>
      <c r="AP86" s="18"/>
      <c r="AQ86" s="15" t="s">
        <v>4862</v>
      </c>
      <c r="AR86" s="15" t="s">
        <v>4863</v>
      </c>
      <c r="AS86" s="15" t="s">
        <v>2870</v>
      </c>
      <c r="AT86" s="18"/>
      <c r="AU86" s="18"/>
      <c r="AV86" s="15" t="s">
        <v>4864</v>
      </c>
      <c r="AW86" s="15" t="s">
        <v>4865</v>
      </c>
      <c r="AX86" s="15" t="s">
        <v>4866</v>
      </c>
      <c r="AY86" s="15" t="s">
        <v>4867</v>
      </c>
      <c r="AZ86" s="15" t="s">
        <v>4084</v>
      </c>
      <c r="BA86" s="15" t="s">
        <v>2870</v>
      </c>
      <c r="BB86" s="15" t="s">
        <v>2807</v>
      </c>
      <c r="BC86" s="15" t="s">
        <v>3686</v>
      </c>
      <c r="BD86" s="15" t="s">
        <v>4868</v>
      </c>
      <c r="BE86" s="15" t="s">
        <v>2796</v>
      </c>
      <c r="BF86" s="18"/>
      <c r="BG86" s="15" t="s">
        <v>4869</v>
      </c>
      <c r="BH86" s="15" t="s">
        <v>4870</v>
      </c>
      <c r="BI86" s="15" t="s">
        <v>4871</v>
      </c>
      <c r="BJ86" s="19" t="s">
        <v>4872</v>
      </c>
      <c r="BK86" s="19" t="s">
        <v>4873</v>
      </c>
      <c r="BL86" s="19" t="s">
        <v>4874</v>
      </c>
      <c r="BM86" s="19" t="s">
        <v>4875</v>
      </c>
      <c r="BN86" s="19" t="s">
        <v>4876</v>
      </c>
      <c r="BO86" s="19" t="s">
        <v>4877</v>
      </c>
      <c r="BP86" s="19" t="s">
        <v>4878</v>
      </c>
      <c r="BQ86" s="15" t="s">
        <v>228</v>
      </c>
      <c r="BR86" s="26"/>
      <c r="BS86" s="26"/>
      <c r="BT86" s="26"/>
      <c r="BU86" s="26"/>
      <c r="BV86" s="26"/>
      <c r="BW86" s="26"/>
      <c r="BX86" s="26"/>
      <c r="BY86" s="18" t="str">
        <f t="shared" si="60"/>
        <v>CIVIL</v>
      </c>
      <c r="BZ86" s="24" t="str">
        <f t="shared" ref="BZ86:CA86" si="87">IF(ISBLANK(BU86), BL86, BU86)</f>
        <v>https://drive.google.com/open?id=1tL7pU8JH8twAr3OaFfaLCs7YahQbMuPh</v>
      </c>
      <c r="CA86" s="24" t="str">
        <f t="shared" si="87"/>
        <v>https://drive.google.com/open?id=1o4Zu9lirZtQoBxnh99Xk1b2A3LYaWle5</v>
      </c>
      <c r="CB86" s="15" t="s">
        <v>2908</v>
      </c>
      <c r="CC86" s="15" t="s">
        <v>2821</v>
      </c>
      <c r="CD86" s="25" t="s">
        <v>2797</v>
      </c>
      <c r="CE86" s="18"/>
      <c r="CF86" s="18"/>
      <c r="CG86" s="18"/>
    </row>
    <row r="87" ht="18.75" hidden="1" customHeight="1">
      <c r="A87" s="14">
        <v>44742.825307962965</v>
      </c>
      <c r="B87" s="15" t="s">
        <v>4879</v>
      </c>
      <c r="C87" s="16" t="s">
        <v>4880</v>
      </c>
      <c r="D87" s="15" t="str">
        <f>IFERROR(__xludf.DUMMYFUNCTION("QUERY(TY_ALL_2023_Batch!$A$1:$E$824, ""SELECT E WHERE C='""&amp;B87&amp;""'"", 0)"),"#N/A")</f>
        <v>#N/A</v>
      </c>
      <c r="E87" s="15" t="s">
        <v>4881</v>
      </c>
      <c r="F87" s="15" t="s">
        <v>4882</v>
      </c>
      <c r="G87" s="15" t="s">
        <v>4883</v>
      </c>
      <c r="H87" s="15" t="s">
        <v>2826</v>
      </c>
      <c r="I87" s="17">
        <v>37366.0</v>
      </c>
      <c r="J87" s="15">
        <v>2020.0</v>
      </c>
      <c r="K87" s="15" t="s">
        <v>2941</v>
      </c>
      <c r="L87" s="15" t="s">
        <v>2787</v>
      </c>
      <c r="M87" s="18"/>
      <c r="N87" s="15" t="s">
        <v>1149</v>
      </c>
      <c r="O87" s="15" t="s">
        <v>4884</v>
      </c>
      <c r="P87" s="19" t="s">
        <v>4885</v>
      </c>
      <c r="Q87" s="15">
        <v>8.329341709E9</v>
      </c>
      <c r="R87" s="15">
        <v>8.329341709E9</v>
      </c>
      <c r="S87" s="18"/>
      <c r="T87" s="15" t="s">
        <v>4882</v>
      </c>
      <c r="U87" s="15" t="s">
        <v>4717</v>
      </c>
      <c r="V87" s="15" t="s">
        <v>4886</v>
      </c>
      <c r="W87" s="15" t="s">
        <v>4887</v>
      </c>
      <c r="X87" s="15">
        <v>86.2</v>
      </c>
      <c r="Y87" s="15" t="s">
        <v>2948</v>
      </c>
      <c r="Z87" s="15">
        <v>8.71</v>
      </c>
      <c r="AA87" s="15">
        <v>8.8</v>
      </c>
      <c r="AB87" s="15" t="s">
        <v>2796</v>
      </c>
      <c r="AC87" s="15" t="s">
        <v>2796</v>
      </c>
      <c r="AD87" s="15" t="s">
        <v>2796</v>
      </c>
      <c r="AE87" s="15" t="s">
        <v>2796</v>
      </c>
      <c r="AF87" s="18"/>
      <c r="AG87" s="18"/>
      <c r="AH87" s="18"/>
      <c r="AI87" s="15">
        <v>90.93</v>
      </c>
      <c r="AJ87" s="15" t="s">
        <v>2787</v>
      </c>
      <c r="AK87" s="15" t="s">
        <v>2787</v>
      </c>
      <c r="AL87" s="15">
        <v>628.33</v>
      </c>
      <c r="AM87" s="15">
        <v>361.66</v>
      </c>
      <c r="AN87" s="15" t="s">
        <v>2797</v>
      </c>
      <c r="AO87" s="15" t="s">
        <v>2796</v>
      </c>
      <c r="AP87" s="15" t="s">
        <v>2796</v>
      </c>
      <c r="AQ87" s="15" t="s">
        <v>4888</v>
      </c>
      <c r="AR87" s="18"/>
      <c r="AS87" s="15"/>
      <c r="AT87" s="18"/>
      <c r="AU87" s="18"/>
      <c r="AV87" s="15" t="s">
        <v>4889</v>
      </c>
      <c r="AW87" s="15" t="s">
        <v>4890</v>
      </c>
      <c r="AX87" s="18"/>
      <c r="AY87" s="15" t="s">
        <v>4891</v>
      </c>
      <c r="AZ87" s="15" t="s">
        <v>4216</v>
      </c>
      <c r="BA87" s="15" t="s">
        <v>2899</v>
      </c>
      <c r="BB87" s="15" t="s">
        <v>2807</v>
      </c>
      <c r="BC87" s="15" t="s">
        <v>4892</v>
      </c>
      <c r="BD87" s="15" t="s">
        <v>2807</v>
      </c>
      <c r="BE87" s="15" t="s">
        <v>2796</v>
      </c>
      <c r="BF87" s="18"/>
      <c r="BG87" s="18"/>
      <c r="BH87" s="18"/>
      <c r="BI87" s="15" t="s">
        <v>4893</v>
      </c>
      <c r="BJ87" s="19" t="s">
        <v>4894</v>
      </c>
      <c r="BK87" s="19" t="s">
        <v>4895</v>
      </c>
      <c r="BL87" s="20" t="s">
        <v>4896</v>
      </c>
      <c r="BM87" s="20" t="s">
        <v>4897</v>
      </c>
      <c r="BN87" s="19" t="s">
        <v>4898</v>
      </c>
      <c r="BO87" s="19" t="s">
        <v>4899</v>
      </c>
      <c r="BP87" s="19" t="s">
        <v>4900</v>
      </c>
      <c r="BQ87" s="15" t="s">
        <v>228</v>
      </c>
      <c r="BR87" s="19" t="s">
        <v>4901</v>
      </c>
      <c r="BS87" s="26"/>
      <c r="BT87" s="26"/>
      <c r="BU87" s="26"/>
      <c r="BV87" s="26"/>
      <c r="BW87" s="15" t="s">
        <v>4902</v>
      </c>
      <c r="BX87" s="26"/>
      <c r="BY87" s="18" t="str">
        <f t="shared" si="60"/>
        <v>CIVIL</v>
      </c>
      <c r="BZ87" s="24" t="str">
        <f t="shared" ref="BZ87:CA87" si="88">IF(ISBLANK(BU87), BL87, BU87)</f>
        <v>https://drive.google.com/open?id=1ehOcmwQG0u9XSANpQFRKHj6qFmlf8Eug</v>
      </c>
      <c r="CA87" s="24" t="str">
        <f t="shared" si="88"/>
        <v>https://drive.google.com/open?id=17U1SbiZXYA9i9kQavg4_rMuuZ-TUy0WW</v>
      </c>
      <c r="CB87" s="15" t="s">
        <v>2821</v>
      </c>
      <c r="CC87" s="15" t="s">
        <v>2821</v>
      </c>
      <c r="CD87" s="25" t="s">
        <v>2797</v>
      </c>
      <c r="CE87" s="18"/>
      <c r="CF87" s="18"/>
      <c r="CG87" s="18"/>
    </row>
    <row r="88" ht="18.75" hidden="1" customHeight="1">
      <c r="A88" s="14">
        <v>44742.83426193287</v>
      </c>
      <c r="B88" s="15" t="s">
        <v>4903</v>
      </c>
      <c r="C88" s="16" t="s">
        <v>4904</v>
      </c>
      <c r="D88" s="15" t="str">
        <f>IFERROR(__xludf.DUMMYFUNCTION("QUERY(TY_ALL_2023_Batch!$A$1:$E$824, ""SELECT E WHERE C='""&amp;B88&amp;""'"", 0)"),"#N/A")</f>
        <v>#N/A</v>
      </c>
      <c r="E88" s="15" t="s">
        <v>4905</v>
      </c>
      <c r="F88" s="15" t="s">
        <v>4906</v>
      </c>
      <c r="G88" s="15" t="s">
        <v>4907</v>
      </c>
      <c r="H88" s="15" t="s">
        <v>2826</v>
      </c>
      <c r="I88" s="17">
        <v>37262.0</v>
      </c>
      <c r="J88" s="15">
        <v>2020.0</v>
      </c>
      <c r="K88" s="15" t="s">
        <v>2941</v>
      </c>
      <c r="L88" s="15" t="s">
        <v>2787</v>
      </c>
      <c r="M88" s="18"/>
      <c r="N88" s="15" t="s">
        <v>1131</v>
      </c>
      <c r="O88" s="15" t="s">
        <v>4908</v>
      </c>
      <c r="P88" s="19" t="s">
        <v>4909</v>
      </c>
      <c r="Q88" s="15">
        <v>8.888617893E9</v>
      </c>
      <c r="R88" s="15">
        <v>8.888617893E9</v>
      </c>
      <c r="S88" s="15">
        <v>8.888617893E9</v>
      </c>
      <c r="T88" s="15" t="s">
        <v>4910</v>
      </c>
      <c r="U88" s="15" t="s">
        <v>3503</v>
      </c>
      <c r="V88" s="15" t="s">
        <v>4911</v>
      </c>
      <c r="W88" s="18"/>
      <c r="X88" s="15">
        <v>82.8</v>
      </c>
      <c r="Y88" s="15" t="s">
        <v>2948</v>
      </c>
      <c r="Z88" s="15">
        <v>9.0</v>
      </c>
      <c r="AA88" s="15">
        <v>8.76</v>
      </c>
      <c r="AB88" s="15" t="s">
        <v>2796</v>
      </c>
      <c r="AC88" s="15" t="s">
        <v>2796</v>
      </c>
      <c r="AD88" s="15" t="s">
        <v>2796</v>
      </c>
      <c r="AE88" s="15" t="s">
        <v>2796</v>
      </c>
      <c r="AF88" s="18"/>
      <c r="AG88" s="18"/>
      <c r="AH88" s="18"/>
      <c r="AI88" s="15">
        <v>88.79</v>
      </c>
      <c r="AJ88" s="15" t="s">
        <v>2787</v>
      </c>
      <c r="AK88" s="15" t="s">
        <v>2787</v>
      </c>
      <c r="AL88" s="18"/>
      <c r="AM88" s="15">
        <v>559.0</v>
      </c>
      <c r="AN88" s="15" t="s">
        <v>2797</v>
      </c>
      <c r="AO88" s="15" t="s">
        <v>2796</v>
      </c>
      <c r="AP88" s="15" t="s">
        <v>2796</v>
      </c>
      <c r="AQ88" s="15" t="s">
        <v>4912</v>
      </c>
      <c r="AR88" s="18"/>
      <c r="AS88" s="15"/>
      <c r="AT88" s="18"/>
      <c r="AU88" s="15" t="s">
        <v>4913</v>
      </c>
      <c r="AV88" s="15" t="s">
        <v>4914</v>
      </c>
      <c r="AW88" s="15" t="s">
        <v>4915</v>
      </c>
      <c r="AX88" s="18"/>
      <c r="AY88" s="15" t="s">
        <v>4916</v>
      </c>
      <c r="AZ88" s="15" t="s">
        <v>4216</v>
      </c>
      <c r="BA88" s="15" t="s">
        <v>2870</v>
      </c>
      <c r="BB88" s="15" t="s">
        <v>3109</v>
      </c>
      <c r="BC88" s="15" t="s">
        <v>4917</v>
      </c>
      <c r="BD88" s="15" t="s">
        <v>2842</v>
      </c>
      <c r="BE88" s="15" t="s">
        <v>4918</v>
      </c>
      <c r="BF88" s="18"/>
      <c r="BG88" s="18"/>
      <c r="BH88" s="18"/>
      <c r="BI88" s="15" t="s">
        <v>4919</v>
      </c>
      <c r="BJ88" s="19" t="s">
        <v>4920</v>
      </c>
      <c r="BK88" s="19" t="s">
        <v>4921</v>
      </c>
      <c r="BL88" s="18"/>
      <c r="BM88" s="19" t="s">
        <v>4922</v>
      </c>
      <c r="BN88" s="19" t="s">
        <v>4923</v>
      </c>
      <c r="BO88" s="19" t="s">
        <v>4924</v>
      </c>
      <c r="BP88" s="19" t="s">
        <v>4925</v>
      </c>
      <c r="BQ88" s="15" t="s">
        <v>228</v>
      </c>
      <c r="BR88" s="19" t="s">
        <v>4926</v>
      </c>
      <c r="BS88" s="19" t="s">
        <v>4927</v>
      </c>
      <c r="BT88" s="19" t="s">
        <v>4928</v>
      </c>
      <c r="BU88" s="19" t="s">
        <v>4929</v>
      </c>
      <c r="BV88" s="19" t="s">
        <v>4930</v>
      </c>
      <c r="BW88" s="15" t="s">
        <v>4931</v>
      </c>
      <c r="BX88" s="26"/>
      <c r="BY88" s="18" t="str">
        <f t="shared" si="60"/>
        <v>CIVIL</v>
      </c>
      <c r="BZ88" s="24" t="str">
        <f t="shared" ref="BZ88:CA88" si="89">IF(ISBLANK(BU88), BL88, BU88)</f>
        <v>https://drive.google.com/open?id=11iFcd4ULmjj0IVBBcMPQzY_WGYS0ZRUU</v>
      </c>
      <c r="CA88" s="24" t="str">
        <f t="shared" si="89"/>
        <v>https://drive.google.com/open?id=1lYJuM49PgOWoVgEdSgH7M3HyqURVpmKa</v>
      </c>
      <c r="CB88" s="15" t="s">
        <v>2908</v>
      </c>
      <c r="CC88" s="15" t="s">
        <v>2821</v>
      </c>
      <c r="CD88" s="25" t="s">
        <v>2787</v>
      </c>
      <c r="CE88" s="18"/>
      <c r="CF88" s="18"/>
      <c r="CG88" s="18"/>
    </row>
    <row r="89" ht="18.75" hidden="1" customHeight="1">
      <c r="A89" s="14">
        <v>44736.77672642361</v>
      </c>
      <c r="B89" s="15" t="s">
        <v>4932</v>
      </c>
      <c r="C89" s="16" t="s">
        <v>4933</v>
      </c>
      <c r="D89" s="15" t="str">
        <f>IFERROR(__xludf.DUMMYFUNCTION("QUERY(TY_ALL_2023_Batch!$A$1:$E$824, ""SELECT E WHERE C='""&amp;B89&amp;""'"", 0)"),"#N/A")</f>
        <v>#N/A</v>
      </c>
      <c r="E89" s="15" t="s">
        <v>4934</v>
      </c>
      <c r="F89" s="15" t="s">
        <v>4935</v>
      </c>
      <c r="G89" s="15" t="s">
        <v>4936</v>
      </c>
      <c r="H89" s="15" t="s">
        <v>2826</v>
      </c>
      <c r="I89" s="17">
        <v>36846.0</v>
      </c>
      <c r="J89" s="15">
        <v>2020.0</v>
      </c>
      <c r="K89" s="15" t="s">
        <v>2941</v>
      </c>
      <c r="L89" s="15" t="s">
        <v>2787</v>
      </c>
      <c r="M89" s="18"/>
      <c r="N89" s="15" t="s">
        <v>1170</v>
      </c>
      <c r="O89" s="15" t="s">
        <v>4932</v>
      </c>
      <c r="P89" s="19" t="s">
        <v>4937</v>
      </c>
      <c r="Q89" s="15">
        <v>9.892713484E9</v>
      </c>
      <c r="R89" s="15">
        <v>9.892713484E9</v>
      </c>
      <c r="S89" s="15">
        <v>7.666242253E9</v>
      </c>
      <c r="T89" s="15" t="s">
        <v>4938</v>
      </c>
      <c r="U89" s="15" t="s">
        <v>4939</v>
      </c>
      <c r="V89" s="15" t="s">
        <v>4940</v>
      </c>
      <c r="W89" s="18"/>
      <c r="X89" s="15">
        <v>65.8</v>
      </c>
      <c r="Y89" s="15" t="s">
        <v>2948</v>
      </c>
      <c r="Z89" s="15">
        <v>8.52</v>
      </c>
      <c r="AA89" s="15">
        <v>8.33</v>
      </c>
      <c r="AB89" s="15" t="s">
        <v>2796</v>
      </c>
      <c r="AC89" s="15" t="s">
        <v>2796</v>
      </c>
      <c r="AD89" s="15" t="s">
        <v>2796</v>
      </c>
      <c r="AE89" s="15" t="s">
        <v>2796</v>
      </c>
      <c r="AF89" s="18"/>
      <c r="AG89" s="18"/>
      <c r="AH89" s="18"/>
      <c r="AI89" s="15">
        <v>91.53</v>
      </c>
      <c r="AJ89" s="15" t="s">
        <v>2787</v>
      </c>
      <c r="AK89" s="15" t="s">
        <v>2787</v>
      </c>
      <c r="AL89" s="15">
        <v>661.66</v>
      </c>
      <c r="AM89" s="18"/>
      <c r="AN89" s="15" t="s">
        <v>2797</v>
      </c>
      <c r="AO89" s="18"/>
      <c r="AP89" s="18"/>
      <c r="AQ89" s="15" t="s">
        <v>4941</v>
      </c>
      <c r="AR89" s="18"/>
      <c r="AS89" s="15" t="s">
        <v>4942</v>
      </c>
      <c r="AT89" s="18"/>
      <c r="AU89" s="18"/>
      <c r="AV89" s="15" t="s">
        <v>4943</v>
      </c>
      <c r="AW89" s="15" t="s">
        <v>4944</v>
      </c>
      <c r="AX89" s="18"/>
      <c r="AY89" s="15" t="s">
        <v>4945</v>
      </c>
      <c r="AZ89" s="15" t="s">
        <v>4216</v>
      </c>
      <c r="BA89" s="15" t="s">
        <v>2870</v>
      </c>
      <c r="BB89" s="15" t="s">
        <v>3109</v>
      </c>
      <c r="BC89" s="15" t="s">
        <v>4333</v>
      </c>
      <c r="BD89" s="15" t="s">
        <v>2807</v>
      </c>
      <c r="BE89" s="15" t="s">
        <v>4946</v>
      </c>
      <c r="BF89" s="18"/>
      <c r="BG89" s="18"/>
      <c r="BH89" s="15" t="s">
        <v>4947</v>
      </c>
      <c r="BI89" s="15" t="s">
        <v>3590</v>
      </c>
      <c r="BJ89" s="19" t="s">
        <v>4948</v>
      </c>
      <c r="BK89" s="19" t="s">
        <v>4949</v>
      </c>
      <c r="BL89" s="18"/>
      <c r="BM89" s="18"/>
      <c r="BN89" s="18"/>
      <c r="BO89" s="19" t="s">
        <v>4950</v>
      </c>
      <c r="BP89" s="19" t="s">
        <v>4951</v>
      </c>
      <c r="BQ89" s="15" t="s">
        <v>228</v>
      </c>
      <c r="BR89" s="26"/>
      <c r="BS89" s="26"/>
      <c r="BT89" s="26"/>
      <c r="BU89" s="26"/>
      <c r="BV89" s="26"/>
      <c r="BW89" s="15" t="s">
        <v>4952</v>
      </c>
      <c r="BX89" s="26"/>
      <c r="BY89" s="18" t="str">
        <f t="shared" si="60"/>
        <v>CIVIL</v>
      </c>
      <c r="BZ89" s="18" t="str">
        <f t="shared" ref="BZ89:CA89" si="90">IF(ISBLANK(BU89), BL89, BU89)</f>
        <v/>
      </c>
      <c r="CA89" s="18" t="str">
        <f t="shared" si="90"/>
        <v/>
      </c>
      <c r="CB89" s="15" t="s">
        <v>2908</v>
      </c>
      <c r="CC89" s="15" t="s">
        <v>2908</v>
      </c>
      <c r="CD89" s="25" t="s">
        <v>2797</v>
      </c>
      <c r="CE89" s="18"/>
      <c r="CF89" s="18"/>
      <c r="CG89" s="18"/>
    </row>
    <row r="90" ht="18.75" hidden="1" customHeight="1">
      <c r="A90" s="14">
        <v>44742.98583637732</v>
      </c>
      <c r="B90" s="15" t="s">
        <v>4953</v>
      </c>
      <c r="C90" s="16" t="s">
        <v>4954</v>
      </c>
      <c r="D90" s="15" t="str">
        <f>IFERROR(__xludf.DUMMYFUNCTION("QUERY(TY_ALL_2023_Batch!$A$1:$E$824, ""SELECT E WHERE C='""&amp;B90&amp;""'"", 0)"),"#N/A")</f>
        <v>#N/A</v>
      </c>
      <c r="E90" s="15" t="s">
        <v>4955</v>
      </c>
      <c r="F90" s="15" t="s">
        <v>2912</v>
      </c>
      <c r="G90" s="15" t="s">
        <v>4956</v>
      </c>
      <c r="H90" s="15" t="s">
        <v>2785</v>
      </c>
      <c r="I90" s="17">
        <v>37323.0</v>
      </c>
      <c r="J90" s="15">
        <v>2020.0</v>
      </c>
      <c r="K90" s="15" t="s">
        <v>2941</v>
      </c>
      <c r="L90" s="15" t="s">
        <v>2787</v>
      </c>
      <c r="M90" s="18"/>
      <c r="N90" s="15" t="s">
        <v>1104</v>
      </c>
      <c r="O90" s="15" t="s">
        <v>4953</v>
      </c>
      <c r="P90" s="19" t="s">
        <v>4957</v>
      </c>
      <c r="Q90" s="15">
        <v>7.057585511E9</v>
      </c>
      <c r="R90" s="15">
        <v>7.057585511E9</v>
      </c>
      <c r="S90" s="15">
        <v>7.057585511E9</v>
      </c>
      <c r="T90" s="15" t="s">
        <v>2912</v>
      </c>
      <c r="U90" s="15" t="s">
        <v>4958</v>
      </c>
      <c r="V90" s="15" t="s">
        <v>4959</v>
      </c>
      <c r="W90" s="18"/>
      <c r="X90" s="15">
        <v>83.2</v>
      </c>
      <c r="Y90" s="15" t="s">
        <v>2948</v>
      </c>
      <c r="Z90" s="15">
        <v>8.64</v>
      </c>
      <c r="AA90" s="15">
        <v>8.64</v>
      </c>
      <c r="AB90" s="15" t="s">
        <v>2796</v>
      </c>
      <c r="AC90" s="15" t="s">
        <v>2796</v>
      </c>
      <c r="AD90" s="15" t="s">
        <v>2796</v>
      </c>
      <c r="AE90" s="15" t="s">
        <v>2796</v>
      </c>
      <c r="AF90" s="18"/>
      <c r="AG90" s="18"/>
      <c r="AH90" s="18"/>
      <c r="AI90" s="15">
        <v>91.75</v>
      </c>
      <c r="AJ90" s="15" t="s">
        <v>2787</v>
      </c>
      <c r="AK90" s="15" t="s">
        <v>2787</v>
      </c>
      <c r="AL90" s="18"/>
      <c r="AM90" s="18"/>
      <c r="AN90" s="15" t="s">
        <v>2797</v>
      </c>
      <c r="AO90" s="18"/>
      <c r="AP90" s="18"/>
      <c r="AQ90" s="15" t="s">
        <v>4960</v>
      </c>
      <c r="AR90" s="18"/>
      <c r="AS90" s="18"/>
      <c r="AT90" s="18"/>
      <c r="AU90" s="18"/>
      <c r="AV90" s="15" t="s">
        <v>4961</v>
      </c>
      <c r="AW90" s="15" t="s">
        <v>4962</v>
      </c>
      <c r="AX90" s="18"/>
      <c r="AY90" s="15" t="s">
        <v>4963</v>
      </c>
      <c r="AZ90" s="15" t="s">
        <v>4216</v>
      </c>
      <c r="BA90" s="15" t="s">
        <v>2870</v>
      </c>
      <c r="BB90" s="15" t="s">
        <v>2807</v>
      </c>
      <c r="BC90" s="15" t="s">
        <v>4964</v>
      </c>
      <c r="BD90" s="15" t="s">
        <v>2807</v>
      </c>
      <c r="BE90" s="15" t="s">
        <v>4965</v>
      </c>
      <c r="BF90" s="15" t="s">
        <v>4966</v>
      </c>
      <c r="BG90" s="18"/>
      <c r="BH90" s="18"/>
      <c r="BI90" s="15" t="s">
        <v>4967</v>
      </c>
      <c r="BJ90" s="19" t="s">
        <v>4968</v>
      </c>
      <c r="BK90" s="19" t="s">
        <v>4969</v>
      </c>
      <c r="BL90" s="19" t="s">
        <v>4970</v>
      </c>
      <c r="BM90" s="19" t="s">
        <v>4971</v>
      </c>
      <c r="BN90" s="19" t="s">
        <v>4972</v>
      </c>
      <c r="BO90" s="19" t="s">
        <v>4973</v>
      </c>
      <c r="BP90" s="19" t="s">
        <v>4974</v>
      </c>
      <c r="BQ90" s="15" t="s">
        <v>228</v>
      </c>
      <c r="BR90" s="26"/>
      <c r="BS90" s="26"/>
      <c r="BT90" s="26"/>
      <c r="BU90" s="26"/>
      <c r="BV90" s="26"/>
      <c r="BW90" s="15" t="s">
        <v>4975</v>
      </c>
      <c r="BX90" s="26"/>
      <c r="BY90" s="18" t="str">
        <f t="shared" si="60"/>
        <v>CIVIL</v>
      </c>
      <c r="BZ90" s="24" t="str">
        <f t="shared" ref="BZ90:CA90" si="91">IF(ISBLANK(BU90), BL90, BU90)</f>
        <v>https://drive.google.com/open?id=1fenwo-8nM_IPAEJo5Fk-UJA0zX5EH4VM</v>
      </c>
      <c r="CA90" s="24" t="str">
        <f t="shared" si="91"/>
        <v>https://drive.google.com/open?id=1R6nnvrzfGiN1CdbTk-iDrrAXeljes_qi</v>
      </c>
      <c r="CB90" s="15" t="s">
        <v>2821</v>
      </c>
      <c r="CC90" s="15" t="s">
        <v>2821</v>
      </c>
      <c r="CD90" s="25" t="s">
        <v>2797</v>
      </c>
      <c r="CE90" s="18"/>
      <c r="CF90" s="18"/>
      <c r="CG90" s="18"/>
    </row>
    <row r="91" ht="18.75" hidden="1" customHeight="1">
      <c r="A91" s="14">
        <v>44743.509108391205</v>
      </c>
      <c r="B91" s="15" t="s">
        <v>4976</v>
      </c>
      <c r="C91" s="16" t="s">
        <v>4977</v>
      </c>
      <c r="D91" s="15" t="str">
        <f>IFERROR(__xludf.DUMMYFUNCTION("QUERY(TY_ALL_2023_Batch!$A$1:$E$824, ""SELECT E WHERE C='""&amp;B91&amp;""'"", 0)"),"#N/A")</f>
        <v>#N/A</v>
      </c>
      <c r="E91" s="15" t="s">
        <v>4978</v>
      </c>
      <c r="F91" s="15" t="s">
        <v>4979</v>
      </c>
      <c r="G91" s="15" t="s">
        <v>4980</v>
      </c>
      <c r="H91" s="15" t="s">
        <v>2785</v>
      </c>
      <c r="I91" s="17">
        <v>36618.0</v>
      </c>
      <c r="J91" s="15">
        <v>2020.0</v>
      </c>
      <c r="K91" s="15" t="s">
        <v>2941</v>
      </c>
      <c r="L91" s="15" t="s">
        <v>2787</v>
      </c>
      <c r="M91" s="18"/>
      <c r="N91" s="15" t="s">
        <v>1182</v>
      </c>
      <c r="O91" s="15" t="s">
        <v>4976</v>
      </c>
      <c r="P91" s="19" t="s">
        <v>4981</v>
      </c>
      <c r="Q91" s="15">
        <v>9.503109886E9</v>
      </c>
      <c r="R91" s="15">
        <v>9.503109886E9</v>
      </c>
      <c r="S91" s="15">
        <v>8.208464762E9</v>
      </c>
      <c r="T91" s="15" t="s">
        <v>4979</v>
      </c>
      <c r="U91" s="15" t="s">
        <v>4982</v>
      </c>
      <c r="V91" s="15" t="s">
        <v>4983</v>
      </c>
      <c r="W91" s="15" t="s">
        <v>4984</v>
      </c>
      <c r="X91" s="15">
        <v>69.4</v>
      </c>
      <c r="Y91" s="15" t="s">
        <v>2948</v>
      </c>
      <c r="Z91" s="15">
        <v>8.1</v>
      </c>
      <c r="AA91" s="15">
        <v>7.48</v>
      </c>
      <c r="AB91" s="15" t="s">
        <v>2796</v>
      </c>
      <c r="AC91" s="15" t="s">
        <v>2796</v>
      </c>
      <c r="AD91" s="15" t="s">
        <v>2796</v>
      </c>
      <c r="AE91" s="15" t="s">
        <v>2796</v>
      </c>
      <c r="AF91" s="18"/>
      <c r="AG91" s="18"/>
      <c r="AH91" s="18"/>
      <c r="AI91" s="15">
        <v>91.68</v>
      </c>
      <c r="AJ91" s="15" t="s">
        <v>2787</v>
      </c>
      <c r="AK91" s="15" t="s">
        <v>2787</v>
      </c>
      <c r="AL91" s="18"/>
      <c r="AM91" s="15">
        <v>1845.0</v>
      </c>
      <c r="AN91" s="15" t="s">
        <v>2797</v>
      </c>
      <c r="AO91" s="15">
        <v>0.0</v>
      </c>
      <c r="AP91" s="15">
        <v>0.0</v>
      </c>
      <c r="AQ91" s="15" t="s">
        <v>4985</v>
      </c>
      <c r="AR91" s="15" t="s">
        <v>4986</v>
      </c>
      <c r="AS91" s="15" t="s">
        <v>2796</v>
      </c>
      <c r="AT91" s="15" t="s">
        <v>2796</v>
      </c>
      <c r="AU91" s="15" t="s">
        <v>2796</v>
      </c>
      <c r="AV91" s="15" t="s">
        <v>4987</v>
      </c>
      <c r="AW91" s="15" t="s">
        <v>4988</v>
      </c>
      <c r="AX91" s="18"/>
      <c r="AY91" s="15" t="s">
        <v>4989</v>
      </c>
      <c r="AZ91" s="15" t="s">
        <v>4216</v>
      </c>
      <c r="BA91" s="15" t="s">
        <v>2870</v>
      </c>
      <c r="BB91" s="15" t="s">
        <v>2807</v>
      </c>
      <c r="BC91" s="15" t="s">
        <v>4990</v>
      </c>
      <c r="BD91" s="15" t="s">
        <v>2807</v>
      </c>
      <c r="BE91" s="15" t="s">
        <v>4991</v>
      </c>
      <c r="BF91" s="18"/>
      <c r="BG91" s="18"/>
      <c r="BH91" s="18"/>
      <c r="BI91" s="15" t="s">
        <v>4992</v>
      </c>
      <c r="BJ91" s="19" t="s">
        <v>4993</v>
      </c>
      <c r="BK91" s="19" t="s">
        <v>4994</v>
      </c>
      <c r="BL91" s="18"/>
      <c r="BM91" s="18"/>
      <c r="BN91" s="18"/>
      <c r="BO91" s="19" t="s">
        <v>4995</v>
      </c>
      <c r="BP91" s="19" t="s">
        <v>4996</v>
      </c>
      <c r="BQ91" s="15" t="s">
        <v>228</v>
      </c>
      <c r="BR91" s="19" t="s">
        <v>4997</v>
      </c>
      <c r="BS91" s="19" t="s">
        <v>4998</v>
      </c>
      <c r="BT91" s="19" t="s">
        <v>4999</v>
      </c>
      <c r="BU91" s="26"/>
      <c r="BV91" s="26"/>
      <c r="BW91" s="15" t="s">
        <v>5000</v>
      </c>
      <c r="BX91" s="26"/>
      <c r="BY91" s="18" t="str">
        <f t="shared" si="60"/>
        <v>CIVIL</v>
      </c>
      <c r="BZ91" s="18" t="str">
        <f t="shared" ref="BZ91:CA91" si="92">IF(ISBLANK(BU91), BL91, BU91)</f>
        <v/>
      </c>
      <c r="CA91" s="18" t="str">
        <f t="shared" si="92"/>
        <v/>
      </c>
      <c r="CB91" s="15" t="s">
        <v>2908</v>
      </c>
      <c r="CC91" s="15" t="s">
        <v>2908</v>
      </c>
      <c r="CD91" s="25" t="s">
        <v>2787</v>
      </c>
      <c r="CE91" s="18"/>
      <c r="CF91" s="18"/>
      <c r="CG91" s="18"/>
    </row>
    <row r="92" ht="18.75" hidden="1" customHeight="1">
      <c r="A92" s="14">
        <v>44741.76923015046</v>
      </c>
      <c r="B92" s="15" t="s">
        <v>5001</v>
      </c>
      <c r="C92" s="16" t="s">
        <v>5002</v>
      </c>
      <c r="D92" s="15" t="str">
        <f>IFERROR(__xludf.DUMMYFUNCTION("QUERY(TY_ALL_2023_Batch!$A$1:$E$824, ""SELECT E WHERE C='""&amp;B92&amp;""'"", 0)"),"#N/A")</f>
        <v>#N/A</v>
      </c>
      <c r="E92" s="15" t="s">
        <v>5003</v>
      </c>
      <c r="F92" s="15" t="s">
        <v>5004</v>
      </c>
      <c r="G92" s="15" t="s">
        <v>2857</v>
      </c>
      <c r="H92" s="15" t="s">
        <v>2785</v>
      </c>
      <c r="I92" s="17">
        <v>36930.0</v>
      </c>
      <c r="J92" s="15">
        <v>2020.0</v>
      </c>
      <c r="K92" s="15" t="s">
        <v>2941</v>
      </c>
      <c r="L92" s="15" t="s">
        <v>2787</v>
      </c>
      <c r="M92" s="18"/>
      <c r="N92" s="15" t="s">
        <v>1179</v>
      </c>
      <c r="O92" s="15" t="s">
        <v>5001</v>
      </c>
      <c r="P92" s="19" t="s">
        <v>5005</v>
      </c>
      <c r="Q92" s="15">
        <v>9.960879432E9</v>
      </c>
      <c r="R92" s="15">
        <v>9.960879432E9</v>
      </c>
      <c r="S92" s="15">
        <v>9.403403654E9</v>
      </c>
      <c r="T92" s="15" t="s">
        <v>5006</v>
      </c>
      <c r="U92" s="15" t="s">
        <v>5007</v>
      </c>
      <c r="V92" s="15" t="s">
        <v>5008</v>
      </c>
      <c r="W92" s="15" t="s">
        <v>5009</v>
      </c>
      <c r="X92" s="15">
        <v>80.6</v>
      </c>
      <c r="Y92" s="15" t="s">
        <v>2948</v>
      </c>
      <c r="Z92" s="15">
        <v>9.0</v>
      </c>
      <c r="AA92" s="15">
        <v>9.24</v>
      </c>
      <c r="AB92" s="15" t="s">
        <v>2796</v>
      </c>
      <c r="AC92" s="15" t="s">
        <v>2796</v>
      </c>
      <c r="AD92" s="15" t="s">
        <v>2796</v>
      </c>
      <c r="AE92" s="15" t="s">
        <v>2796</v>
      </c>
      <c r="AF92" s="18"/>
      <c r="AG92" s="18"/>
      <c r="AH92" s="18"/>
      <c r="AI92" s="15">
        <v>91.79</v>
      </c>
      <c r="AJ92" s="15" t="s">
        <v>2787</v>
      </c>
      <c r="AK92" s="15" t="s">
        <v>2787</v>
      </c>
      <c r="AL92" s="15">
        <v>583.33</v>
      </c>
      <c r="AM92" s="15">
        <v>633.33</v>
      </c>
      <c r="AN92" s="15" t="s">
        <v>2797</v>
      </c>
      <c r="AO92" s="15" t="s">
        <v>2796</v>
      </c>
      <c r="AP92" s="15" t="s">
        <v>2796</v>
      </c>
      <c r="AQ92" s="15" t="s">
        <v>5010</v>
      </c>
      <c r="AR92" s="18"/>
      <c r="AS92" s="15" t="s">
        <v>5011</v>
      </c>
      <c r="AT92" s="15" t="s">
        <v>2796</v>
      </c>
      <c r="AU92" s="15" t="s">
        <v>5012</v>
      </c>
      <c r="AV92" s="15" t="s">
        <v>5013</v>
      </c>
      <c r="AW92" s="15" t="s">
        <v>5014</v>
      </c>
      <c r="AX92" s="15"/>
      <c r="AY92" s="15" t="s">
        <v>5015</v>
      </c>
      <c r="AZ92" s="15" t="s">
        <v>4044</v>
      </c>
      <c r="BA92" s="15" t="s">
        <v>2870</v>
      </c>
      <c r="BB92" s="15" t="s">
        <v>2807</v>
      </c>
      <c r="BC92" s="15" t="s">
        <v>5016</v>
      </c>
      <c r="BD92" s="15" t="s">
        <v>2807</v>
      </c>
      <c r="BE92" s="15" t="s">
        <v>5017</v>
      </c>
      <c r="BF92" s="15" t="s">
        <v>5018</v>
      </c>
      <c r="BG92" s="15" t="s">
        <v>2796</v>
      </c>
      <c r="BH92" s="15" t="s">
        <v>5019</v>
      </c>
      <c r="BI92" s="15" t="s">
        <v>5020</v>
      </c>
      <c r="BJ92" s="19" t="s">
        <v>5021</v>
      </c>
      <c r="BK92" s="19" t="s">
        <v>5022</v>
      </c>
      <c r="BL92" s="19" t="s">
        <v>5023</v>
      </c>
      <c r="BM92" s="19" t="s">
        <v>5024</v>
      </c>
      <c r="BN92" s="19" t="s">
        <v>5025</v>
      </c>
      <c r="BO92" s="19" t="s">
        <v>5026</v>
      </c>
      <c r="BP92" s="19" t="s">
        <v>5027</v>
      </c>
      <c r="BQ92" s="15" t="s">
        <v>228</v>
      </c>
      <c r="BR92" s="26"/>
      <c r="BS92" s="26"/>
      <c r="BT92" s="19" t="s">
        <v>5028</v>
      </c>
      <c r="BU92" s="26"/>
      <c r="BV92" s="26"/>
      <c r="BW92" s="15" t="s">
        <v>5029</v>
      </c>
      <c r="BX92" s="26"/>
      <c r="BY92" s="18" t="str">
        <f t="shared" si="60"/>
        <v>CIVIL</v>
      </c>
      <c r="BZ92" s="24" t="str">
        <f t="shared" ref="BZ92:CA92" si="93">IF(ISBLANK(BU92), BL92, BU92)</f>
        <v>https://drive.google.com/open?id=1pw424WE4d5xiEavcwrl6G-LpWqdViaqj</v>
      </c>
      <c r="CA92" s="24" t="str">
        <f t="shared" si="93"/>
        <v>https://drive.google.com/open?id=1FO2a9z8OjFKU7i3MKFuMcw3_bKj-_UMb</v>
      </c>
      <c r="CB92" s="15" t="s">
        <v>2821</v>
      </c>
      <c r="CC92" s="15" t="s">
        <v>2821</v>
      </c>
      <c r="CD92" s="25" t="s">
        <v>2787</v>
      </c>
      <c r="CE92" s="18"/>
      <c r="CF92" s="18"/>
      <c r="CG92" s="18"/>
    </row>
    <row r="93" ht="18.75" hidden="1" customHeight="1">
      <c r="A93" s="14">
        <v>44737.701360694446</v>
      </c>
      <c r="B93" s="15" t="s">
        <v>5030</v>
      </c>
      <c r="C93" s="16" t="s">
        <v>5031</v>
      </c>
      <c r="D93" s="15" t="str">
        <f>IFERROR(__xludf.DUMMYFUNCTION("QUERY(TY_ALL_2023_Batch!$A$1:$E$824, ""SELECT E WHERE C='""&amp;B93&amp;""'"", 0)"),"#N/A")</f>
        <v>#N/A</v>
      </c>
      <c r="E93" s="15" t="s">
        <v>5032</v>
      </c>
      <c r="F93" s="15" t="s">
        <v>5033</v>
      </c>
      <c r="G93" s="15" t="s">
        <v>5034</v>
      </c>
      <c r="H93" s="15" t="s">
        <v>2785</v>
      </c>
      <c r="I93" s="17">
        <v>37146.0</v>
      </c>
      <c r="J93" s="15">
        <v>2020.0</v>
      </c>
      <c r="K93" s="15" t="s">
        <v>2941</v>
      </c>
      <c r="L93" s="15" t="s">
        <v>2787</v>
      </c>
      <c r="M93" s="18"/>
      <c r="N93" s="15" t="s">
        <v>1128</v>
      </c>
      <c r="O93" s="15" t="s">
        <v>5030</v>
      </c>
      <c r="P93" s="19" t="s">
        <v>5035</v>
      </c>
      <c r="Q93" s="15">
        <v>9.130691522E9</v>
      </c>
      <c r="R93" s="15">
        <v>9.130691522E9</v>
      </c>
      <c r="S93" s="15">
        <v>7.040540029E9</v>
      </c>
      <c r="T93" s="15" t="s">
        <v>5033</v>
      </c>
      <c r="U93" s="15" t="s">
        <v>5036</v>
      </c>
      <c r="V93" s="15" t="s">
        <v>5037</v>
      </c>
      <c r="W93" s="18"/>
      <c r="X93" s="15">
        <v>89.4</v>
      </c>
      <c r="Y93" s="15" t="s">
        <v>2948</v>
      </c>
      <c r="Z93" s="15">
        <v>8.57</v>
      </c>
      <c r="AA93" s="15">
        <v>8.86</v>
      </c>
      <c r="AB93" s="15" t="s">
        <v>2796</v>
      </c>
      <c r="AC93" s="15" t="s">
        <v>2796</v>
      </c>
      <c r="AD93" s="15" t="s">
        <v>2796</v>
      </c>
      <c r="AE93" s="15" t="s">
        <v>2796</v>
      </c>
      <c r="AF93" s="18"/>
      <c r="AG93" s="18"/>
      <c r="AH93" s="18"/>
      <c r="AI93" s="15">
        <v>87.63</v>
      </c>
      <c r="AJ93" s="15" t="s">
        <v>2787</v>
      </c>
      <c r="AK93" s="15" t="s">
        <v>2787</v>
      </c>
      <c r="AL93" s="15">
        <v>595.0</v>
      </c>
      <c r="AM93" s="15">
        <v>597.0</v>
      </c>
      <c r="AN93" s="15" t="s">
        <v>2797</v>
      </c>
      <c r="AO93" s="15" t="s">
        <v>2796</v>
      </c>
      <c r="AP93" s="15" t="s">
        <v>2796</v>
      </c>
      <c r="AQ93" s="15" t="s">
        <v>5038</v>
      </c>
      <c r="AR93" s="18"/>
      <c r="AS93" s="15"/>
      <c r="AT93" s="15" t="s">
        <v>2796</v>
      </c>
      <c r="AU93" s="15" t="s">
        <v>2796</v>
      </c>
      <c r="AV93" s="15" t="s">
        <v>5039</v>
      </c>
      <c r="AW93" s="15" t="s">
        <v>5040</v>
      </c>
      <c r="AX93" s="15" t="s">
        <v>2796</v>
      </c>
      <c r="AY93" s="15" t="s">
        <v>5041</v>
      </c>
      <c r="AZ93" s="15" t="s">
        <v>4084</v>
      </c>
      <c r="BA93" s="15" t="s">
        <v>2870</v>
      </c>
      <c r="BB93" s="15" t="s">
        <v>2807</v>
      </c>
      <c r="BC93" s="15" t="s">
        <v>5042</v>
      </c>
      <c r="BD93" s="15" t="s">
        <v>2842</v>
      </c>
      <c r="BE93" s="15" t="s">
        <v>5043</v>
      </c>
      <c r="BF93" s="15" t="s">
        <v>5044</v>
      </c>
      <c r="BG93" s="18"/>
      <c r="BH93" s="15" t="s">
        <v>5045</v>
      </c>
      <c r="BI93" s="15" t="s">
        <v>5046</v>
      </c>
      <c r="BJ93" s="19" t="s">
        <v>5047</v>
      </c>
      <c r="BK93" s="19" t="s">
        <v>5048</v>
      </c>
      <c r="BL93" s="19" t="s">
        <v>5049</v>
      </c>
      <c r="BM93" s="19" t="s">
        <v>5050</v>
      </c>
      <c r="BN93" s="19" t="s">
        <v>5051</v>
      </c>
      <c r="BO93" s="19" t="s">
        <v>5052</v>
      </c>
      <c r="BP93" s="19" t="s">
        <v>5053</v>
      </c>
      <c r="BQ93" s="15" t="s">
        <v>228</v>
      </c>
      <c r="BR93" s="26"/>
      <c r="BS93" s="26"/>
      <c r="BT93" s="19" t="s">
        <v>5054</v>
      </c>
      <c r="BU93" s="26"/>
      <c r="BV93" s="26"/>
      <c r="BW93" s="15" t="s">
        <v>5055</v>
      </c>
      <c r="BX93" s="26"/>
      <c r="BY93" s="18" t="str">
        <f t="shared" si="60"/>
        <v>CIVIL</v>
      </c>
      <c r="BZ93" s="24" t="str">
        <f t="shared" ref="BZ93:CA93" si="94">IF(ISBLANK(BU93), BL93, BU93)</f>
        <v>https://drive.google.com/open?id=1sJ8hoqcCO1xvscuSVDTyFUDiby4KuJbD</v>
      </c>
      <c r="CA93" s="24" t="str">
        <f t="shared" si="94"/>
        <v>https://drive.google.com/open?id=16AH4FAnTW-67zBWMomd_zErYBCT1dwpN</v>
      </c>
      <c r="CB93" s="15" t="s">
        <v>2821</v>
      </c>
      <c r="CC93" s="15" t="s">
        <v>2821</v>
      </c>
      <c r="CD93" s="25" t="s">
        <v>2787</v>
      </c>
      <c r="CE93" s="18"/>
      <c r="CF93" s="18"/>
      <c r="CG93" s="18"/>
    </row>
    <row r="94" ht="18.75" hidden="1" customHeight="1">
      <c r="A94" s="14">
        <v>44742.94097420139</v>
      </c>
      <c r="B94" s="15" t="s">
        <v>5056</v>
      </c>
      <c r="C94" s="16" t="s">
        <v>5057</v>
      </c>
      <c r="D94" s="15" t="str">
        <f>IFERROR(__xludf.DUMMYFUNCTION("QUERY(TY_ALL_2023_Batch!$A$1:$E$824, ""SELECT E WHERE C='""&amp;B94&amp;""'"", 0)"),"#N/A")</f>
        <v>#N/A</v>
      </c>
      <c r="E94" s="15" t="s">
        <v>5058</v>
      </c>
      <c r="F94" s="15" t="s">
        <v>3193</v>
      </c>
      <c r="G94" s="15" t="s">
        <v>5059</v>
      </c>
      <c r="H94" s="15" t="s">
        <v>2785</v>
      </c>
      <c r="I94" s="17">
        <v>37025.0</v>
      </c>
      <c r="J94" s="15">
        <v>2020.0</v>
      </c>
      <c r="K94" s="15" t="s">
        <v>2941</v>
      </c>
      <c r="L94" s="15" t="s">
        <v>2787</v>
      </c>
      <c r="M94" s="18"/>
      <c r="N94" s="15" t="s">
        <v>1101</v>
      </c>
      <c r="O94" s="15" t="s">
        <v>5056</v>
      </c>
      <c r="P94" s="15" t="s">
        <v>5060</v>
      </c>
      <c r="Q94" s="15">
        <v>9.37366778E9</v>
      </c>
      <c r="R94" s="15">
        <v>9.37366778E9</v>
      </c>
      <c r="S94" s="15">
        <v>9.37366778E9</v>
      </c>
      <c r="T94" s="15" t="s">
        <v>5061</v>
      </c>
      <c r="U94" s="15" t="s">
        <v>5062</v>
      </c>
      <c r="V94" s="15" t="s">
        <v>5063</v>
      </c>
      <c r="W94" s="15" t="s">
        <v>5063</v>
      </c>
      <c r="X94" s="15">
        <v>80.6</v>
      </c>
      <c r="Y94" s="15" t="s">
        <v>2948</v>
      </c>
      <c r="Z94" s="15">
        <v>7.91</v>
      </c>
      <c r="AA94" s="15">
        <v>8.31</v>
      </c>
      <c r="AB94" s="15" t="s">
        <v>2796</v>
      </c>
      <c r="AC94" s="15" t="s">
        <v>2796</v>
      </c>
      <c r="AD94" s="15" t="s">
        <v>2796</v>
      </c>
      <c r="AE94" s="15" t="s">
        <v>2796</v>
      </c>
      <c r="AF94" s="18"/>
      <c r="AG94" s="18"/>
      <c r="AH94" s="18"/>
      <c r="AI94" s="15">
        <v>90.53</v>
      </c>
      <c r="AJ94" s="15" t="s">
        <v>2787</v>
      </c>
      <c r="AK94" s="15" t="s">
        <v>2787</v>
      </c>
      <c r="AL94" s="15">
        <v>435.0</v>
      </c>
      <c r="AM94" s="15" t="s">
        <v>2796</v>
      </c>
      <c r="AN94" s="15" t="s">
        <v>2797</v>
      </c>
      <c r="AO94" s="15" t="s">
        <v>2796</v>
      </c>
      <c r="AP94" s="15" t="s">
        <v>2796</v>
      </c>
      <c r="AQ94" s="15" t="s">
        <v>4500</v>
      </c>
      <c r="AR94" s="15" t="s">
        <v>2797</v>
      </c>
      <c r="AS94" s="15" t="s">
        <v>2796</v>
      </c>
      <c r="AT94" s="15" t="s">
        <v>2796</v>
      </c>
      <c r="AU94" s="15" t="s">
        <v>2796</v>
      </c>
      <c r="AV94" s="15" t="s">
        <v>5064</v>
      </c>
      <c r="AW94" s="15" t="s">
        <v>5065</v>
      </c>
      <c r="AX94" s="15" t="s">
        <v>2796</v>
      </c>
      <c r="AY94" s="15" t="s">
        <v>5066</v>
      </c>
      <c r="AZ94" s="15" t="s">
        <v>3960</v>
      </c>
      <c r="BA94" s="15" t="s">
        <v>5067</v>
      </c>
      <c r="BB94" s="15" t="s">
        <v>2807</v>
      </c>
      <c r="BC94" s="15" t="s">
        <v>5068</v>
      </c>
      <c r="BD94" s="15" t="s">
        <v>2807</v>
      </c>
      <c r="BE94" s="15" t="s">
        <v>5069</v>
      </c>
      <c r="BF94" s="15" t="s">
        <v>2796</v>
      </c>
      <c r="BG94" s="15" t="s">
        <v>2796</v>
      </c>
      <c r="BH94" s="15" t="s">
        <v>5070</v>
      </c>
      <c r="BI94" s="15" t="s">
        <v>5071</v>
      </c>
      <c r="BJ94" s="19" t="s">
        <v>5072</v>
      </c>
      <c r="BK94" s="19" t="s">
        <v>5073</v>
      </c>
      <c r="BL94" s="19" t="s">
        <v>5074</v>
      </c>
      <c r="BM94" s="18"/>
      <c r="BN94" s="19" t="s">
        <v>5075</v>
      </c>
      <c r="BO94" s="19" t="s">
        <v>5076</v>
      </c>
      <c r="BP94" s="19" t="s">
        <v>5077</v>
      </c>
      <c r="BQ94" s="15" t="s">
        <v>228</v>
      </c>
      <c r="BR94" s="26"/>
      <c r="BS94" s="26"/>
      <c r="BT94" s="19" t="s">
        <v>5078</v>
      </c>
      <c r="BU94" s="19" t="s">
        <v>5079</v>
      </c>
      <c r="BV94" s="26"/>
      <c r="BW94" s="15" t="s">
        <v>5080</v>
      </c>
      <c r="BX94" s="26"/>
      <c r="BY94" s="18" t="str">
        <f t="shared" si="60"/>
        <v>CIVIL</v>
      </c>
      <c r="BZ94" s="24" t="str">
        <f t="shared" ref="BZ94:CA94" si="95">IF(ISBLANK(BU94), BL94, BU94)</f>
        <v>https://drive.google.com/open?id=1dIU0ISIR5OM6OQ3GNlkBnVyErPky1zqA</v>
      </c>
      <c r="CA94" s="18" t="str">
        <f t="shared" si="95"/>
        <v/>
      </c>
      <c r="CB94" s="15" t="s">
        <v>2821</v>
      </c>
      <c r="CC94" s="15" t="s">
        <v>2908</v>
      </c>
      <c r="CD94" s="25" t="s">
        <v>2787</v>
      </c>
      <c r="CE94" s="18"/>
      <c r="CF94" s="18"/>
      <c r="CG94" s="18"/>
    </row>
    <row r="95" ht="18.75" hidden="1" customHeight="1">
      <c r="A95" s="14">
        <v>44741.60906877315</v>
      </c>
      <c r="B95" s="15" t="s">
        <v>5081</v>
      </c>
      <c r="C95" s="16" t="s">
        <v>5082</v>
      </c>
      <c r="D95" s="15" t="str">
        <f>IFERROR(__xludf.DUMMYFUNCTION("QUERY(TY_ALL_2023_Batch!$A$1:$E$824, ""SELECT E WHERE C='""&amp;B95&amp;""'"", 0)"),"#N/A")</f>
        <v>#N/A</v>
      </c>
      <c r="E95" s="15" t="s">
        <v>5083</v>
      </c>
      <c r="F95" s="15" t="s">
        <v>4593</v>
      </c>
      <c r="G95" s="15" t="s">
        <v>5084</v>
      </c>
      <c r="H95" s="15" t="s">
        <v>2785</v>
      </c>
      <c r="I95" s="17">
        <v>36971.0</v>
      </c>
      <c r="J95" s="15">
        <v>2020.0</v>
      </c>
      <c r="K95" s="15" t="s">
        <v>2941</v>
      </c>
      <c r="L95" s="15" t="s">
        <v>2787</v>
      </c>
      <c r="M95" s="18"/>
      <c r="N95" s="15" t="s">
        <v>1095</v>
      </c>
      <c r="O95" s="15" t="s">
        <v>5081</v>
      </c>
      <c r="P95" s="19" t="s">
        <v>5085</v>
      </c>
      <c r="Q95" s="15">
        <v>7.448069295E9</v>
      </c>
      <c r="R95" s="15">
        <v>7.448069295E9</v>
      </c>
      <c r="S95" s="15">
        <v>9.588477596E9</v>
      </c>
      <c r="T95" s="15" t="s">
        <v>5086</v>
      </c>
      <c r="U95" s="15" t="s">
        <v>3333</v>
      </c>
      <c r="V95" s="15" t="s">
        <v>5087</v>
      </c>
      <c r="W95" s="18"/>
      <c r="X95" s="15">
        <v>88.0</v>
      </c>
      <c r="Y95" s="15" t="s">
        <v>2948</v>
      </c>
      <c r="Z95" s="15">
        <v>9.36</v>
      </c>
      <c r="AA95" s="15">
        <v>9.38</v>
      </c>
      <c r="AB95" s="15" t="s">
        <v>2796</v>
      </c>
      <c r="AC95" s="15" t="s">
        <v>2796</v>
      </c>
      <c r="AD95" s="15" t="s">
        <v>2796</v>
      </c>
      <c r="AE95" s="15" t="s">
        <v>2796</v>
      </c>
      <c r="AF95" s="18"/>
      <c r="AG95" s="18"/>
      <c r="AH95" s="18"/>
      <c r="AI95" s="15">
        <v>90.73</v>
      </c>
      <c r="AJ95" s="15" t="s">
        <v>2787</v>
      </c>
      <c r="AK95" s="15" t="s">
        <v>2787</v>
      </c>
      <c r="AL95" s="15">
        <v>516.667</v>
      </c>
      <c r="AM95" s="15">
        <v>645.0</v>
      </c>
      <c r="AN95" s="15" t="s">
        <v>2797</v>
      </c>
      <c r="AO95" s="18"/>
      <c r="AP95" s="18"/>
      <c r="AQ95" s="15" t="s">
        <v>3889</v>
      </c>
      <c r="AR95" s="15" t="s">
        <v>2796</v>
      </c>
      <c r="AS95" s="15" t="s">
        <v>2796</v>
      </c>
      <c r="AT95" s="18"/>
      <c r="AU95" s="15" t="s">
        <v>2796</v>
      </c>
      <c r="AV95" s="15" t="s">
        <v>5088</v>
      </c>
      <c r="AW95" s="15" t="s">
        <v>5089</v>
      </c>
      <c r="AX95" s="18"/>
      <c r="AY95" s="15" t="s">
        <v>5090</v>
      </c>
      <c r="AZ95" s="15" t="s">
        <v>4044</v>
      </c>
      <c r="BA95" s="15" t="s">
        <v>2870</v>
      </c>
      <c r="BB95" s="15" t="s">
        <v>2807</v>
      </c>
      <c r="BC95" s="15" t="s">
        <v>5091</v>
      </c>
      <c r="BD95" s="15" t="s">
        <v>2807</v>
      </c>
      <c r="BE95" s="15" t="s">
        <v>5092</v>
      </c>
      <c r="BF95" s="18"/>
      <c r="BG95" s="18"/>
      <c r="BH95" s="15" t="s">
        <v>5093</v>
      </c>
      <c r="BI95" s="15" t="s">
        <v>5094</v>
      </c>
      <c r="BJ95" s="19" t="s">
        <v>5095</v>
      </c>
      <c r="BK95" s="19" t="s">
        <v>5096</v>
      </c>
      <c r="BL95" s="19" t="s">
        <v>5097</v>
      </c>
      <c r="BM95" s="19" t="s">
        <v>5098</v>
      </c>
      <c r="BN95" s="19" t="s">
        <v>5099</v>
      </c>
      <c r="BO95" s="19" t="s">
        <v>5100</v>
      </c>
      <c r="BP95" s="19" t="s">
        <v>5101</v>
      </c>
      <c r="BQ95" s="15" t="s">
        <v>228</v>
      </c>
      <c r="BR95" s="26"/>
      <c r="BS95" s="19" t="s">
        <v>5102</v>
      </c>
      <c r="BT95" s="19" t="s">
        <v>5103</v>
      </c>
      <c r="BU95" s="19" t="s">
        <v>5104</v>
      </c>
      <c r="BV95" s="19" t="s">
        <v>5105</v>
      </c>
      <c r="BW95" s="15" t="s">
        <v>5106</v>
      </c>
      <c r="BX95" s="26"/>
      <c r="BY95" s="18" t="str">
        <f t="shared" si="60"/>
        <v>CIVIL</v>
      </c>
      <c r="BZ95" s="24" t="str">
        <f t="shared" ref="BZ95:CA95" si="96">IF(ISBLANK(BU95), BL95, BU95)</f>
        <v>https://drive.google.com/open?id=12ZoVeWImG4TyyPZR-WCADCsaMiAGquYV</v>
      </c>
      <c r="CA95" s="24" t="str">
        <f t="shared" si="96"/>
        <v>https://drive.google.com/open?id=1sJoaYa1xBwB_aep8vOvO3SC7ZZrtkgge</v>
      </c>
      <c r="CB95" s="15" t="s">
        <v>2821</v>
      </c>
      <c r="CC95" s="15" t="s">
        <v>2821</v>
      </c>
      <c r="CD95" s="25" t="s">
        <v>2787</v>
      </c>
      <c r="CE95" s="18"/>
      <c r="CF95" s="18"/>
      <c r="CG95" s="18"/>
    </row>
    <row r="96" ht="18.75" hidden="1" customHeight="1">
      <c r="A96" s="14">
        <v>44741.68194219907</v>
      </c>
      <c r="B96" s="15" t="s">
        <v>5107</v>
      </c>
      <c r="C96" s="16" t="s">
        <v>5108</v>
      </c>
      <c r="D96" s="15" t="str">
        <f>IFERROR(__xludf.DUMMYFUNCTION("QUERY(TY_ALL_2023_Batch!$A$1:$E$824, ""SELECT E WHERE C='""&amp;B96&amp;""'"", 0)"),"#N/A")</f>
        <v>#N/A</v>
      </c>
      <c r="E96" s="15" t="s">
        <v>5109</v>
      </c>
      <c r="F96" s="15" t="s">
        <v>5110</v>
      </c>
      <c r="G96" s="15" t="s">
        <v>5111</v>
      </c>
      <c r="H96" s="15" t="s">
        <v>2826</v>
      </c>
      <c r="I96" s="17">
        <v>37160.0</v>
      </c>
      <c r="J96" s="15">
        <v>2020.0</v>
      </c>
      <c r="K96" s="15" t="s">
        <v>2941</v>
      </c>
      <c r="L96" s="15" t="s">
        <v>2787</v>
      </c>
      <c r="M96" s="18"/>
      <c r="N96" s="15" t="s">
        <v>1134</v>
      </c>
      <c r="O96" s="15" t="s">
        <v>5107</v>
      </c>
      <c r="P96" s="19" t="s">
        <v>5112</v>
      </c>
      <c r="Q96" s="15">
        <v>8.261808984E9</v>
      </c>
      <c r="R96" s="15">
        <v>8.261808984E9</v>
      </c>
      <c r="S96" s="15">
        <v>7.757058007E9</v>
      </c>
      <c r="T96" s="15" t="s">
        <v>5110</v>
      </c>
      <c r="U96" s="15" t="s">
        <v>3584</v>
      </c>
      <c r="V96" s="15" t="s">
        <v>5113</v>
      </c>
      <c r="W96" s="15" t="s">
        <v>5114</v>
      </c>
      <c r="X96" s="15">
        <v>82.8</v>
      </c>
      <c r="Y96" s="15" t="s">
        <v>2948</v>
      </c>
      <c r="Z96" s="15">
        <v>8.05</v>
      </c>
      <c r="AA96" s="15">
        <v>8.12</v>
      </c>
      <c r="AB96" s="15" t="s">
        <v>2796</v>
      </c>
      <c r="AC96" s="15" t="s">
        <v>2796</v>
      </c>
      <c r="AD96" s="15" t="s">
        <v>2796</v>
      </c>
      <c r="AE96" s="15" t="s">
        <v>2796</v>
      </c>
      <c r="AF96" s="18"/>
      <c r="AG96" s="18"/>
      <c r="AH96" s="18"/>
      <c r="AI96" s="15">
        <v>92.21</v>
      </c>
      <c r="AJ96" s="15" t="s">
        <v>2787</v>
      </c>
      <c r="AK96" s="15" t="s">
        <v>2787</v>
      </c>
      <c r="AL96" s="18"/>
      <c r="AM96" s="15">
        <v>94.33</v>
      </c>
      <c r="AN96" s="15" t="s">
        <v>2787</v>
      </c>
      <c r="AO96" s="15" t="s">
        <v>5115</v>
      </c>
      <c r="AP96" s="15" t="s">
        <v>5116</v>
      </c>
      <c r="AQ96" s="15" t="s">
        <v>4040</v>
      </c>
      <c r="AR96" s="15"/>
      <c r="AS96" s="15" t="s">
        <v>5117</v>
      </c>
      <c r="AT96" s="15" t="s">
        <v>2796</v>
      </c>
      <c r="AU96" s="15" t="s">
        <v>2796</v>
      </c>
      <c r="AV96" s="15" t="s">
        <v>5118</v>
      </c>
      <c r="AW96" s="15" t="s">
        <v>5119</v>
      </c>
      <c r="AX96" s="15" t="s">
        <v>2796</v>
      </c>
      <c r="AY96" s="15" t="s">
        <v>5120</v>
      </c>
      <c r="AZ96" s="15" t="s">
        <v>4216</v>
      </c>
      <c r="BA96" s="15" t="s">
        <v>2870</v>
      </c>
      <c r="BB96" s="15" t="s">
        <v>3109</v>
      </c>
      <c r="BC96" s="15" t="s">
        <v>5121</v>
      </c>
      <c r="BD96" s="15" t="s">
        <v>2807</v>
      </c>
      <c r="BE96" s="15" t="s">
        <v>2796</v>
      </c>
      <c r="BF96" s="18"/>
      <c r="BG96" s="18"/>
      <c r="BH96" s="18"/>
      <c r="BI96" s="15" t="s">
        <v>5122</v>
      </c>
      <c r="BJ96" s="19" t="s">
        <v>5123</v>
      </c>
      <c r="BK96" s="19" t="s">
        <v>5124</v>
      </c>
      <c r="BL96" s="19" t="s">
        <v>5125</v>
      </c>
      <c r="BM96" s="19" t="s">
        <v>5126</v>
      </c>
      <c r="BN96" s="19" t="s">
        <v>5127</v>
      </c>
      <c r="BO96" s="19" t="s">
        <v>5128</v>
      </c>
      <c r="BP96" s="19" t="s">
        <v>5129</v>
      </c>
      <c r="BQ96" s="15" t="s">
        <v>228</v>
      </c>
      <c r="BR96" s="18"/>
      <c r="BS96" s="18"/>
      <c r="BT96" s="18"/>
      <c r="BU96" s="18"/>
      <c r="BV96" s="18"/>
      <c r="BW96" s="15" t="s">
        <v>2796</v>
      </c>
      <c r="BX96" s="18"/>
      <c r="BY96" s="18" t="str">
        <f t="shared" si="60"/>
        <v>CIVIL</v>
      </c>
      <c r="BZ96" s="24" t="str">
        <f t="shared" ref="BZ96:CA96" si="97">IF(ISBLANK(BU96), BL96, BU96)</f>
        <v>https://drive.google.com/open?id=17XfgOy6SMuLQ_AIekQXy7dwqrfqjhtPr</v>
      </c>
      <c r="CA96" s="24" t="str">
        <f t="shared" si="97"/>
        <v>https://drive.google.com/open?id=179qx6c56CU5oNpFsE4scVsI_JGvXar60</v>
      </c>
      <c r="CB96" s="15" t="s">
        <v>2821</v>
      </c>
      <c r="CC96" s="15" t="s">
        <v>2821</v>
      </c>
      <c r="CD96" s="25" t="s">
        <v>2797</v>
      </c>
      <c r="CE96" s="18"/>
      <c r="CF96" s="18"/>
      <c r="CG96" s="18"/>
    </row>
    <row r="97" ht="18.75" hidden="1" customHeight="1">
      <c r="A97" s="30">
        <v>44736.04335997685</v>
      </c>
      <c r="B97" s="5" t="s">
        <v>338</v>
      </c>
      <c r="C97" s="31" t="s">
        <v>5130</v>
      </c>
      <c r="E97" s="5" t="s">
        <v>5131</v>
      </c>
      <c r="F97" s="5" t="s">
        <v>3142</v>
      </c>
      <c r="G97" s="5" t="s">
        <v>5132</v>
      </c>
      <c r="H97" s="5" t="s">
        <v>2785</v>
      </c>
      <c r="I97" s="32">
        <v>37290.0</v>
      </c>
      <c r="J97" s="5">
        <v>2019.0</v>
      </c>
      <c r="K97" s="5" t="s">
        <v>2786</v>
      </c>
      <c r="L97" s="5" t="s">
        <v>2787</v>
      </c>
      <c r="N97" s="5" t="s">
        <v>5133</v>
      </c>
      <c r="O97" s="5" t="s">
        <v>338</v>
      </c>
      <c r="P97" s="33" t="s">
        <v>5134</v>
      </c>
      <c r="Q97" s="5">
        <v>9.511954773E9</v>
      </c>
      <c r="R97" s="5">
        <v>9.511954773E9</v>
      </c>
      <c r="S97" s="5">
        <v>9.422908975E9</v>
      </c>
      <c r="T97" s="5" t="s">
        <v>5135</v>
      </c>
      <c r="U97" s="5" t="s">
        <v>5136</v>
      </c>
      <c r="V97" s="5" t="s">
        <v>5137</v>
      </c>
      <c r="X97" s="5">
        <v>89.0</v>
      </c>
      <c r="Y97" s="5" t="s">
        <v>2795</v>
      </c>
      <c r="Z97" s="5">
        <v>9.81</v>
      </c>
      <c r="AA97" s="5">
        <v>9.05</v>
      </c>
      <c r="AB97" s="5" t="s">
        <v>2796</v>
      </c>
      <c r="AC97" s="5" t="s">
        <v>2796</v>
      </c>
      <c r="AD97" s="5" t="s">
        <v>2796</v>
      </c>
      <c r="AE97" s="5" t="s">
        <v>2796</v>
      </c>
      <c r="AF97" s="5">
        <v>8.95</v>
      </c>
      <c r="AG97" s="5">
        <v>8.84</v>
      </c>
      <c r="AH97" s="5">
        <v>72.0</v>
      </c>
      <c r="AJ97" s="5" t="s">
        <v>2787</v>
      </c>
      <c r="AK97" s="5" t="s">
        <v>2787</v>
      </c>
      <c r="AL97" s="5">
        <v>615.0</v>
      </c>
      <c r="AM97" s="5">
        <v>575.8</v>
      </c>
      <c r="AN97" s="5" t="s">
        <v>2797</v>
      </c>
      <c r="AO97" s="5" t="s">
        <v>2796</v>
      </c>
      <c r="AP97" s="5" t="s">
        <v>2796</v>
      </c>
      <c r="AQ97" s="5" t="s">
        <v>5138</v>
      </c>
      <c r="AU97" s="5" t="s">
        <v>5139</v>
      </c>
      <c r="AV97" s="5" t="s">
        <v>5140</v>
      </c>
      <c r="AW97" s="5" t="s">
        <v>5141</v>
      </c>
      <c r="AX97" s="5" t="s">
        <v>5142</v>
      </c>
      <c r="AY97" s="5" t="s">
        <v>5143</v>
      </c>
      <c r="AZ97" s="5" t="s">
        <v>4216</v>
      </c>
      <c r="BA97" s="5" t="s">
        <v>2899</v>
      </c>
      <c r="BB97" s="5" t="s">
        <v>2807</v>
      </c>
      <c r="BC97" s="5" t="s">
        <v>5144</v>
      </c>
      <c r="BD97" s="5" t="s">
        <v>2807</v>
      </c>
      <c r="BE97" s="5" t="s">
        <v>5145</v>
      </c>
      <c r="BF97" s="5" t="s">
        <v>2796</v>
      </c>
      <c r="BH97" s="5" t="s">
        <v>5146</v>
      </c>
      <c r="BI97" s="5" t="s">
        <v>5147</v>
      </c>
      <c r="BJ97" s="33" t="s">
        <v>5148</v>
      </c>
      <c r="BK97" s="33" t="s">
        <v>5149</v>
      </c>
      <c r="BL97" s="33" t="s">
        <v>5150</v>
      </c>
      <c r="BM97" s="33" t="s">
        <v>5151</v>
      </c>
      <c r="BN97" s="33" t="s">
        <v>5152</v>
      </c>
      <c r="BO97" s="33" t="s">
        <v>5153</v>
      </c>
      <c r="BP97" s="33" t="s">
        <v>5154</v>
      </c>
      <c r="BQ97" s="5" t="s">
        <v>228</v>
      </c>
      <c r="BR97" s="4"/>
      <c r="BS97" s="4"/>
      <c r="BT97" s="4"/>
      <c r="BU97" s="4"/>
      <c r="BV97" s="4"/>
      <c r="BW97" s="4"/>
      <c r="BX97" s="4"/>
      <c r="BZ97" s="24" t="str">
        <f t="shared" ref="BZ97:CA97" si="98">IF(ISBLANK(BU97), BL97, BU97)</f>
        <v>https://drive.google.com/open?id=15W8HsNrMMNTmkwsk8fRB_DOHZbJSff2n</v>
      </c>
      <c r="CA97" s="24" t="str">
        <f t="shared" si="98"/>
        <v>https://drive.google.com/open?id=1MjXe5I7U1ZVWMTNol6Yx1wRFspCbfC-P</v>
      </c>
      <c r="CB97" s="5" t="s">
        <v>2821</v>
      </c>
      <c r="CC97" s="5" t="s">
        <v>2821</v>
      </c>
      <c r="CD97" s="34" t="s">
        <v>2797</v>
      </c>
      <c r="CG97" s="18"/>
    </row>
    <row r="98" ht="18.75" hidden="1" customHeight="1">
      <c r="A98" s="30">
        <v>44736.053202951385</v>
      </c>
      <c r="B98" s="5" t="s">
        <v>248</v>
      </c>
      <c r="C98" s="31" t="s">
        <v>5155</v>
      </c>
      <c r="E98" s="5" t="s">
        <v>5156</v>
      </c>
      <c r="F98" s="5" t="s">
        <v>5157</v>
      </c>
      <c r="G98" s="5" t="s">
        <v>4036</v>
      </c>
      <c r="H98" s="5" t="s">
        <v>2785</v>
      </c>
      <c r="I98" s="32">
        <v>36995.0</v>
      </c>
      <c r="J98" s="5">
        <v>2017.0</v>
      </c>
      <c r="K98" s="5" t="s">
        <v>2786</v>
      </c>
      <c r="L98" s="5" t="s">
        <v>2787</v>
      </c>
      <c r="N98" s="5" t="s">
        <v>5158</v>
      </c>
      <c r="O98" s="5" t="s">
        <v>248</v>
      </c>
      <c r="P98" s="33" t="s">
        <v>5159</v>
      </c>
      <c r="Q98" s="5">
        <v>9.096518565E9</v>
      </c>
      <c r="R98" s="5">
        <v>9.096518565E9</v>
      </c>
      <c r="S98" s="5">
        <v>9.503483446E9</v>
      </c>
      <c r="T98" s="5" t="s">
        <v>5160</v>
      </c>
      <c r="U98" s="5" t="s">
        <v>5161</v>
      </c>
      <c r="V98" s="5" t="s">
        <v>5162</v>
      </c>
      <c r="W98" s="5" t="s">
        <v>5163</v>
      </c>
      <c r="X98" s="5">
        <v>78.0</v>
      </c>
      <c r="Y98" s="5" t="s">
        <v>2795</v>
      </c>
      <c r="Z98" s="5">
        <v>8.95</v>
      </c>
      <c r="AA98" s="5">
        <v>8.76</v>
      </c>
      <c r="AB98" s="5" t="s">
        <v>2796</v>
      </c>
      <c r="AC98" s="5" t="s">
        <v>2796</v>
      </c>
      <c r="AD98" s="5" t="s">
        <v>2796</v>
      </c>
      <c r="AE98" s="5" t="s">
        <v>2796</v>
      </c>
      <c r="AF98" s="5">
        <v>7.95</v>
      </c>
      <c r="AG98" s="5">
        <v>8.43</v>
      </c>
      <c r="AH98" s="5">
        <v>61.0</v>
      </c>
      <c r="AJ98" s="5" t="s">
        <v>2787</v>
      </c>
      <c r="AK98" s="5" t="s">
        <v>2787</v>
      </c>
      <c r="AL98" s="5">
        <v>488.0</v>
      </c>
      <c r="AM98" s="5">
        <v>609.0</v>
      </c>
      <c r="AN98" s="5" t="s">
        <v>2787</v>
      </c>
      <c r="AO98" s="5" t="s">
        <v>2796</v>
      </c>
      <c r="AP98" s="5" t="s">
        <v>5164</v>
      </c>
      <c r="AQ98" s="5" t="s">
        <v>5165</v>
      </c>
      <c r="AR98" s="5" t="s">
        <v>2796</v>
      </c>
      <c r="AU98" s="5" t="s">
        <v>5166</v>
      </c>
      <c r="AV98" s="5" t="s">
        <v>5167</v>
      </c>
      <c r="AW98" s="5" t="s">
        <v>5168</v>
      </c>
      <c r="AX98" s="5" t="s">
        <v>5169</v>
      </c>
      <c r="AY98" s="5" t="s">
        <v>3131</v>
      </c>
      <c r="AZ98" s="5" t="s">
        <v>4216</v>
      </c>
      <c r="BA98" s="5" t="s">
        <v>2899</v>
      </c>
      <c r="BB98" s="5" t="s">
        <v>2807</v>
      </c>
      <c r="BC98" s="5" t="s">
        <v>5170</v>
      </c>
      <c r="BD98" s="5" t="s">
        <v>2842</v>
      </c>
      <c r="BE98" s="5" t="s">
        <v>5171</v>
      </c>
      <c r="BF98" s="5" t="s">
        <v>2796</v>
      </c>
      <c r="BG98" s="5" t="s">
        <v>2796</v>
      </c>
      <c r="BH98" s="5" t="s">
        <v>5172</v>
      </c>
      <c r="BI98" s="5" t="s">
        <v>5173</v>
      </c>
      <c r="BJ98" s="33" t="s">
        <v>5174</v>
      </c>
      <c r="BK98" s="33" t="s">
        <v>5175</v>
      </c>
      <c r="BL98" s="33" t="s">
        <v>5176</v>
      </c>
      <c r="BM98" s="33" t="s">
        <v>5177</v>
      </c>
      <c r="BN98" s="33" t="s">
        <v>5178</v>
      </c>
      <c r="BO98" s="33" t="s">
        <v>5179</v>
      </c>
      <c r="BP98" s="33" t="s">
        <v>5180</v>
      </c>
      <c r="BQ98" s="5" t="s">
        <v>228</v>
      </c>
      <c r="BR98" s="4"/>
      <c r="BS98" s="4"/>
      <c r="BT98" s="4"/>
      <c r="BU98" s="4"/>
      <c r="BV98" s="4"/>
      <c r="BW98" s="4"/>
      <c r="BX98" s="4"/>
      <c r="BZ98" s="24" t="str">
        <f t="shared" ref="BZ98:CA98" si="99">IF(ISBLANK(BU98), BL98, BU98)</f>
        <v>https://drive.google.com/open?id=1vMfA3dA822Rfz4hSIpTh1VOx41-ucJjh</v>
      </c>
      <c r="CA98" s="24" t="str">
        <f t="shared" si="99"/>
        <v>https://drive.google.com/open?id=1yTYaoxPZZlj9d5Sue19S3P6A22sl2mNS</v>
      </c>
      <c r="CB98" s="5" t="s">
        <v>2821</v>
      </c>
      <c r="CC98" s="5" t="s">
        <v>2821</v>
      </c>
      <c r="CD98" s="34" t="s">
        <v>2797</v>
      </c>
      <c r="CG98" s="18"/>
    </row>
    <row r="99" ht="18.75" hidden="1" customHeight="1">
      <c r="A99" s="30">
        <v>44736.44816570602</v>
      </c>
      <c r="B99" s="5" t="s">
        <v>332</v>
      </c>
      <c r="C99" s="31" t="s">
        <v>5181</v>
      </c>
      <c r="E99" s="5" t="s">
        <v>5182</v>
      </c>
      <c r="F99" s="5" t="s">
        <v>5183</v>
      </c>
      <c r="G99" s="5" t="s">
        <v>5184</v>
      </c>
      <c r="H99" s="5" t="s">
        <v>2826</v>
      </c>
      <c r="I99" s="32">
        <v>37252.0</v>
      </c>
      <c r="J99" s="5">
        <v>2019.0</v>
      </c>
      <c r="K99" s="5" t="s">
        <v>2786</v>
      </c>
      <c r="L99" s="5" t="s">
        <v>2787</v>
      </c>
      <c r="N99" s="5" t="s">
        <v>5185</v>
      </c>
      <c r="O99" s="5" t="s">
        <v>5186</v>
      </c>
      <c r="P99" s="33" t="s">
        <v>5187</v>
      </c>
      <c r="Q99" s="5">
        <v>9.30799251E9</v>
      </c>
      <c r="R99" s="5">
        <v>9.421121323E9</v>
      </c>
      <c r="S99" s="5">
        <v>9.30799251E9</v>
      </c>
      <c r="T99" s="5" t="s">
        <v>5188</v>
      </c>
      <c r="U99" s="5" t="s">
        <v>5189</v>
      </c>
      <c r="V99" s="5" t="s">
        <v>5190</v>
      </c>
      <c r="X99" s="5">
        <v>92.8</v>
      </c>
      <c r="Y99" s="5" t="s">
        <v>2795</v>
      </c>
      <c r="Z99" s="5">
        <v>7.8</v>
      </c>
      <c r="AA99" s="5">
        <v>8.1</v>
      </c>
      <c r="AB99" s="5" t="s">
        <v>2796</v>
      </c>
      <c r="AC99" s="5" t="s">
        <v>2796</v>
      </c>
      <c r="AD99" s="5" t="s">
        <v>2796</v>
      </c>
      <c r="AE99" s="5" t="s">
        <v>2796</v>
      </c>
      <c r="AF99" s="5">
        <v>7.6</v>
      </c>
      <c r="AG99" s="5">
        <v>7.6</v>
      </c>
      <c r="AH99" s="5">
        <v>76.2</v>
      </c>
      <c r="AJ99" s="5" t="s">
        <v>2787</v>
      </c>
      <c r="AK99" s="5" t="s">
        <v>2787</v>
      </c>
      <c r="AL99" s="5">
        <v>661.6</v>
      </c>
      <c r="AM99" s="5" t="s">
        <v>3313</v>
      </c>
      <c r="AN99" s="5" t="s">
        <v>2797</v>
      </c>
      <c r="AP99" s="5" t="s">
        <v>5191</v>
      </c>
      <c r="AQ99" s="5" t="s">
        <v>5192</v>
      </c>
      <c r="AV99" s="5" t="s">
        <v>5193</v>
      </c>
      <c r="AW99" s="5" t="s">
        <v>5194</v>
      </c>
      <c r="AY99" s="5" t="s">
        <v>5195</v>
      </c>
      <c r="AZ99" s="5" t="s">
        <v>4216</v>
      </c>
      <c r="BA99" s="5" t="s">
        <v>2870</v>
      </c>
      <c r="BB99" s="5" t="s">
        <v>2807</v>
      </c>
      <c r="BC99" s="5" t="s">
        <v>3686</v>
      </c>
      <c r="BD99" s="5" t="s">
        <v>2807</v>
      </c>
      <c r="BE99" s="5" t="s">
        <v>5196</v>
      </c>
      <c r="BH99" s="5" t="s">
        <v>5197</v>
      </c>
      <c r="BJ99" s="33" t="s">
        <v>5198</v>
      </c>
      <c r="BK99" s="33" t="s">
        <v>5199</v>
      </c>
      <c r="BL99" s="33" t="s">
        <v>5200</v>
      </c>
      <c r="BN99" s="33" t="s">
        <v>5201</v>
      </c>
      <c r="BO99" s="33" t="s">
        <v>5202</v>
      </c>
      <c r="BP99" s="33" t="s">
        <v>5203</v>
      </c>
      <c r="BQ99" s="5" t="s">
        <v>228</v>
      </c>
      <c r="BR99" s="4"/>
      <c r="BS99" s="4"/>
      <c r="BT99" s="4"/>
      <c r="BU99" s="4"/>
      <c r="BV99" s="4"/>
      <c r="BW99" s="4"/>
      <c r="BX99" s="4"/>
      <c r="BZ99" s="24" t="str">
        <f t="shared" ref="BZ99:BZ734" si="100">IF(ISBLANK(BU99), BL99, BU99)</f>
        <v>https://drive.google.com/open?id=1wDPfNaIIMelrVxjatoigZhQmigKXuPGX</v>
      </c>
      <c r="CA99" s="15"/>
      <c r="CB99" s="5" t="s">
        <v>2821</v>
      </c>
      <c r="CC99" s="43" t="s">
        <v>2908</v>
      </c>
      <c r="CD99" s="34" t="s">
        <v>2797</v>
      </c>
      <c r="CG99" s="18"/>
    </row>
    <row r="100" ht="18.75" hidden="1" customHeight="1">
      <c r="A100" s="30">
        <v>44736.455056701394</v>
      </c>
      <c r="B100" s="5" t="s">
        <v>302</v>
      </c>
      <c r="C100" s="31" t="s">
        <v>5204</v>
      </c>
      <c r="E100" s="5" t="s">
        <v>5205</v>
      </c>
      <c r="F100" s="5" t="s">
        <v>4593</v>
      </c>
      <c r="G100" s="5" t="s">
        <v>5206</v>
      </c>
      <c r="H100" s="5" t="s">
        <v>2826</v>
      </c>
      <c r="I100" s="32">
        <v>37022.0</v>
      </c>
      <c r="J100" s="5">
        <v>2019.0</v>
      </c>
      <c r="K100" s="5" t="s">
        <v>2786</v>
      </c>
      <c r="L100" s="5" t="s">
        <v>2787</v>
      </c>
      <c r="N100" s="5" t="s">
        <v>5207</v>
      </c>
      <c r="O100" s="5" t="s">
        <v>302</v>
      </c>
      <c r="P100" s="33" t="s">
        <v>5208</v>
      </c>
      <c r="Q100" s="5">
        <v>7.66638483E9</v>
      </c>
      <c r="R100" s="5">
        <v>7.66638483E9</v>
      </c>
      <c r="S100" s="5">
        <v>7.66638483E9</v>
      </c>
      <c r="T100" s="5" t="s">
        <v>5209</v>
      </c>
      <c r="U100" s="5" t="s">
        <v>5210</v>
      </c>
      <c r="V100" s="5" t="s">
        <v>5211</v>
      </c>
      <c r="W100" s="5" t="s">
        <v>5212</v>
      </c>
      <c r="X100" s="5">
        <v>88.0</v>
      </c>
      <c r="Y100" s="5" t="s">
        <v>2795</v>
      </c>
      <c r="Z100" s="5">
        <v>8.05</v>
      </c>
      <c r="AA100" s="5">
        <v>7.9</v>
      </c>
      <c r="AB100" s="5" t="s">
        <v>2796</v>
      </c>
      <c r="AC100" s="5" t="s">
        <v>2796</v>
      </c>
      <c r="AD100" s="5" t="s">
        <v>2796</v>
      </c>
      <c r="AE100" s="5" t="s">
        <v>2796</v>
      </c>
      <c r="AF100" s="5">
        <v>7.74</v>
      </c>
      <c r="AG100" s="5">
        <v>8.52</v>
      </c>
      <c r="AH100" s="5">
        <v>57.54</v>
      </c>
      <c r="AJ100" s="5" t="s">
        <v>2787</v>
      </c>
      <c r="AK100" s="5" t="s">
        <v>2787</v>
      </c>
      <c r="AL100" s="5">
        <v>623.0</v>
      </c>
      <c r="AM100" s="5" t="s">
        <v>3313</v>
      </c>
      <c r="AN100" s="5" t="s">
        <v>2797</v>
      </c>
      <c r="AO100" s="5" t="s">
        <v>3313</v>
      </c>
      <c r="AP100" s="5" t="s">
        <v>5213</v>
      </c>
      <c r="AQ100" s="5" t="s">
        <v>5214</v>
      </c>
      <c r="AV100" s="5" t="s">
        <v>5215</v>
      </c>
      <c r="AW100" s="5" t="s">
        <v>5216</v>
      </c>
      <c r="AY100" s="5" t="s">
        <v>5217</v>
      </c>
      <c r="AZ100" s="5" t="s">
        <v>5218</v>
      </c>
      <c r="BA100" s="5" t="s">
        <v>2899</v>
      </c>
      <c r="BB100" s="5" t="s">
        <v>2807</v>
      </c>
      <c r="BC100" s="5" t="s">
        <v>5219</v>
      </c>
      <c r="BD100" s="5" t="s">
        <v>2842</v>
      </c>
      <c r="BE100" s="5" t="s">
        <v>5220</v>
      </c>
      <c r="BH100" s="5" t="s">
        <v>5221</v>
      </c>
      <c r="BJ100" s="33" t="s">
        <v>5222</v>
      </c>
      <c r="BK100" s="33" t="s">
        <v>5223</v>
      </c>
      <c r="BL100" s="33" t="s">
        <v>5224</v>
      </c>
      <c r="BN100" s="33" t="s">
        <v>5225</v>
      </c>
      <c r="BO100" s="33" t="s">
        <v>5226</v>
      </c>
      <c r="BP100" s="33" t="s">
        <v>5227</v>
      </c>
      <c r="BQ100" s="5" t="s">
        <v>228</v>
      </c>
      <c r="BR100" s="4"/>
      <c r="BS100" s="4"/>
      <c r="BT100" s="4"/>
      <c r="BU100" s="4"/>
      <c r="BV100" s="4"/>
      <c r="BW100" s="4"/>
      <c r="BX100" s="4"/>
      <c r="BZ100" s="24" t="str">
        <f t="shared" si="100"/>
        <v>https://drive.google.com/open?id=1mmR4K1-SWNHCdwfSsLQn-SZmseD1xaJi</v>
      </c>
      <c r="CA100" s="15"/>
      <c r="CB100" s="5" t="s">
        <v>2821</v>
      </c>
      <c r="CC100" s="43" t="s">
        <v>2908</v>
      </c>
      <c r="CD100" s="34" t="s">
        <v>2797</v>
      </c>
      <c r="CG100" s="18"/>
    </row>
    <row r="101" ht="18.75" hidden="1" customHeight="1">
      <c r="A101" s="30">
        <v>44737.00089800926</v>
      </c>
      <c r="B101" s="5" t="s">
        <v>272</v>
      </c>
      <c r="C101" s="31" t="s">
        <v>5228</v>
      </c>
      <c r="E101" s="5" t="s">
        <v>3972</v>
      </c>
      <c r="F101" s="5" t="s">
        <v>5229</v>
      </c>
      <c r="G101" s="5" t="s">
        <v>5230</v>
      </c>
      <c r="H101" s="5" t="s">
        <v>2826</v>
      </c>
      <c r="I101" s="32">
        <v>37239.0</v>
      </c>
      <c r="J101" s="5">
        <v>2019.0</v>
      </c>
      <c r="K101" s="5" t="s">
        <v>2786</v>
      </c>
      <c r="L101" s="5" t="s">
        <v>2787</v>
      </c>
      <c r="N101" s="5" t="s">
        <v>5231</v>
      </c>
      <c r="O101" s="5" t="s">
        <v>272</v>
      </c>
      <c r="P101" s="33" t="s">
        <v>5232</v>
      </c>
      <c r="Q101" s="5">
        <v>7.74189153E9</v>
      </c>
      <c r="R101" s="5">
        <v>7.74189153E9</v>
      </c>
      <c r="S101" s="5">
        <v>7.74189153E9</v>
      </c>
      <c r="T101" s="5" t="s">
        <v>5233</v>
      </c>
      <c r="U101" s="5" t="s">
        <v>5234</v>
      </c>
      <c r="V101" s="5" t="s">
        <v>5235</v>
      </c>
      <c r="W101" s="5" t="s">
        <v>5236</v>
      </c>
      <c r="X101" s="5">
        <v>79.2</v>
      </c>
      <c r="Y101" s="5" t="s">
        <v>2795</v>
      </c>
      <c r="Z101" s="5">
        <v>6.24</v>
      </c>
      <c r="AA101" s="5">
        <v>7.1</v>
      </c>
      <c r="AB101" s="5" t="s">
        <v>2796</v>
      </c>
      <c r="AC101" s="5" t="s">
        <v>2796</v>
      </c>
      <c r="AD101" s="5" t="s">
        <v>2796</v>
      </c>
      <c r="AE101" s="5" t="s">
        <v>2796</v>
      </c>
      <c r="AF101" s="5">
        <v>7.53</v>
      </c>
      <c r="AG101" s="5">
        <v>7.48</v>
      </c>
      <c r="AH101" s="5">
        <v>55.08</v>
      </c>
      <c r="AJ101" s="5" t="s">
        <v>2787</v>
      </c>
      <c r="AK101" s="5" t="s">
        <v>2787</v>
      </c>
      <c r="AM101" s="5">
        <v>488.33</v>
      </c>
      <c r="AN101" s="5" t="s">
        <v>2787</v>
      </c>
      <c r="AQ101" s="5" t="s">
        <v>5237</v>
      </c>
      <c r="AR101" s="5" t="s">
        <v>5238</v>
      </c>
      <c r="AW101" s="5" t="s">
        <v>5239</v>
      </c>
      <c r="AY101" s="5" t="s">
        <v>3005</v>
      </c>
      <c r="AZ101" s="5" t="s">
        <v>4216</v>
      </c>
      <c r="BA101" s="5" t="s">
        <v>2870</v>
      </c>
      <c r="BB101" s="5" t="s">
        <v>2807</v>
      </c>
      <c r="BC101" s="5" t="s">
        <v>3686</v>
      </c>
      <c r="BD101" s="5" t="s">
        <v>2807</v>
      </c>
      <c r="BE101" s="5" t="s">
        <v>5240</v>
      </c>
      <c r="BH101" s="5" t="s">
        <v>5241</v>
      </c>
      <c r="BI101" s="5" t="s">
        <v>5242</v>
      </c>
      <c r="BJ101" s="33" t="s">
        <v>5243</v>
      </c>
      <c r="BK101" s="33" t="s">
        <v>5244</v>
      </c>
      <c r="BN101" s="33" t="s">
        <v>5245</v>
      </c>
      <c r="BO101" s="33" t="s">
        <v>5246</v>
      </c>
      <c r="BQ101" s="5" t="s">
        <v>228</v>
      </c>
      <c r="BW101" s="5" t="s">
        <v>2797</v>
      </c>
      <c r="BZ101" s="18" t="str">
        <f t="shared" si="100"/>
        <v/>
      </c>
      <c r="CA101" s="18" t="str">
        <f t="shared" ref="CA101:CA734" si="101">IF(ISBLANK(BV101), BM101, BV101)</f>
        <v/>
      </c>
      <c r="CB101" s="5" t="s">
        <v>2908</v>
      </c>
      <c r="CC101" s="5" t="s">
        <v>2908</v>
      </c>
      <c r="CD101" s="34" t="s">
        <v>2797</v>
      </c>
      <c r="CG101" s="18"/>
    </row>
    <row r="102" ht="18.75" customHeight="1">
      <c r="A102" s="14">
        <v>44741.872381863424</v>
      </c>
      <c r="B102" s="15" t="s">
        <v>624</v>
      </c>
      <c r="C102" s="15">
        <v>1.20190181E8</v>
      </c>
      <c r="D102" s="15" t="str">
        <f>IFERROR(__xludf.DUMMYFUNCTION("QUERY(TY_ALL_2023_Batch!$A$1:$E$824, ""SELECT E WHERE C='""&amp;B102&amp;""'"", 0)"),"COMP")</f>
        <v>COMP</v>
      </c>
      <c r="E102" s="15" t="s">
        <v>5247</v>
      </c>
      <c r="F102" s="15" t="s">
        <v>3193</v>
      </c>
      <c r="G102" s="15" t="s">
        <v>5248</v>
      </c>
      <c r="H102" s="15" t="s">
        <v>2785</v>
      </c>
      <c r="I102" s="17">
        <v>37275.0</v>
      </c>
      <c r="J102" s="15">
        <v>2019.0</v>
      </c>
      <c r="K102" s="15" t="s">
        <v>2786</v>
      </c>
      <c r="L102" s="15" t="s">
        <v>2787</v>
      </c>
      <c r="M102" s="18"/>
      <c r="N102" s="15" t="s">
        <v>5249</v>
      </c>
      <c r="O102" s="15" t="s">
        <v>624</v>
      </c>
      <c r="P102" s="19" t="s">
        <v>5250</v>
      </c>
      <c r="Q102" s="15">
        <v>9.021323958E9</v>
      </c>
      <c r="R102" s="15">
        <v>9.021323958E9</v>
      </c>
      <c r="S102" s="15">
        <v>9.175323958E9</v>
      </c>
      <c r="T102" s="15" t="s">
        <v>3193</v>
      </c>
      <c r="U102" s="15" t="s">
        <v>5251</v>
      </c>
      <c r="V102" s="15" t="s">
        <v>5252</v>
      </c>
      <c r="W102" s="15" t="s">
        <v>5253</v>
      </c>
      <c r="X102" s="15">
        <v>74.6</v>
      </c>
      <c r="Y102" s="15" t="s">
        <v>2795</v>
      </c>
      <c r="Z102" s="15">
        <v>8.81</v>
      </c>
      <c r="AA102" s="15">
        <v>8.81</v>
      </c>
      <c r="AB102" s="15" t="s">
        <v>2796</v>
      </c>
      <c r="AC102" s="15" t="s">
        <v>2796</v>
      </c>
      <c r="AD102" s="15" t="s">
        <v>2796</v>
      </c>
      <c r="AE102" s="15" t="s">
        <v>2796</v>
      </c>
      <c r="AF102" s="15">
        <v>6.47</v>
      </c>
      <c r="AG102" s="15">
        <v>8.05</v>
      </c>
      <c r="AH102" s="15">
        <v>65.08</v>
      </c>
      <c r="AI102" s="18"/>
      <c r="AJ102" s="15" t="s">
        <v>2787</v>
      </c>
      <c r="AK102" s="15" t="s">
        <v>2787</v>
      </c>
      <c r="AL102" s="15">
        <v>65.66</v>
      </c>
      <c r="AM102" s="15">
        <v>96.66</v>
      </c>
      <c r="AN102" s="15" t="s">
        <v>2797</v>
      </c>
      <c r="AO102" s="18"/>
      <c r="AP102" s="18"/>
      <c r="AQ102" s="15" t="s">
        <v>5254</v>
      </c>
      <c r="AR102" s="15" t="s">
        <v>5255</v>
      </c>
      <c r="AS102" s="15" t="s">
        <v>5256</v>
      </c>
      <c r="AT102" s="18"/>
      <c r="AU102" s="18"/>
      <c r="AV102" s="15" t="s">
        <v>5257</v>
      </c>
      <c r="AW102" s="15" t="s">
        <v>5258</v>
      </c>
      <c r="AX102" s="18"/>
      <c r="AY102" s="15" t="s">
        <v>5259</v>
      </c>
      <c r="AZ102" s="15" t="s">
        <v>5260</v>
      </c>
      <c r="BA102" s="15" t="s">
        <v>2806</v>
      </c>
      <c r="BB102" s="15" t="s">
        <v>3514</v>
      </c>
      <c r="BC102" s="15" t="s">
        <v>4241</v>
      </c>
      <c r="BD102" s="15" t="s">
        <v>2842</v>
      </c>
      <c r="BE102" s="15" t="s">
        <v>5261</v>
      </c>
      <c r="BF102" s="18"/>
      <c r="BG102" s="18"/>
      <c r="BH102" s="15" t="s">
        <v>5262</v>
      </c>
      <c r="BI102" s="18"/>
      <c r="BJ102" s="19" t="s">
        <v>5263</v>
      </c>
      <c r="BK102" s="19" t="s">
        <v>5264</v>
      </c>
      <c r="BL102" s="19" t="s">
        <v>5265</v>
      </c>
      <c r="BM102" s="19" t="s">
        <v>5266</v>
      </c>
      <c r="BN102" s="19" t="s">
        <v>5267</v>
      </c>
      <c r="BO102" s="19" t="s">
        <v>5268</v>
      </c>
      <c r="BP102" s="19" t="s">
        <v>5269</v>
      </c>
      <c r="BQ102" s="15" t="s">
        <v>364</v>
      </c>
      <c r="BR102" s="18"/>
      <c r="BS102" s="19" t="s">
        <v>5270</v>
      </c>
      <c r="BT102" s="20" t="s">
        <v>5271</v>
      </c>
      <c r="BU102" s="18"/>
      <c r="BV102" s="18"/>
      <c r="BW102" s="15" t="s">
        <v>5272</v>
      </c>
      <c r="BX102" s="18"/>
      <c r="BY102" s="18" t="str">
        <f t="shared" ref="BY102:BY200" si="102">IF(NOT(ISBLANK(BQ102)), BQ102, D102)</f>
        <v>COMP</v>
      </c>
      <c r="BZ102" s="24" t="str">
        <f t="shared" si="100"/>
        <v>https://drive.google.com/open?id=1Cypk2XeEwCtL-XQCyGVAGiwgBh6DmgPd</v>
      </c>
      <c r="CA102" s="24" t="str">
        <f t="shared" si="101"/>
        <v>https://drive.google.com/open?id=1QtSeKHUL10VeeKngd62cR1jC2iXFSF0T</v>
      </c>
      <c r="CB102" s="15" t="s">
        <v>2821</v>
      </c>
      <c r="CC102" s="15" t="s">
        <v>2821</v>
      </c>
      <c r="CD102" s="25" t="s">
        <v>2787</v>
      </c>
      <c r="CE102" s="18"/>
      <c r="CF102" s="18"/>
      <c r="CG102" s="18"/>
    </row>
    <row r="103" ht="18.75" customHeight="1">
      <c r="A103" s="14">
        <v>44735.814011574075</v>
      </c>
      <c r="B103" s="15" t="s">
        <v>834</v>
      </c>
      <c r="C103" s="15">
        <v>1.20190344E8</v>
      </c>
      <c r="D103" s="15" t="str">
        <f>IFERROR(__xludf.DUMMYFUNCTION("QUERY(TY_ALL_2023_Batch!$A$1:$E$824, ""SELECT E WHERE C='""&amp;B103&amp;""'"", 0)"),"COMP")</f>
        <v>COMP</v>
      </c>
      <c r="E103" s="15" t="s">
        <v>5273</v>
      </c>
      <c r="F103" s="15" t="s">
        <v>5274</v>
      </c>
      <c r="G103" s="15" t="s">
        <v>5275</v>
      </c>
      <c r="H103" s="15" t="s">
        <v>2826</v>
      </c>
      <c r="I103" s="17">
        <v>37092.0</v>
      </c>
      <c r="J103" s="15">
        <v>2019.0</v>
      </c>
      <c r="K103" s="15" t="s">
        <v>2786</v>
      </c>
      <c r="L103" s="15" t="s">
        <v>2787</v>
      </c>
      <c r="M103" s="18"/>
      <c r="N103" s="15" t="s">
        <v>5276</v>
      </c>
      <c r="O103" s="15" t="s">
        <v>834</v>
      </c>
      <c r="P103" s="19" t="s">
        <v>5277</v>
      </c>
      <c r="Q103" s="15">
        <v>7.620675098E9</v>
      </c>
      <c r="R103" s="15">
        <v>7.620675098E9</v>
      </c>
      <c r="S103" s="18"/>
      <c r="T103" s="15" t="s">
        <v>5278</v>
      </c>
      <c r="U103" s="15" t="s">
        <v>5279</v>
      </c>
      <c r="V103" s="15" t="s">
        <v>5280</v>
      </c>
      <c r="W103" s="18"/>
      <c r="X103" s="15">
        <v>77.0</v>
      </c>
      <c r="Y103" s="15" t="s">
        <v>2795</v>
      </c>
      <c r="Z103" s="15">
        <v>8.7</v>
      </c>
      <c r="AA103" s="15">
        <v>9.1</v>
      </c>
      <c r="AB103" s="15" t="s">
        <v>2796</v>
      </c>
      <c r="AC103" s="15" t="s">
        <v>2796</v>
      </c>
      <c r="AD103" s="15" t="s">
        <v>2796</v>
      </c>
      <c r="AE103" s="15" t="s">
        <v>2796</v>
      </c>
      <c r="AF103" s="15">
        <v>7.6</v>
      </c>
      <c r="AG103" s="15">
        <v>8.3</v>
      </c>
      <c r="AH103" s="15">
        <v>62.92</v>
      </c>
      <c r="AI103" s="18"/>
      <c r="AJ103" s="15" t="s">
        <v>2787</v>
      </c>
      <c r="AK103" s="15" t="s">
        <v>2787</v>
      </c>
      <c r="AL103" s="15">
        <v>543.0</v>
      </c>
      <c r="AM103" s="15">
        <v>643.0</v>
      </c>
      <c r="AN103" s="15" t="s">
        <v>2797</v>
      </c>
      <c r="AO103" s="15" t="s">
        <v>2796</v>
      </c>
      <c r="AP103" s="18"/>
      <c r="AQ103" s="15" t="s">
        <v>5281</v>
      </c>
      <c r="AR103" s="15" t="s">
        <v>5282</v>
      </c>
      <c r="AS103" s="15" t="s">
        <v>5283</v>
      </c>
      <c r="AT103" s="18"/>
      <c r="AU103" s="15" t="s">
        <v>5284</v>
      </c>
      <c r="AV103" s="15" t="s">
        <v>5285</v>
      </c>
      <c r="AW103" s="15" t="s">
        <v>5286</v>
      </c>
      <c r="AX103" s="18"/>
      <c r="AY103" s="15" t="s">
        <v>5143</v>
      </c>
      <c r="AZ103" s="15" t="s">
        <v>5287</v>
      </c>
      <c r="BA103" s="15" t="s">
        <v>2806</v>
      </c>
      <c r="BB103" s="15" t="s">
        <v>3462</v>
      </c>
      <c r="BC103" s="15" t="s">
        <v>4217</v>
      </c>
      <c r="BD103" s="15" t="s">
        <v>2842</v>
      </c>
      <c r="BE103" s="15" t="s">
        <v>5288</v>
      </c>
      <c r="BF103" s="15" t="s">
        <v>5289</v>
      </c>
      <c r="BG103" s="18"/>
      <c r="BH103" s="18"/>
      <c r="BI103" s="15" t="s">
        <v>5290</v>
      </c>
      <c r="BJ103" s="19" t="s">
        <v>5291</v>
      </c>
      <c r="BK103" s="19" t="s">
        <v>5292</v>
      </c>
      <c r="BL103" s="19" t="s">
        <v>5293</v>
      </c>
      <c r="BM103" s="19" t="s">
        <v>5294</v>
      </c>
      <c r="BN103" s="19" t="s">
        <v>5295</v>
      </c>
      <c r="BO103" s="19" t="s">
        <v>5296</v>
      </c>
      <c r="BP103" s="19" t="s">
        <v>5297</v>
      </c>
      <c r="BQ103" s="15" t="s">
        <v>364</v>
      </c>
      <c r="BR103" s="26"/>
      <c r="BS103" s="26"/>
      <c r="BT103" s="26"/>
      <c r="BU103" s="26"/>
      <c r="BV103" s="26"/>
      <c r="BW103" s="26"/>
      <c r="BX103" s="26"/>
      <c r="BY103" s="18" t="str">
        <f t="shared" si="102"/>
        <v>COMP</v>
      </c>
      <c r="BZ103" s="24" t="str">
        <f t="shared" si="100"/>
        <v>https://drive.google.com/open?id=1FNTCMvxeI8zC8EV52YqGBukE0aiSTkcV</v>
      </c>
      <c r="CA103" s="24" t="str">
        <f t="shared" si="101"/>
        <v>https://drive.google.com/open?id=16D8AbRHCh1-MU6JouEjwDbqAjCOj49vR</v>
      </c>
      <c r="CB103" s="15" t="s">
        <v>2821</v>
      </c>
      <c r="CC103" s="15" t="s">
        <v>2821</v>
      </c>
      <c r="CD103" s="25" t="s">
        <v>2787</v>
      </c>
      <c r="CE103" s="18"/>
      <c r="CF103" s="18"/>
      <c r="CG103" s="18"/>
    </row>
    <row r="104" ht="18.75" customHeight="1">
      <c r="A104" s="14">
        <v>44736.83492140046</v>
      </c>
      <c r="B104" s="15" t="s">
        <v>864</v>
      </c>
      <c r="C104" s="15">
        <v>1.20190366E8</v>
      </c>
      <c r="D104" s="15" t="str">
        <f>IFERROR(__xludf.DUMMYFUNCTION("QUERY(TY_ALL_2023_Batch!$A$1:$E$824, ""SELECT E WHERE C='""&amp;B104&amp;""'"", 0)"),"COMP")</f>
        <v>COMP</v>
      </c>
      <c r="E104" s="15" t="s">
        <v>5298</v>
      </c>
      <c r="F104" s="15" t="s">
        <v>3097</v>
      </c>
      <c r="G104" s="15" t="s">
        <v>5299</v>
      </c>
      <c r="H104" s="15" t="s">
        <v>2826</v>
      </c>
      <c r="I104" s="17">
        <v>37038.0</v>
      </c>
      <c r="J104" s="15">
        <v>2019.0</v>
      </c>
      <c r="K104" s="15" t="s">
        <v>2786</v>
      </c>
      <c r="L104" s="15" t="s">
        <v>2787</v>
      </c>
      <c r="M104" s="18"/>
      <c r="N104" s="15" t="s">
        <v>5300</v>
      </c>
      <c r="O104" s="15" t="s">
        <v>864</v>
      </c>
      <c r="P104" s="19" t="s">
        <v>5301</v>
      </c>
      <c r="Q104" s="15">
        <v>9.01191668E9</v>
      </c>
      <c r="R104" s="15">
        <v>9.01191668E9</v>
      </c>
      <c r="S104" s="15">
        <v>9.01191668E9</v>
      </c>
      <c r="T104" s="15" t="s">
        <v>3097</v>
      </c>
      <c r="U104" s="15" t="s">
        <v>3365</v>
      </c>
      <c r="V104" s="15" t="s">
        <v>5302</v>
      </c>
      <c r="W104" s="18"/>
      <c r="X104" s="15">
        <v>88.8</v>
      </c>
      <c r="Y104" s="15" t="s">
        <v>2795</v>
      </c>
      <c r="Z104" s="15">
        <v>9.0</v>
      </c>
      <c r="AA104" s="15">
        <v>8.52</v>
      </c>
      <c r="AB104" s="15" t="s">
        <v>2796</v>
      </c>
      <c r="AC104" s="15" t="s">
        <v>2796</v>
      </c>
      <c r="AD104" s="15" t="s">
        <v>2796</v>
      </c>
      <c r="AE104" s="15" t="s">
        <v>2796</v>
      </c>
      <c r="AF104" s="15">
        <v>7.47</v>
      </c>
      <c r="AG104" s="15">
        <v>7.88</v>
      </c>
      <c r="AH104" s="15">
        <v>67.0</v>
      </c>
      <c r="AI104" s="18"/>
      <c r="AJ104" s="15" t="s">
        <v>2787</v>
      </c>
      <c r="AK104" s="15" t="s">
        <v>2787</v>
      </c>
      <c r="AL104" s="15">
        <v>643.3</v>
      </c>
      <c r="AM104" s="15">
        <v>671.6</v>
      </c>
      <c r="AN104" s="15" t="s">
        <v>2797</v>
      </c>
      <c r="AO104" s="18"/>
      <c r="AP104" s="15" t="s">
        <v>5303</v>
      </c>
      <c r="AQ104" s="15" t="s">
        <v>5304</v>
      </c>
      <c r="AR104" s="15" t="s">
        <v>5305</v>
      </c>
      <c r="AS104" s="18"/>
      <c r="AT104" s="15" t="s">
        <v>5306</v>
      </c>
      <c r="AU104" s="15" t="s">
        <v>5307</v>
      </c>
      <c r="AV104" s="15" t="s">
        <v>5308</v>
      </c>
      <c r="AW104" s="15" t="s">
        <v>5309</v>
      </c>
      <c r="AX104" s="18"/>
      <c r="AY104" s="15" t="s">
        <v>5310</v>
      </c>
      <c r="AZ104" s="15" t="s">
        <v>5287</v>
      </c>
      <c r="BA104" s="15" t="s">
        <v>2806</v>
      </c>
      <c r="BB104" s="15" t="s">
        <v>5311</v>
      </c>
      <c r="BC104" s="15" t="s">
        <v>4086</v>
      </c>
      <c r="BD104" s="15" t="s">
        <v>2842</v>
      </c>
      <c r="BE104" s="15" t="s">
        <v>5312</v>
      </c>
      <c r="BF104" s="18"/>
      <c r="BG104" s="18"/>
      <c r="BH104" s="18"/>
      <c r="BI104" s="15" t="s">
        <v>5313</v>
      </c>
      <c r="BJ104" s="19" t="s">
        <v>5314</v>
      </c>
      <c r="BK104" s="19" t="s">
        <v>5315</v>
      </c>
      <c r="BL104" s="19" t="s">
        <v>5316</v>
      </c>
      <c r="BM104" s="19" t="s">
        <v>5317</v>
      </c>
      <c r="BN104" s="19" t="s">
        <v>5318</v>
      </c>
      <c r="BO104" s="19" t="s">
        <v>5319</v>
      </c>
      <c r="BP104" s="19" t="s">
        <v>5320</v>
      </c>
      <c r="BQ104" s="15" t="s">
        <v>364</v>
      </c>
      <c r="BR104" s="26"/>
      <c r="BS104" s="26"/>
      <c r="BT104" s="26"/>
      <c r="BU104" s="19" t="s">
        <v>5321</v>
      </c>
      <c r="BV104" s="19" t="s">
        <v>5322</v>
      </c>
      <c r="BW104" s="15" t="s">
        <v>5323</v>
      </c>
      <c r="BX104" s="26"/>
      <c r="BY104" s="18" t="str">
        <f t="shared" si="102"/>
        <v>COMP</v>
      </c>
      <c r="BZ104" s="24" t="str">
        <f t="shared" si="100"/>
        <v>https://drive.google.com/open?id=15jgJaJq-IFQysvjXy-Iu7Nk2AgoMrpkN</v>
      </c>
      <c r="CA104" s="24" t="str">
        <f t="shared" si="101"/>
        <v>https://drive.google.com/open?id=1w6mFhj5TsBvnsI1NzJbZmX1leD4juVHp</v>
      </c>
      <c r="CB104" s="15" t="s">
        <v>2821</v>
      </c>
      <c r="CC104" s="15" t="s">
        <v>2821</v>
      </c>
      <c r="CD104" s="25" t="s">
        <v>2787</v>
      </c>
      <c r="CE104" s="18"/>
      <c r="CF104" s="18"/>
      <c r="CG104" s="18"/>
    </row>
    <row r="105" ht="18.75" customHeight="1">
      <c r="A105" s="14">
        <v>44740.02013849537</v>
      </c>
      <c r="B105" s="15" t="s">
        <v>430</v>
      </c>
      <c r="C105" s="15">
        <v>2.20200012E8</v>
      </c>
      <c r="D105" s="15" t="str">
        <f>IFERROR(__xludf.DUMMYFUNCTION("QUERY(TY_ALL_2023_Batch!$A$1:$E$824, ""SELECT E WHERE C='""&amp;B105&amp;""'"", 0)"),"COMP")</f>
        <v>COMP</v>
      </c>
      <c r="E105" s="15" t="s">
        <v>5324</v>
      </c>
      <c r="F105" s="15" t="s">
        <v>3499</v>
      </c>
      <c r="G105" s="15" t="s">
        <v>5325</v>
      </c>
      <c r="H105" s="15" t="s">
        <v>2826</v>
      </c>
      <c r="I105" s="17">
        <v>37079.0</v>
      </c>
      <c r="J105" s="15">
        <v>2020.0</v>
      </c>
      <c r="K105" s="15" t="s">
        <v>2941</v>
      </c>
      <c r="L105" s="15" t="s">
        <v>2787</v>
      </c>
      <c r="M105" s="18"/>
      <c r="N105" s="15" t="s">
        <v>5326</v>
      </c>
      <c r="O105" s="15" t="s">
        <v>430</v>
      </c>
      <c r="P105" s="19" t="s">
        <v>5327</v>
      </c>
      <c r="Q105" s="15">
        <v>9.527754147E9</v>
      </c>
      <c r="R105" s="15">
        <v>9.527754147E9</v>
      </c>
      <c r="S105" s="15">
        <v>7.028337833E9</v>
      </c>
      <c r="T105" s="15" t="s">
        <v>3499</v>
      </c>
      <c r="U105" s="15" t="s">
        <v>5328</v>
      </c>
      <c r="V105" s="15" t="s">
        <v>5329</v>
      </c>
      <c r="W105" s="15" t="s">
        <v>5329</v>
      </c>
      <c r="X105" s="15">
        <v>90.2</v>
      </c>
      <c r="Y105" s="15" t="s">
        <v>2948</v>
      </c>
      <c r="Z105" s="15">
        <v>8.9</v>
      </c>
      <c r="AA105" s="15">
        <v>8.4</v>
      </c>
      <c r="AB105" s="15">
        <v>8.5</v>
      </c>
      <c r="AC105" s="15">
        <v>7.8</v>
      </c>
      <c r="AD105" s="15" t="s">
        <v>2796</v>
      </c>
      <c r="AE105" s="15" t="s">
        <v>2796</v>
      </c>
      <c r="AF105" s="18"/>
      <c r="AG105" s="18"/>
      <c r="AH105" s="18"/>
      <c r="AI105" s="15">
        <v>93.03</v>
      </c>
      <c r="AJ105" s="15" t="s">
        <v>2787</v>
      </c>
      <c r="AK105" s="15" t="s">
        <v>2787</v>
      </c>
      <c r="AL105" s="15">
        <v>688.3</v>
      </c>
      <c r="AM105" s="15">
        <v>685.0</v>
      </c>
      <c r="AN105" s="15" t="s">
        <v>2797</v>
      </c>
      <c r="AO105" s="15" t="s">
        <v>2796</v>
      </c>
      <c r="AP105" s="15" t="s">
        <v>2796</v>
      </c>
      <c r="AQ105" s="15" t="s">
        <v>5330</v>
      </c>
      <c r="AR105" s="15" t="s">
        <v>5331</v>
      </c>
      <c r="AS105" s="18"/>
      <c r="AT105" s="18"/>
      <c r="AU105" s="18"/>
      <c r="AV105" s="15" t="s">
        <v>5332</v>
      </c>
      <c r="AW105" s="15" t="s">
        <v>5333</v>
      </c>
      <c r="AX105" s="18"/>
      <c r="AY105" s="15" t="s">
        <v>5334</v>
      </c>
      <c r="AZ105" s="15" t="s">
        <v>5335</v>
      </c>
      <c r="BA105" s="15" t="s">
        <v>5336</v>
      </c>
      <c r="BB105" s="15" t="s">
        <v>5337</v>
      </c>
      <c r="BC105" s="15" t="s">
        <v>5338</v>
      </c>
      <c r="BD105" s="15" t="s">
        <v>2842</v>
      </c>
      <c r="BE105" s="15" t="s">
        <v>5339</v>
      </c>
      <c r="BF105" s="18"/>
      <c r="BG105" s="18"/>
      <c r="BH105" s="15" t="s">
        <v>5340</v>
      </c>
      <c r="BI105" s="18"/>
      <c r="BJ105" s="19" t="s">
        <v>5341</v>
      </c>
      <c r="BK105" s="19" t="s">
        <v>5342</v>
      </c>
      <c r="BL105" s="19" t="s">
        <v>5343</v>
      </c>
      <c r="BM105" s="19" t="s">
        <v>5344</v>
      </c>
      <c r="BN105" s="19" t="s">
        <v>5345</v>
      </c>
      <c r="BO105" s="19" t="s">
        <v>5346</v>
      </c>
      <c r="BP105" s="19" t="s">
        <v>5347</v>
      </c>
      <c r="BQ105" s="15" t="s">
        <v>364</v>
      </c>
      <c r="BR105" s="19" t="s">
        <v>5348</v>
      </c>
      <c r="BS105" s="26"/>
      <c r="BT105" s="19" t="s">
        <v>5349</v>
      </c>
      <c r="BU105" s="26"/>
      <c r="BV105" s="26"/>
      <c r="BW105" s="15" t="s">
        <v>5350</v>
      </c>
      <c r="BX105" s="26"/>
      <c r="BY105" s="18" t="str">
        <f t="shared" si="102"/>
        <v>COMP</v>
      </c>
      <c r="BZ105" s="24" t="str">
        <f t="shared" si="100"/>
        <v>https://drive.google.com/open?id=1HN0Ft9BefDjcsySQUuu5sn3F00PWX72B</v>
      </c>
      <c r="CA105" s="24" t="str">
        <f t="shared" si="101"/>
        <v>https://drive.google.com/open?id=1LRmNojzl8QEMqIQsh0OfMwS3X0KEr_vv</v>
      </c>
      <c r="CB105" s="15" t="s">
        <v>2821</v>
      </c>
      <c r="CC105" s="15" t="s">
        <v>2821</v>
      </c>
      <c r="CD105" s="25" t="s">
        <v>2787</v>
      </c>
      <c r="CE105" s="18"/>
      <c r="CF105" s="18"/>
      <c r="CG105" s="18"/>
    </row>
    <row r="106" ht="18.75" customHeight="1">
      <c r="A106" s="14">
        <v>44742.62590380787</v>
      </c>
      <c r="B106" s="15" t="s">
        <v>891</v>
      </c>
      <c r="C106" s="16" t="s">
        <v>5351</v>
      </c>
      <c r="D106" s="15" t="str">
        <f>IFERROR(__xludf.DUMMYFUNCTION("QUERY(TY_ALL_2023_Batch!$A$1:$E$824, ""SELECT E WHERE C='""&amp;B106&amp;""'"", 0)"),"COMP")</f>
        <v>COMP</v>
      </c>
      <c r="E106" s="15" t="s">
        <v>3424</v>
      </c>
      <c r="F106" s="15" t="s">
        <v>5352</v>
      </c>
      <c r="G106" s="15" t="s">
        <v>2973</v>
      </c>
      <c r="H106" s="15" t="s">
        <v>2785</v>
      </c>
      <c r="I106" s="17">
        <v>36929.0</v>
      </c>
      <c r="J106" s="15">
        <v>2019.0</v>
      </c>
      <c r="K106" s="15" t="s">
        <v>2786</v>
      </c>
      <c r="L106" s="15" t="s">
        <v>2787</v>
      </c>
      <c r="M106" s="18"/>
      <c r="N106" s="15" t="s">
        <v>5353</v>
      </c>
      <c r="O106" s="15" t="s">
        <v>891</v>
      </c>
      <c r="P106" s="19" t="s">
        <v>5354</v>
      </c>
      <c r="Q106" s="15">
        <v>9.284795763E9</v>
      </c>
      <c r="R106" s="15">
        <v>9.284795763E9</v>
      </c>
      <c r="S106" s="18"/>
      <c r="T106" s="15" t="s">
        <v>5352</v>
      </c>
      <c r="U106" s="15" t="s">
        <v>3365</v>
      </c>
      <c r="V106" s="15" t="s">
        <v>5355</v>
      </c>
      <c r="W106" s="18"/>
      <c r="X106" s="15">
        <v>89.0</v>
      </c>
      <c r="Y106" s="15" t="s">
        <v>2795</v>
      </c>
      <c r="Z106" s="15">
        <v>8.9</v>
      </c>
      <c r="AA106" s="15">
        <v>7.57</v>
      </c>
      <c r="AB106" s="15">
        <v>8.0</v>
      </c>
      <c r="AC106" s="15">
        <v>8.8</v>
      </c>
      <c r="AD106" s="15" t="s">
        <v>2796</v>
      </c>
      <c r="AE106" s="15" t="s">
        <v>2796</v>
      </c>
      <c r="AF106" s="15">
        <v>7.84</v>
      </c>
      <c r="AG106" s="15">
        <v>8.62</v>
      </c>
      <c r="AH106" s="15">
        <v>76.0</v>
      </c>
      <c r="AI106" s="18"/>
      <c r="AJ106" s="15" t="s">
        <v>2787</v>
      </c>
      <c r="AK106" s="15" t="s">
        <v>2787</v>
      </c>
      <c r="AL106" s="15">
        <v>56.0</v>
      </c>
      <c r="AM106" s="18"/>
      <c r="AN106" s="15" t="s">
        <v>2797</v>
      </c>
      <c r="AO106" s="15">
        <v>0.0</v>
      </c>
      <c r="AP106" s="15">
        <v>0.0</v>
      </c>
      <c r="AQ106" s="15" t="s">
        <v>5356</v>
      </c>
      <c r="AR106" s="18"/>
      <c r="AS106" s="15" t="s">
        <v>5357</v>
      </c>
      <c r="AT106" s="18"/>
      <c r="AU106" s="15" t="s">
        <v>5358</v>
      </c>
      <c r="AV106" s="15" t="s">
        <v>5359</v>
      </c>
      <c r="AW106" s="15" t="s">
        <v>5360</v>
      </c>
      <c r="AX106" s="18"/>
      <c r="AY106" s="15" t="s">
        <v>5361</v>
      </c>
      <c r="AZ106" s="15" t="s">
        <v>5335</v>
      </c>
      <c r="BA106" s="15" t="s">
        <v>5362</v>
      </c>
      <c r="BB106" s="15" t="s">
        <v>5363</v>
      </c>
      <c r="BC106" s="15" t="s">
        <v>5364</v>
      </c>
      <c r="BD106" s="15" t="s">
        <v>2807</v>
      </c>
      <c r="BE106" s="15" t="s">
        <v>5365</v>
      </c>
      <c r="BF106" s="18"/>
      <c r="BG106" s="18"/>
      <c r="BH106" s="15" t="s">
        <v>5366</v>
      </c>
      <c r="BI106" s="18"/>
      <c r="BJ106" s="19" t="s">
        <v>5367</v>
      </c>
      <c r="BK106" s="19" t="s">
        <v>5368</v>
      </c>
      <c r="BL106" s="19" t="s">
        <v>5369</v>
      </c>
      <c r="BM106" s="18"/>
      <c r="BN106" s="20" t="s">
        <v>5370</v>
      </c>
      <c r="BO106" s="19" t="s">
        <v>5371</v>
      </c>
      <c r="BP106" s="19" t="s">
        <v>5372</v>
      </c>
      <c r="BQ106" s="15" t="s">
        <v>364</v>
      </c>
      <c r="BR106" s="19" t="s">
        <v>5373</v>
      </c>
      <c r="BS106" s="19" t="s">
        <v>5374</v>
      </c>
      <c r="BT106" s="19" t="s">
        <v>5375</v>
      </c>
      <c r="BU106" s="26"/>
      <c r="BV106" s="26"/>
      <c r="BW106" s="15" t="s">
        <v>5376</v>
      </c>
      <c r="BX106" s="26"/>
      <c r="BY106" s="18" t="str">
        <f t="shared" si="102"/>
        <v>COMP</v>
      </c>
      <c r="BZ106" s="24" t="str">
        <f t="shared" si="100"/>
        <v>https://drive.google.com/open?id=1Gn3nR1spnZw0Uy-GEIe6g2CX4Nn-fJ5n</v>
      </c>
      <c r="CA106" s="18" t="str">
        <f t="shared" si="101"/>
        <v/>
      </c>
      <c r="CB106" s="15" t="s">
        <v>2821</v>
      </c>
      <c r="CC106" s="15" t="s">
        <v>2908</v>
      </c>
      <c r="CD106" s="25" t="s">
        <v>2909</v>
      </c>
      <c r="CE106" s="18"/>
      <c r="CF106" s="18"/>
      <c r="CG106" s="18"/>
    </row>
    <row r="107" ht="18.75" customHeight="1">
      <c r="A107" s="14">
        <v>44741.80584581019</v>
      </c>
      <c r="B107" s="15" t="s">
        <v>777</v>
      </c>
      <c r="C107" s="16" t="s">
        <v>5377</v>
      </c>
      <c r="D107" s="15" t="str">
        <f>IFERROR(__xludf.DUMMYFUNCTION("QUERY(TY_ALL_2023_Batch!$A$1:$E$824, ""SELECT E WHERE C='""&amp;B107&amp;""'"", 0)"),"COMP")</f>
        <v>COMP</v>
      </c>
      <c r="E107" s="15" t="s">
        <v>5378</v>
      </c>
      <c r="F107" s="15" t="s">
        <v>5379</v>
      </c>
      <c r="G107" s="15" t="s">
        <v>5380</v>
      </c>
      <c r="H107" s="15" t="s">
        <v>2785</v>
      </c>
      <c r="I107" s="17">
        <v>37185.0</v>
      </c>
      <c r="J107" s="15">
        <v>2019.0</v>
      </c>
      <c r="K107" s="15" t="s">
        <v>2786</v>
      </c>
      <c r="L107" s="15" t="s">
        <v>2787</v>
      </c>
      <c r="M107" s="18"/>
      <c r="N107" s="15" t="s">
        <v>5381</v>
      </c>
      <c r="O107" s="15" t="s">
        <v>777</v>
      </c>
      <c r="P107" s="19" t="s">
        <v>5382</v>
      </c>
      <c r="Q107" s="15">
        <v>7.743853981E9</v>
      </c>
      <c r="R107" s="15">
        <v>7.743853981E9</v>
      </c>
      <c r="S107" s="15">
        <v>9.049154428E9</v>
      </c>
      <c r="T107" s="15" t="s">
        <v>5383</v>
      </c>
      <c r="U107" s="15" t="s">
        <v>5384</v>
      </c>
      <c r="V107" s="15" t="s">
        <v>5385</v>
      </c>
      <c r="W107" s="15" t="s">
        <v>5386</v>
      </c>
      <c r="X107" s="15">
        <v>93.6</v>
      </c>
      <c r="Y107" s="15" t="s">
        <v>2795</v>
      </c>
      <c r="Z107" s="15">
        <v>9.48</v>
      </c>
      <c r="AA107" s="15">
        <v>9.14</v>
      </c>
      <c r="AB107" s="15">
        <v>9.42</v>
      </c>
      <c r="AC107" s="15">
        <v>9.1</v>
      </c>
      <c r="AD107" s="15" t="s">
        <v>2796</v>
      </c>
      <c r="AE107" s="15" t="s">
        <v>2796</v>
      </c>
      <c r="AF107" s="15">
        <v>9.1</v>
      </c>
      <c r="AG107" s="15">
        <v>9.38</v>
      </c>
      <c r="AH107" s="15">
        <v>79.23</v>
      </c>
      <c r="AI107" s="18"/>
      <c r="AJ107" s="15" t="s">
        <v>2787</v>
      </c>
      <c r="AK107" s="15" t="s">
        <v>2787</v>
      </c>
      <c r="AL107" s="15">
        <v>625.0</v>
      </c>
      <c r="AM107" s="15"/>
      <c r="AN107" s="15" t="s">
        <v>2797</v>
      </c>
      <c r="AO107" s="18"/>
      <c r="AP107" s="18"/>
      <c r="AQ107" s="15" t="s">
        <v>5282</v>
      </c>
      <c r="AR107" s="15" t="s">
        <v>5387</v>
      </c>
      <c r="AS107" s="15"/>
      <c r="AT107" s="18"/>
      <c r="AU107" s="15" t="s">
        <v>5388</v>
      </c>
      <c r="AV107" s="15" t="s">
        <v>5389</v>
      </c>
      <c r="AW107" s="15" t="s">
        <v>5390</v>
      </c>
      <c r="AX107" s="18"/>
      <c r="AY107" s="15" t="s">
        <v>5391</v>
      </c>
      <c r="AZ107" s="15" t="s">
        <v>5335</v>
      </c>
      <c r="BA107" s="15" t="s">
        <v>5392</v>
      </c>
      <c r="BB107" s="15" t="s">
        <v>5393</v>
      </c>
      <c r="BC107" s="15" t="s">
        <v>5394</v>
      </c>
      <c r="BD107" s="15" t="s">
        <v>4556</v>
      </c>
      <c r="BE107" s="15" t="s">
        <v>5395</v>
      </c>
      <c r="BF107" s="15" t="s">
        <v>5396</v>
      </c>
      <c r="BG107" s="18"/>
      <c r="BH107" s="18"/>
      <c r="BI107" s="15" t="s">
        <v>5397</v>
      </c>
      <c r="BJ107" s="19" t="s">
        <v>5398</v>
      </c>
      <c r="BK107" s="19" t="s">
        <v>5399</v>
      </c>
      <c r="BL107" s="19" t="s">
        <v>5400</v>
      </c>
      <c r="BM107" s="18"/>
      <c r="BN107" s="19" t="s">
        <v>5401</v>
      </c>
      <c r="BO107" s="19" t="s">
        <v>5402</v>
      </c>
      <c r="BP107" s="19" t="s">
        <v>5403</v>
      </c>
      <c r="BQ107" s="15" t="s">
        <v>364</v>
      </c>
      <c r="BR107" s="26"/>
      <c r="BS107" s="26"/>
      <c r="BT107" s="26"/>
      <c r="BU107" s="26"/>
      <c r="BV107" s="26"/>
      <c r="BW107" s="15" t="s">
        <v>5404</v>
      </c>
      <c r="BX107" s="26"/>
      <c r="BY107" s="18" t="str">
        <f t="shared" si="102"/>
        <v>COMP</v>
      </c>
      <c r="BZ107" s="24" t="str">
        <f t="shared" si="100"/>
        <v>https://drive.google.com/open?id=1juvZnt6uvxrgfGJYAEEzWSvkaa9jTPl9</v>
      </c>
      <c r="CA107" s="18" t="str">
        <f t="shared" si="101"/>
        <v/>
      </c>
      <c r="CB107" s="15" t="s">
        <v>2821</v>
      </c>
      <c r="CC107" s="15" t="s">
        <v>2908</v>
      </c>
      <c r="CD107" s="25" t="s">
        <v>2797</v>
      </c>
      <c r="CE107" s="18"/>
      <c r="CF107" s="18"/>
      <c r="CG107" s="18"/>
    </row>
    <row r="108" ht="18.75" customHeight="1">
      <c r="A108" s="14">
        <v>44736.51968226852</v>
      </c>
      <c r="B108" s="15" t="s">
        <v>972</v>
      </c>
      <c r="C108" s="16" t="s">
        <v>5405</v>
      </c>
      <c r="D108" s="15" t="str">
        <f>IFERROR(__xludf.DUMMYFUNCTION("QUERY(TY_ALL_2023_Batch!$A$1:$E$824, ""SELECT E WHERE C='""&amp;B108&amp;""'"", 0)"),"COMP")</f>
        <v>COMP</v>
      </c>
      <c r="E108" s="15" t="s">
        <v>5406</v>
      </c>
      <c r="F108" s="15" t="s">
        <v>5407</v>
      </c>
      <c r="G108" s="15" t="s">
        <v>5408</v>
      </c>
      <c r="H108" s="15" t="s">
        <v>2785</v>
      </c>
      <c r="I108" s="17">
        <v>37195.0</v>
      </c>
      <c r="J108" s="15">
        <v>2019.0</v>
      </c>
      <c r="K108" s="15" t="s">
        <v>2786</v>
      </c>
      <c r="L108" s="15" t="s">
        <v>2787</v>
      </c>
      <c r="M108" s="18"/>
      <c r="N108" s="15" t="s">
        <v>5409</v>
      </c>
      <c r="O108" s="15" t="s">
        <v>972</v>
      </c>
      <c r="P108" s="19" t="s">
        <v>5410</v>
      </c>
      <c r="Q108" s="15">
        <v>8.700758387E9</v>
      </c>
      <c r="R108" s="15">
        <v>8.700758387E9</v>
      </c>
      <c r="S108" s="18"/>
      <c r="T108" s="15" t="s">
        <v>5411</v>
      </c>
      <c r="U108" s="15" t="s">
        <v>5412</v>
      </c>
      <c r="V108" s="15" t="s">
        <v>5413</v>
      </c>
      <c r="W108" s="15" t="s">
        <v>5414</v>
      </c>
      <c r="X108" s="15">
        <v>95.0</v>
      </c>
      <c r="Y108" s="15" t="s">
        <v>2795</v>
      </c>
      <c r="Z108" s="15">
        <v>9.71</v>
      </c>
      <c r="AA108" s="15">
        <v>9.86</v>
      </c>
      <c r="AB108" s="15" t="s">
        <v>2796</v>
      </c>
      <c r="AC108" s="15" t="s">
        <v>2796</v>
      </c>
      <c r="AD108" s="15" t="s">
        <v>2796</v>
      </c>
      <c r="AE108" s="15" t="s">
        <v>2796</v>
      </c>
      <c r="AF108" s="15">
        <v>9.47</v>
      </c>
      <c r="AG108" s="15">
        <v>9.81</v>
      </c>
      <c r="AH108" s="15">
        <v>94.4</v>
      </c>
      <c r="AI108" s="18"/>
      <c r="AJ108" s="15" t="s">
        <v>2787</v>
      </c>
      <c r="AK108" s="15" t="s">
        <v>2787</v>
      </c>
      <c r="AL108" s="15">
        <v>625.0</v>
      </c>
      <c r="AM108" s="15">
        <v>673.0</v>
      </c>
      <c r="AN108" s="15" t="s">
        <v>2797</v>
      </c>
      <c r="AO108" s="18"/>
      <c r="AP108" s="18"/>
      <c r="AQ108" s="15" t="s">
        <v>5415</v>
      </c>
      <c r="AR108" s="18"/>
      <c r="AS108" s="15" t="s">
        <v>5416</v>
      </c>
      <c r="AT108" s="15" t="s">
        <v>5417</v>
      </c>
      <c r="AU108" s="18"/>
      <c r="AV108" s="15" t="s">
        <v>5418</v>
      </c>
      <c r="AW108" s="15" t="s">
        <v>5419</v>
      </c>
      <c r="AX108" s="18"/>
      <c r="AY108" s="15" t="s">
        <v>5420</v>
      </c>
      <c r="AZ108" s="15" t="s">
        <v>5260</v>
      </c>
      <c r="BA108" s="15" t="s">
        <v>2806</v>
      </c>
      <c r="BB108" s="15" t="s">
        <v>5421</v>
      </c>
      <c r="BC108" s="15" t="s">
        <v>3686</v>
      </c>
      <c r="BD108" s="15" t="s">
        <v>5422</v>
      </c>
      <c r="BE108" s="15" t="s">
        <v>2796</v>
      </c>
      <c r="BF108" s="15" t="s">
        <v>2796</v>
      </c>
      <c r="BG108" s="15" t="s">
        <v>2796</v>
      </c>
      <c r="BH108" s="15" t="s">
        <v>2796</v>
      </c>
      <c r="BI108" s="15" t="s">
        <v>5423</v>
      </c>
      <c r="BJ108" s="19" t="s">
        <v>5424</v>
      </c>
      <c r="BK108" s="19" t="s">
        <v>5425</v>
      </c>
      <c r="BL108" s="19" t="s">
        <v>5426</v>
      </c>
      <c r="BM108" s="19" t="s">
        <v>5427</v>
      </c>
      <c r="BN108" s="19" t="s">
        <v>5428</v>
      </c>
      <c r="BO108" s="19" t="s">
        <v>5429</v>
      </c>
      <c r="BP108" s="19" t="s">
        <v>5430</v>
      </c>
      <c r="BQ108" s="15" t="s">
        <v>364</v>
      </c>
      <c r="BR108" s="26"/>
      <c r="BS108" s="26"/>
      <c r="BT108" s="26"/>
      <c r="BU108" s="26"/>
      <c r="BV108" s="26"/>
      <c r="BW108" s="26"/>
      <c r="BX108" s="26"/>
      <c r="BY108" s="18" t="str">
        <f t="shared" si="102"/>
        <v>COMP</v>
      </c>
      <c r="BZ108" s="24" t="str">
        <f t="shared" si="100"/>
        <v>https://drive.google.com/open?id=1LpTACr6XKLAugBDcI7QZf1qwO1Y9V1VJ</v>
      </c>
      <c r="CA108" s="24" t="str">
        <f t="shared" si="101"/>
        <v>https://drive.google.com/open?id=1EdRFDI7JuRQkOL1yb_xLsFaqRYMIX-0t</v>
      </c>
      <c r="CB108" s="15" t="s">
        <v>2821</v>
      </c>
      <c r="CC108" s="15" t="s">
        <v>2821</v>
      </c>
      <c r="CD108" s="25" t="s">
        <v>2797</v>
      </c>
      <c r="CE108" s="18"/>
      <c r="CF108" s="18"/>
      <c r="CG108" s="18"/>
    </row>
    <row r="109" ht="18.75" customHeight="1">
      <c r="A109" s="14">
        <v>44736.54667497685</v>
      </c>
      <c r="B109" s="15" t="s">
        <v>870</v>
      </c>
      <c r="C109" s="16" t="s">
        <v>5431</v>
      </c>
      <c r="D109" s="15" t="str">
        <f>IFERROR(__xludf.DUMMYFUNCTION("QUERY(TY_ALL_2023_Batch!$A$1:$E$824, ""SELECT E WHERE C='""&amp;B109&amp;""'"", 0)"),"COMP")</f>
        <v>COMP</v>
      </c>
      <c r="E109" s="15" t="s">
        <v>5432</v>
      </c>
      <c r="F109" s="15" t="s">
        <v>5433</v>
      </c>
      <c r="G109" s="15" t="s">
        <v>5434</v>
      </c>
      <c r="H109" s="15" t="s">
        <v>2785</v>
      </c>
      <c r="I109" s="17">
        <v>37043.0</v>
      </c>
      <c r="J109" s="15">
        <v>2019.0</v>
      </c>
      <c r="K109" s="15" t="s">
        <v>2786</v>
      </c>
      <c r="L109" s="15" t="s">
        <v>2787</v>
      </c>
      <c r="M109" s="18"/>
      <c r="N109" s="15" t="s">
        <v>5435</v>
      </c>
      <c r="O109" s="15" t="s">
        <v>5436</v>
      </c>
      <c r="P109" s="19" t="s">
        <v>5437</v>
      </c>
      <c r="Q109" s="15">
        <v>9.307755112E9</v>
      </c>
      <c r="R109" s="15">
        <v>9.307755112E9</v>
      </c>
      <c r="S109" s="18"/>
      <c r="T109" s="15" t="s">
        <v>5438</v>
      </c>
      <c r="U109" s="15" t="s">
        <v>5439</v>
      </c>
      <c r="V109" s="15" t="s">
        <v>5440</v>
      </c>
      <c r="W109" s="15" t="s">
        <v>5440</v>
      </c>
      <c r="X109" s="15">
        <v>95.6</v>
      </c>
      <c r="Y109" s="15" t="s">
        <v>2795</v>
      </c>
      <c r="Z109" s="15">
        <v>7.48</v>
      </c>
      <c r="AA109" s="15">
        <v>5.57</v>
      </c>
      <c r="AB109" s="15" t="s">
        <v>2796</v>
      </c>
      <c r="AC109" s="15" t="s">
        <v>2796</v>
      </c>
      <c r="AD109" s="15" t="s">
        <v>2796</v>
      </c>
      <c r="AE109" s="15" t="s">
        <v>2796</v>
      </c>
      <c r="AF109" s="15">
        <v>7.68</v>
      </c>
      <c r="AG109" s="15">
        <v>7.76</v>
      </c>
      <c r="AH109" s="15">
        <v>80.0</v>
      </c>
      <c r="AI109" s="18"/>
      <c r="AJ109" s="15" t="s">
        <v>2787</v>
      </c>
      <c r="AK109" s="15" t="s">
        <v>2787</v>
      </c>
      <c r="AL109" s="15">
        <v>933.0</v>
      </c>
      <c r="AM109" s="15">
        <v>635.0</v>
      </c>
      <c r="AN109" s="15" t="s">
        <v>2797</v>
      </c>
      <c r="AO109" s="15"/>
      <c r="AP109" s="18"/>
      <c r="AQ109" s="15" t="s">
        <v>5441</v>
      </c>
      <c r="AR109" s="18"/>
      <c r="AS109" s="18"/>
      <c r="AT109" s="18"/>
      <c r="AU109" s="18"/>
      <c r="AV109" s="15" t="s">
        <v>5442</v>
      </c>
      <c r="AW109" s="15" t="s">
        <v>5443</v>
      </c>
      <c r="AX109" s="18"/>
      <c r="AY109" s="15" t="s">
        <v>5444</v>
      </c>
      <c r="AZ109" s="15" t="s">
        <v>5260</v>
      </c>
      <c r="BA109" s="15" t="s">
        <v>3210</v>
      </c>
      <c r="BB109" s="15" t="s">
        <v>3462</v>
      </c>
      <c r="BC109" s="15" t="s">
        <v>5445</v>
      </c>
      <c r="BD109" s="15" t="s">
        <v>2807</v>
      </c>
      <c r="BE109" s="15" t="s">
        <v>5446</v>
      </c>
      <c r="BF109" s="18"/>
      <c r="BG109" s="18"/>
      <c r="BH109" s="18"/>
      <c r="BI109" s="18"/>
      <c r="BJ109" s="19" t="s">
        <v>5447</v>
      </c>
      <c r="BK109" s="19" t="s">
        <v>5448</v>
      </c>
      <c r="BL109" s="19" t="s">
        <v>5449</v>
      </c>
      <c r="BM109" s="19" t="s">
        <v>5450</v>
      </c>
      <c r="BN109" s="19" t="s">
        <v>5451</v>
      </c>
      <c r="BO109" s="19" t="s">
        <v>5452</v>
      </c>
      <c r="BP109" s="19" t="s">
        <v>5453</v>
      </c>
      <c r="BQ109" s="15" t="s">
        <v>364</v>
      </c>
      <c r="BR109" s="26"/>
      <c r="BS109" s="26"/>
      <c r="BT109" s="26"/>
      <c r="BU109" s="26"/>
      <c r="BV109" s="26"/>
      <c r="BW109" s="26"/>
      <c r="BX109" s="26"/>
      <c r="BY109" s="18" t="str">
        <f t="shared" si="102"/>
        <v>COMP</v>
      </c>
      <c r="BZ109" s="24" t="str">
        <f t="shared" si="100"/>
        <v>https://drive.google.com/open?id=1sHPqkDzcZ3DalQb4Ij8prbNCoVIQDLrG</v>
      </c>
      <c r="CA109" s="24" t="str">
        <f t="shared" si="101"/>
        <v>https://drive.google.com/open?id=1zMgZTT7hm0YiimdxnNA-M5lXk-egMV7q</v>
      </c>
      <c r="CB109" s="15" t="s">
        <v>2821</v>
      </c>
      <c r="CC109" s="15" t="s">
        <v>2821</v>
      </c>
      <c r="CD109" s="25" t="s">
        <v>2797</v>
      </c>
      <c r="CE109" s="18"/>
      <c r="CF109" s="18"/>
      <c r="CG109" s="18"/>
    </row>
    <row r="110" ht="18.75" customHeight="1">
      <c r="A110" s="14">
        <v>44736.47865078704</v>
      </c>
      <c r="B110" s="15" t="s">
        <v>627</v>
      </c>
      <c r="C110" s="16" t="s">
        <v>5454</v>
      </c>
      <c r="D110" s="15" t="str">
        <f>IFERROR(__xludf.DUMMYFUNCTION("QUERY(TY_ALL_2023_Batch!$A$1:$E$824, ""SELECT E WHERE C='""&amp;B110&amp;""'"", 0)"),"COMP")</f>
        <v>COMP</v>
      </c>
      <c r="E110" s="15" t="s">
        <v>5455</v>
      </c>
      <c r="F110" s="15" t="s">
        <v>5456</v>
      </c>
      <c r="G110" s="15" t="s">
        <v>5457</v>
      </c>
      <c r="H110" s="15" t="s">
        <v>2785</v>
      </c>
      <c r="I110" s="17">
        <v>37014.0</v>
      </c>
      <c r="J110" s="15">
        <v>2019.0</v>
      </c>
      <c r="K110" s="15" t="s">
        <v>2786</v>
      </c>
      <c r="L110" s="15" t="s">
        <v>2787</v>
      </c>
      <c r="M110" s="18"/>
      <c r="N110" s="15" t="s">
        <v>5458</v>
      </c>
      <c r="O110" s="15" t="s">
        <v>627</v>
      </c>
      <c r="P110" s="19" t="s">
        <v>5459</v>
      </c>
      <c r="Q110" s="15">
        <v>9.960013356E9</v>
      </c>
      <c r="R110" s="15">
        <v>9.960013356E9</v>
      </c>
      <c r="S110" s="15">
        <v>9.867875466E9</v>
      </c>
      <c r="T110" s="15" t="s">
        <v>5460</v>
      </c>
      <c r="U110" s="15" t="s">
        <v>5461</v>
      </c>
      <c r="V110" s="15" t="s">
        <v>5462</v>
      </c>
      <c r="W110" s="18"/>
      <c r="X110" s="15">
        <v>87.2</v>
      </c>
      <c r="Y110" s="15" t="s">
        <v>2795</v>
      </c>
      <c r="Z110" s="15">
        <v>9.43</v>
      </c>
      <c r="AA110" s="15">
        <v>9.62</v>
      </c>
      <c r="AB110" s="15" t="s">
        <v>2796</v>
      </c>
      <c r="AC110" s="15" t="s">
        <v>2796</v>
      </c>
      <c r="AD110" s="15" t="s">
        <v>2796</v>
      </c>
      <c r="AE110" s="15" t="s">
        <v>2796</v>
      </c>
      <c r="AF110" s="15">
        <v>9.21</v>
      </c>
      <c r="AG110" s="15">
        <v>9.05</v>
      </c>
      <c r="AH110" s="15">
        <v>81.09</v>
      </c>
      <c r="AI110" s="18"/>
      <c r="AJ110" s="15" t="s">
        <v>2787</v>
      </c>
      <c r="AK110" s="15" t="s">
        <v>2787</v>
      </c>
      <c r="AL110" s="15">
        <v>91.67</v>
      </c>
      <c r="AM110" s="15">
        <v>92.33</v>
      </c>
      <c r="AN110" s="15" t="s">
        <v>2797</v>
      </c>
      <c r="AO110" s="18"/>
      <c r="AP110" s="18"/>
      <c r="AQ110" s="15" t="s">
        <v>5463</v>
      </c>
      <c r="AR110" s="18"/>
      <c r="AS110" s="15" t="s">
        <v>5464</v>
      </c>
      <c r="AT110" s="18"/>
      <c r="AU110" s="15" t="s">
        <v>5465</v>
      </c>
      <c r="AV110" s="15" t="s">
        <v>5466</v>
      </c>
      <c r="AW110" s="15" t="s">
        <v>78</v>
      </c>
      <c r="AX110" s="18"/>
      <c r="AY110" s="15" t="s">
        <v>5467</v>
      </c>
      <c r="AZ110" s="15" t="s">
        <v>5287</v>
      </c>
      <c r="BA110" s="15" t="s">
        <v>5468</v>
      </c>
      <c r="BB110" s="15" t="s">
        <v>3514</v>
      </c>
      <c r="BC110" s="15" t="s">
        <v>4217</v>
      </c>
      <c r="BD110" s="15" t="s">
        <v>2807</v>
      </c>
      <c r="BE110" s="15" t="s">
        <v>2796</v>
      </c>
      <c r="BF110" s="18"/>
      <c r="BG110" s="18"/>
      <c r="BH110" s="15" t="s">
        <v>5464</v>
      </c>
      <c r="BI110" s="15" t="s">
        <v>5469</v>
      </c>
      <c r="BJ110" s="19" t="s">
        <v>5470</v>
      </c>
      <c r="BK110" s="19" t="s">
        <v>5471</v>
      </c>
      <c r="BL110" s="19" t="s">
        <v>5472</v>
      </c>
      <c r="BM110" s="19" t="s">
        <v>5473</v>
      </c>
      <c r="BN110" s="20" t="s">
        <v>5474</v>
      </c>
      <c r="BO110" s="19" t="s">
        <v>5475</v>
      </c>
      <c r="BP110" s="19" t="s">
        <v>5476</v>
      </c>
      <c r="BQ110" s="15" t="s">
        <v>364</v>
      </c>
      <c r="BR110" s="26"/>
      <c r="BS110" s="26"/>
      <c r="BT110" s="26"/>
      <c r="BU110" s="26"/>
      <c r="BV110" s="26"/>
      <c r="BW110" s="26"/>
      <c r="BX110" s="26"/>
      <c r="BY110" s="18" t="str">
        <f t="shared" si="102"/>
        <v>COMP</v>
      </c>
      <c r="BZ110" s="24" t="str">
        <f t="shared" si="100"/>
        <v>https://drive.google.com/open?id=1QIQ885o21EaSe4XKDeqVs_2oa0fPGInj</v>
      </c>
      <c r="CA110" s="24" t="str">
        <f t="shared" si="101"/>
        <v>https://drive.google.com/open?id=1mefuVrdHL9CKQCI3HlSQiMhosaVqVSar</v>
      </c>
      <c r="CB110" s="15" t="s">
        <v>2821</v>
      </c>
      <c r="CC110" s="15" t="s">
        <v>2821</v>
      </c>
      <c r="CD110" s="25" t="s">
        <v>2797</v>
      </c>
      <c r="CE110" s="18"/>
      <c r="CF110" s="18"/>
      <c r="CG110" s="18"/>
    </row>
    <row r="111" ht="18.75" customHeight="1">
      <c r="A111" s="14">
        <v>44742.843860266206</v>
      </c>
      <c r="B111" s="15" t="s">
        <v>639</v>
      </c>
      <c r="C111" s="16" t="s">
        <v>5477</v>
      </c>
      <c r="D111" s="15" t="str">
        <f>IFERROR(__xludf.DUMMYFUNCTION("QUERY(TY_ALL_2023_Batch!$A$1:$E$824, ""SELECT E WHERE C='""&amp;B111&amp;""'"", 0)"),"COMP")</f>
        <v>COMP</v>
      </c>
      <c r="E111" s="15" t="s">
        <v>5478</v>
      </c>
      <c r="F111" s="15" t="s">
        <v>2824</v>
      </c>
      <c r="G111" s="15" t="s">
        <v>5479</v>
      </c>
      <c r="H111" s="15" t="s">
        <v>2826</v>
      </c>
      <c r="I111" s="17">
        <v>37098.0</v>
      </c>
      <c r="J111" s="15">
        <v>2019.0</v>
      </c>
      <c r="K111" s="15" t="s">
        <v>2786</v>
      </c>
      <c r="L111" s="15" t="s">
        <v>2787</v>
      </c>
      <c r="M111" s="18"/>
      <c r="N111" s="15" t="s">
        <v>5480</v>
      </c>
      <c r="O111" s="15" t="s">
        <v>639</v>
      </c>
      <c r="P111" s="19" t="s">
        <v>5481</v>
      </c>
      <c r="Q111" s="15">
        <v>9.552959537E9</v>
      </c>
      <c r="R111" s="15">
        <v>9.552959537E9</v>
      </c>
      <c r="S111" s="15">
        <v>8.208603158E9</v>
      </c>
      <c r="T111" s="15" t="s">
        <v>5482</v>
      </c>
      <c r="U111" s="15" t="s">
        <v>5483</v>
      </c>
      <c r="V111" s="15" t="s">
        <v>5484</v>
      </c>
      <c r="W111" s="15" t="s">
        <v>5485</v>
      </c>
      <c r="X111" s="15">
        <v>93.04</v>
      </c>
      <c r="Y111" s="15" t="s">
        <v>2795</v>
      </c>
      <c r="Z111" s="15">
        <v>9.4</v>
      </c>
      <c r="AA111" s="15">
        <v>9.0</v>
      </c>
      <c r="AB111" s="15" t="s">
        <v>2796</v>
      </c>
      <c r="AC111" s="15" t="s">
        <v>2796</v>
      </c>
      <c r="AD111" s="15" t="s">
        <v>2796</v>
      </c>
      <c r="AE111" s="15" t="s">
        <v>2796</v>
      </c>
      <c r="AF111" s="15">
        <v>8.68</v>
      </c>
      <c r="AG111" s="15">
        <v>9.19</v>
      </c>
      <c r="AH111" s="15">
        <v>78.92</v>
      </c>
      <c r="AI111" s="18"/>
      <c r="AJ111" s="15" t="s">
        <v>2787</v>
      </c>
      <c r="AK111" s="15" t="s">
        <v>2787</v>
      </c>
      <c r="AL111" s="15">
        <v>623.33</v>
      </c>
      <c r="AM111" s="15">
        <v>711.66</v>
      </c>
      <c r="AN111" s="15" t="s">
        <v>2797</v>
      </c>
      <c r="AO111" s="15" t="s">
        <v>2796</v>
      </c>
      <c r="AP111" s="15" t="s">
        <v>2796</v>
      </c>
      <c r="AQ111" s="15" t="s">
        <v>5387</v>
      </c>
      <c r="AR111" s="15" t="s">
        <v>5486</v>
      </c>
      <c r="AS111" s="15" t="s">
        <v>2796</v>
      </c>
      <c r="AT111" s="15" t="s">
        <v>2796</v>
      </c>
      <c r="AU111" s="15" t="s">
        <v>5487</v>
      </c>
      <c r="AV111" s="15" t="s">
        <v>5488</v>
      </c>
      <c r="AW111" s="15" t="s">
        <v>5489</v>
      </c>
      <c r="AX111" s="15" t="s">
        <v>2796</v>
      </c>
      <c r="AY111" s="15" t="s">
        <v>5490</v>
      </c>
      <c r="AZ111" s="15" t="s">
        <v>5287</v>
      </c>
      <c r="BA111" s="15" t="s">
        <v>5491</v>
      </c>
      <c r="BB111" s="15" t="s">
        <v>5492</v>
      </c>
      <c r="BC111" s="15" t="s">
        <v>4702</v>
      </c>
      <c r="BD111" s="15" t="s">
        <v>3393</v>
      </c>
      <c r="BE111" s="15" t="s">
        <v>5493</v>
      </c>
      <c r="BF111" s="15" t="s">
        <v>2796</v>
      </c>
      <c r="BG111" s="18"/>
      <c r="BH111" s="15" t="s">
        <v>5494</v>
      </c>
      <c r="BI111" s="15" t="s">
        <v>5495</v>
      </c>
      <c r="BJ111" s="19" t="s">
        <v>5496</v>
      </c>
      <c r="BK111" s="19" t="s">
        <v>5497</v>
      </c>
      <c r="BL111" s="19" t="s">
        <v>5498</v>
      </c>
      <c r="BM111" s="19" t="s">
        <v>5499</v>
      </c>
      <c r="BN111" s="20" t="s">
        <v>5500</v>
      </c>
      <c r="BO111" s="19" t="s">
        <v>5501</v>
      </c>
      <c r="BP111" s="20" t="s">
        <v>5502</v>
      </c>
      <c r="BQ111" s="15" t="s">
        <v>364</v>
      </c>
      <c r="BR111" s="26"/>
      <c r="BS111" s="26"/>
      <c r="BT111" s="19" t="s">
        <v>5503</v>
      </c>
      <c r="BU111" s="26"/>
      <c r="BV111" s="26"/>
      <c r="BW111" s="15" t="s">
        <v>5504</v>
      </c>
      <c r="BX111" s="26"/>
      <c r="BY111" s="18" t="str">
        <f t="shared" si="102"/>
        <v>COMP</v>
      </c>
      <c r="BZ111" s="24" t="str">
        <f t="shared" si="100"/>
        <v>https://drive.google.com/open?id=1rot0R40OZ3INRFXs_IGgqiXcV9Cb-iCX</v>
      </c>
      <c r="CA111" s="24" t="str">
        <f t="shared" si="101"/>
        <v>https://drive.google.com/open?id=1JkHM2hFrv1nZXxv5iLX03PbmMRqIp1_s</v>
      </c>
      <c r="CB111" s="15" t="s">
        <v>2821</v>
      </c>
      <c r="CC111" s="15" t="s">
        <v>2821</v>
      </c>
      <c r="CD111" s="25" t="s">
        <v>2797</v>
      </c>
      <c r="CE111" s="18"/>
      <c r="CF111" s="18"/>
      <c r="CG111" s="18"/>
    </row>
    <row r="112" ht="18.75" customHeight="1">
      <c r="A112" s="14">
        <v>44741.96446236111</v>
      </c>
      <c r="B112" s="15" t="s">
        <v>909</v>
      </c>
      <c r="C112" s="16" t="s">
        <v>5505</v>
      </c>
      <c r="D112" s="15" t="str">
        <f>IFERROR(__xludf.DUMMYFUNCTION("QUERY(TY_ALL_2023_Batch!$A$1:$E$824, ""SELECT E WHERE C='""&amp;B112&amp;""'"", 0)"),"COMP")</f>
        <v>COMP</v>
      </c>
      <c r="E112" s="15" t="s">
        <v>3850</v>
      </c>
      <c r="F112" s="15" t="s">
        <v>5506</v>
      </c>
      <c r="G112" s="15" t="s">
        <v>5507</v>
      </c>
      <c r="H112" s="15" t="s">
        <v>2826</v>
      </c>
      <c r="I112" s="17">
        <v>37033.0</v>
      </c>
      <c r="J112" s="15">
        <v>2019.0</v>
      </c>
      <c r="K112" s="15" t="s">
        <v>2786</v>
      </c>
      <c r="L112" s="15" t="s">
        <v>2787</v>
      </c>
      <c r="M112" s="18"/>
      <c r="N112" s="15" t="s">
        <v>5508</v>
      </c>
      <c r="O112" s="15" t="s">
        <v>909</v>
      </c>
      <c r="P112" s="19" t="s">
        <v>5509</v>
      </c>
      <c r="Q112" s="15">
        <v>9.689418575E9</v>
      </c>
      <c r="R112" s="15">
        <v>9.689418575E9</v>
      </c>
      <c r="S112" s="15">
        <v>7.020563469E9</v>
      </c>
      <c r="T112" s="15" t="s">
        <v>5510</v>
      </c>
      <c r="U112" s="15" t="s">
        <v>5511</v>
      </c>
      <c r="V112" s="15" t="s">
        <v>5512</v>
      </c>
      <c r="W112" s="15" t="s">
        <v>5513</v>
      </c>
      <c r="X112" s="15">
        <v>84.4</v>
      </c>
      <c r="Y112" s="15" t="s">
        <v>2795</v>
      </c>
      <c r="Z112" s="15">
        <v>8.81</v>
      </c>
      <c r="AA112" s="15">
        <v>8.1</v>
      </c>
      <c r="AB112" s="15" t="s">
        <v>2796</v>
      </c>
      <c r="AC112" s="15" t="s">
        <v>2796</v>
      </c>
      <c r="AD112" s="15" t="s">
        <v>2796</v>
      </c>
      <c r="AE112" s="15" t="s">
        <v>2796</v>
      </c>
      <c r="AF112" s="15">
        <v>8.1</v>
      </c>
      <c r="AG112" s="15">
        <v>8.32</v>
      </c>
      <c r="AH112" s="15">
        <v>70.0</v>
      </c>
      <c r="AI112" s="18"/>
      <c r="AJ112" s="15" t="s">
        <v>2787</v>
      </c>
      <c r="AK112" s="15" t="s">
        <v>2787</v>
      </c>
      <c r="AL112" s="15">
        <v>593.0</v>
      </c>
      <c r="AM112" s="15">
        <v>660.0</v>
      </c>
      <c r="AN112" s="15" t="s">
        <v>2787</v>
      </c>
      <c r="AO112" s="15">
        <v>0.0</v>
      </c>
      <c r="AP112" s="15" t="s">
        <v>5514</v>
      </c>
      <c r="AQ112" s="15" t="s">
        <v>5515</v>
      </c>
      <c r="AR112" s="15" t="s">
        <v>5516</v>
      </c>
      <c r="AS112" s="15" t="s">
        <v>5517</v>
      </c>
      <c r="AT112" s="18"/>
      <c r="AU112" s="15" t="s">
        <v>5518</v>
      </c>
      <c r="AV112" s="15" t="s">
        <v>5519</v>
      </c>
      <c r="AW112" s="15" t="s">
        <v>5520</v>
      </c>
      <c r="AX112" s="18"/>
      <c r="AY112" s="15" t="s">
        <v>5521</v>
      </c>
      <c r="AZ112" s="15" t="s">
        <v>5335</v>
      </c>
      <c r="BA112" s="15" t="s">
        <v>5522</v>
      </c>
      <c r="BB112" s="15" t="s">
        <v>5523</v>
      </c>
      <c r="BC112" s="15" t="s">
        <v>5524</v>
      </c>
      <c r="BD112" s="15" t="s">
        <v>2807</v>
      </c>
      <c r="BE112" s="15" t="s">
        <v>5525</v>
      </c>
      <c r="BF112" s="18"/>
      <c r="BG112" s="18"/>
      <c r="BH112" s="15" t="s">
        <v>5526</v>
      </c>
      <c r="BI112" s="15" t="s">
        <v>5527</v>
      </c>
      <c r="BJ112" s="19" t="s">
        <v>5528</v>
      </c>
      <c r="BK112" s="19" t="s">
        <v>5529</v>
      </c>
      <c r="BL112" s="19" t="s">
        <v>5530</v>
      </c>
      <c r="BM112" s="19" t="s">
        <v>5531</v>
      </c>
      <c r="BN112" s="20" t="s">
        <v>5532</v>
      </c>
      <c r="BO112" s="19" t="s">
        <v>5533</v>
      </c>
      <c r="BP112" s="19" t="s">
        <v>5534</v>
      </c>
      <c r="BQ112" s="15" t="s">
        <v>364</v>
      </c>
      <c r="BR112" s="26"/>
      <c r="BS112" s="26"/>
      <c r="BT112" s="19" t="s">
        <v>5535</v>
      </c>
      <c r="BU112" s="26"/>
      <c r="BV112" s="26"/>
      <c r="BW112" s="15" t="s">
        <v>5536</v>
      </c>
      <c r="BX112" s="26"/>
      <c r="BY112" s="18" t="str">
        <f t="shared" si="102"/>
        <v>COMP</v>
      </c>
      <c r="BZ112" s="24" t="str">
        <f t="shared" si="100"/>
        <v>https://drive.google.com/open?id=14Y_xABcobDT4ElfPTdcF6AxYMw09ETS_</v>
      </c>
      <c r="CA112" s="24" t="str">
        <f t="shared" si="101"/>
        <v>https://drive.google.com/open?id=1QgESXqggKWeszR1-fJAYrGcbfY0gaJI_</v>
      </c>
      <c r="CB112" s="15" t="s">
        <v>2821</v>
      </c>
      <c r="CC112" s="15" t="s">
        <v>2821</v>
      </c>
      <c r="CD112" s="25" t="s">
        <v>2909</v>
      </c>
      <c r="CE112" s="18"/>
      <c r="CF112" s="18"/>
      <c r="CG112" s="18"/>
    </row>
    <row r="113" ht="18.75" customHeight="1">
      <c r="A113" s="14">
        <v>44734.6089602662</v>
      </c>
      <c r="B113" s="15" t="s">
        <v>960</v>
      </c>
      <c r="C113" s="16" t="s">
        <v>5537</v>
      </c>
      <c r="D113" s="15" t="str">
        <f>IFERROR(__xludf.DUMMYFUNCTION("QUERY(TY_ALL_2023_Batch!$A$1:$E$824, ""SELECT E WHERE C='""&amp;B113&amp;""'"", 0)"),"COMP")</f>
        <v>COMP</v>
      </c>
      <c r="E113" s="15" t="s">
        <v>5538</v>
      </c>
      <c r="F113" s="18"/>
      <c r="G113" s="15" t="s">
        <v>5539</v>
      </c>
      <c r="H113" s="15" t="s">
        <v>2785</v>
      </c>
      <c r="I113" s="17">
        <v>36974.0</v>
      </c>
      <c r="J113" s="15">
        <v>2019.0</v>
      </c>
      <c r="K113" s="15" t="s">
        <v>2786</v>
      </c>
      <c r="L113" s="15" t="s">
        <v>2787</v>
      </c>
      <c r="M113" s="18"/>
      <c r="N113" s="15" t="s">
        <v>5540</v>
      </c>
      <c r="O113" s="15" t="s">
        <v>960</v>
      </c>
      <c r="P113" s="19" t="s">
        <v>5541</v>
      </c>
      <c r="Q113" s="15">
        <v>9.784198155E9</v>
      </c>
      <c r="R113" s="15">
        <v>9.784198155E9</v>
      </c>
      <c r="S113" s="18"/>
      <c r="T113" s="15" t="s">
        <v>5542</v>
      </c>
      <c r="U113" s="15" t="s">
        <v>5543</v>
      </c>
      <c r="V113" s="15" t="s">
        <v>5544</v>
      </c>
      <c r="W113" s="15" t="s">
        <v>5545</v>
      </c>
      <c r="X113" s="15">
        <v>95.0</v>
      </c>
      <c r="Y113" s="15" t="s">
        <v>2795</v>
      </c>
      <c r="Z113" s="15">
        <v>8.9</v>
      </c>
      <c r="AA113" s="15">
        <v>9.05</v>
      </c>
      <c r="AB113" s="15" t="s">
        <v>2796</v>
      </c>
      <c r="AC113" s="15" t="s">
        <v>2796</v>
      </c>
      <c r="AD113" s="15" t="s">
        <v>2796</v>
      </c>
      <c r="AE113" s="15" t="s">
        <v>2796</v>
      </c>
      <c r="AF113" s="15">
        <v>9.37</v>
      </c>
      <c r="AG113" s="15">
        <v>9.62</v>
      </c>
      <c r="AH113" s="15">
        <v>90.2</v>
      </c>
      <c r="AI113" s="18"/>
      <c r="AJ113" s="15" t="s">
        <v>2787</v>
      </c>
      <c r="AK113" s="15" t="s">
        <v>2787</v>
      </c>
      <c r="AL113" s="15">
        <v>660.0</v>
      </c>
      <c r="AM113" s="15">
        <v>681.67</v>
      </c>
      <c r="AN113" s="15" t="s">
        <v>2797</v>
      </c>
      <c r="AO113" s="18"/>
      <c r="AP113" s="18"/>
      <c r="AQ113" s="15" t="s">
        <v>5546</v>
      </c>
      <c r="AR113" s="15" t="s">
        <v>5547</v>
      </c>
      <c r="AS113" s="15" t="s">
        <v>5548</v>
      </c>
      <c r="AT113" s="18"/>
      <c r="AU113" s="18"/>
      <c r="AV113" s="15" t="s">
        <v>5549</v>
      </c>
      <c r="AW113" s="15" t="s">
        <v>5550</v>
      </c>
      <c r="AX113" s="18"/>
      <c r="AY113" s="15" t="s">
        <v>5551</v>
      </c>
      <c r="AZ113" s="15" t="s">
        <v>5335</v>
      </c>
      <c r="BA113" s="15" t="s">
        <v>5552</v>
      </c>
      <c r="BB113" s="15" t="s">
        <v>5553</v>
      </c>
      <c r="BC113" s="15" t="s">
        <v>5554</v>
      </c>
      <c r="BD113" s="15" t="s">
        <v>2807</v>
      </c>
      <c r="BE113" s="15" t="s">
        <v>5555</v>
      </c>
      <c r="BF113" s="15" t="s">
        <v>2796</v>
      </c>
      <c r="BG113" s="18"/>
      <c r="BH113" s="18"/>
      <c r="BI113" s="18"/>
      <c r="BJ113" s="19" t="s">
        <v>5556</v>
      </c>
      <c r="BK113" s="19" t="s">
        <v>5557</v>
      </c>
      <c r="BL113" s="19" t="s">
        <v>5558</v>
      </c>
      <c r="BM113" s="19" t="s">
        <v>5559</v>
      </c>
      <c r="BN113" s="20" t="s">
        <v>5560</v>
      </c>
      <c r="BO113" s="19" t="s">
        <v>5561</v>
      </c>
      <c r="BP113" s="20" t="s">
        <v>5562</v>
      </c>
      <c r="BQ113" s="15" t="s">
        <v>364</v>
      </c>
      <c r="BR113" s="26"/>
      <c r="BS113" s="26"/>
      <c r="BT113" s="26"/>
      <c r="BU113" s="26"/>
      <c r="BV113" s="26"/>
      <c r="BW113" s="26"/>
      <c r="BX113" s="26"/>
      <c r="BY113" s="18" t="str">
        <f t="shared" si="102"/>
        <v>COMP</v>
      </c>
      <c r="BZ113" s="24" t="str">
        <f t="shared" si="100"/>
        <v>https://drive.google.com/open?id=1pU_IXiZ4gxptqaYnBDX2O_hzEusi-YBQ</v>
      </c>
      <c r="CA113" s="24" t="str">
        <f t="shared" si="101"/>
        <v>https://drive.google.com/open?id=1pyc99yas5rLrR1BhUvTB993lMOY0EIka</v>
      </c>
      <c r="CB113" s="15" t="s">
        <v>2821</v>
      </c>
      <c r="CC113" s="15" t="s">
        <v>2821</v>
      </c>
      <c r="CD113" s="25" t="s">
        <v>2797</v>
      </c>
      <c r="CE113" s="18"/>
      <c r="CF113" s="18"/>
      <c r="CG113" s="18"/>
    </row>
    <row r="114" ht="18.75" customHeight="1">
      <c r="A114" s="14">
        <v>44743.6042412963</v>
      </c>
      <c r="B114" s="15" t="s">
        <v>855</v>
      </c>
      <c r="C114" s="16" t="s">
        <v>5563</v>
      </c>
      <c r="D114" s="15" t="str">
        <f>IFERROR(__xludf.DUMMYFUNCTION("QUERY(TY_ALL_2023_Batch!$A$1:$E$824, ""SELECT E WHERE C='""&amp;B114&amp;""'"", 0)"),"COMP")</f>
        <v>COMP</v>
      </c>
      <c r="E114" s="15" t="s">
        <v>5564</v>
      </c>
      <c r="F114" s="15" t="s">
        <v>5565</v>
      </c>
      <c r="G114" s="15" t="s">
        <v>5566</v>
      </c>
      <c r="H114" s="15" t="s">
        <v>2826</v>
      </c>
      <c r="I114" s="17">
        <v>37379.0</v>
      </c>
      <c r="J114" s="15">
        <v>2019.0</v>
      </c>
      <c r="K114" s="15" t="s">
        <v>2786</v>
      </c>
      <c r="L114" s="15" t="s">
        <v>2787</v>
      </c>
      <c r="M114" s="18"/>
      <c r="N114" s="15" t="s">
        <v>5567</v>
      </c>
      <c r="O114" s="15" t="s">
        <v>855</v>
      </c>
      <c r="P114" s="19" t="s">
        <v>5568</v>
      </c>
      <c r="Q114" s="15">
        <v>9.511752723E9</v>
      </c>
      <c r="R114" s="15">
        <v>9.511752723E9</v>
      </c>
      <c r="S114" s="18"/>
      <c r="T114" s="15" t="s">
        <v>5565</v>
      </c>
      <c r="U114" s="15" t="s">
        <v>5569</v>
      </c>
      <c r="V114" s="15" t="s">
        <v>5570</v>
      </c>
      <c r="W114" s="15" t="s">
        <v>5571</v>
      </c>
      <c r="X114" s="15">
        <v>90.4</v>
      </c>
      <c r="Y114" s="15" t="s">
        <v>2795</v>
      </c>
      <c r="Z114" s="15">
        <v>9.33</v>
      </c>
      <c r="AA114" s="15">
        <v>9.52</v>
      </c>
      <c r="AB114" s="15" t="s">
        <v>2796</v>
      </c>
      <c r="AC114" s="15" t="s">
        <v>2796</v>
      </c>
      <c r="AD114" s="15" t="s">
        <v>2796</v>
      </c>
      <c r="AE114" s="15" t="s">
        <v>2796</v>
      </c>
      <c r="AF114" s="15">
        <v>7.79</v>
      </c>
      <c r="AG114" s="15">
        <v>8.95</v>
      </c>
      <c r="AH114" s="15">
        <v>71.08</v>
      </c>
      <c r="AI114" s="18"/>
      <c r="AJ114" s="15" t="s">
        <v>2787</v>
      </c>
      <c r="AK114" s="15" t="s">
        <v>2787</v>
      </c>
      <c r="AL114" s="15">
        <v>80.0</v>
      </c>
      <c r="AM114" s="15">
        <v>82.0</v>
      </c>
      <c r="AN114" s="15" t="s">
        <v>2797</v>
      </c>
      <c r="AO114" s="18"/>
      <c r="AP114" s="18"/>
      <c r="AQ114" s="15" t="s">
        <v>5356</v>
      </c>
      <c r="AR114" s="18"/>
      <c r="AS114" s="15" t="s">
        <v>5572</v>
      </c>
      <c r="AT114" s="18"/>
      <c r="AU114" s="15" t="s">
        <v>5573</v>
      </c>
      <c r="AV114" s="15" t="s">
        <v>5574</v>
      </c>
      <c r="AW114" s="15" t="s">
        <v>5575</v>
      </c>
      <c r="AX114" s="18"/>
      <c r="AY114" s="15" t="s">
        <v>5576</v>
      </c>
      <c r="AZ114" s="15" t="s">
        <v>5335</v>
      </c>
      <c r="BA114" s="15" t="s">
        <v>2806</v>
      </c>
      <c r="BB114" s="15" t="s">
        <v>5311</v>
      </c>
      <c r="BC114" s="15" t="s">
        <v>5577</v>
      </c>
      <c r="BD114" s="15" t="s">
        <v>5578</v>
      </c>
      <c r="BE114" s="15" t="s">
        <v>2796</v>
      </c>
      <c r="BF114" s="18"/>
      <c r="BG114" s="18"/>
      <c r="BH114" s="15" t="s">
        <v>5579</v>
      </c>
      <c r="BI114" s="18"/>
      <c r="BJ114" s="19" t="s">
        <v>5580</v>
      </c>
      <c r="BK114" s="19" t="s">
        <v>5581</v>
      </c>
      <c r="BL114" s="18"/>
      <c r="BM114" s="18"/>
      <c r="BN114" s="19" t="s">
        <v>5582</v>
      </c>
      <c r="BO114" s="19" t="s">
        <v>5583</v>
      </c>
      <c r="BP114" s="18"/>
      <c r="BQ114" s="15" t="s">
        <v>364</v>
      </c>
      <c r="BR114" s="18"/>
      <c r="BS114" s="18"/>
      <c r="BT114" s="19" t="s">
        <v>5584</v>
      </c>
      <c r="BU114" s="19" t="s">
        <v>5585</v>
      </c>
      <c r="BV114" s="19" t="s">
        <v>5586</v>
      </c>
      <c r="BW114" s="15" t="s">
        <v>5587</v>
      </c>
      <c r="BX114" s="18"/>
      <c r="BY114" s="18" t="str">
        <f t="shared" si="102"/>
        <v>COMP</v>
      </c>
      <c r="BZ114" s="24" t="str">
        <f t="shared" si="100"/>
        <v>https://drive.google.com/open?id=107ui2l3j1JYTtrWD_85PHvo89uUFwmw0</v>
      </c>
      <c r="CA114" s="24" t="str">
        <f t="shared" si="101"/>
        <v>https://drive.google.com/open?id=1utBt0q-_xiB6bWChH4n9o9Ah6OLwDF4w</v>
      </c>
      <c r="CB114" s="15" t="s">
        <v>2908</v>
      </c>
      <c r="CC114" s="15" t="s">
        <v>2908</v>
      </c>
      <c r="CD114" s="25" t="s">
        <v>2909</v>
      </c>
      <c r="CE114" s="18"/>
      <c r="CF114" s="18"/>
      <c r="CG114" s="18"/>
    </row>
    <row r="115" ht="18.75" customHeight="1">
      <c r="A115" s="14">
        <v>44734.51261197917</v>
      </c>
      <c r="B115" s="15" t="s">
        <v>678</v>
      </c>
      <c r="C115" s="16" t="s">
        <v>5588</v>
      </c>
      <c r="D115" s="15" t="str">
        <f>IFERROR(__xludf.DUMMYFUNCTION("QUERY(TY_ALL_2023_Batch!$A$1:$E$824, ""SELECT E WHERE C='""&amp;B115&amp;""'"", 0)"),"COMP")</f>
        <v>COMP</v>
      </c>
      <c r="E115" s="15" t="s">
        <v>3192</v>
      </c>
      <c r="F115" s="15" t="s">
        <v>5589</v>
      </c>
      <c r="G115" s="15" t="s">
        <v>5590</v>
      </c>
      <c r="H115" s="15" t="s">
        <v>2785</v>
      </c>
      <c r="I115" s="17">
        <v>36944.0</v>
      </c>
      <c r="J115" s="15">
        <v>2019.0</v>
      </c>
      <c r="K115" s="15" t="s">
        <v>2786</v>
      </c>
      <c r="L115" s="15" t="s">
        <v>2787</v>
      </c>
      <c r="M115" s="18"/>
      <c r="N115" s="15" t="s">
        <v>5591</v>
      </c>
      <c r="O115" s="15" t="s">
        <v>5592</v>
      </c>
      <c r="P115" s="19" t="s">
        <v>5593</v>
      </c>
      <c r="Q115" s="15">
        <v>7.888010348E9</v>
      </c>
      <c r="R115" s="15">
        <v>7.888010348E9</v>
      </c>
      <c r="S115" s="15">
        <v>9.890050724E9</v>
      </c>
      <c r="T115" s="15" t="s">
        <v>5594</v>
      </c>
      <c r="U115" s="15" t="s">
        <v>5595</v>
      </c>
      <c r="V115" s="15" t="s">
        <v>5596</v>
      </c>
      <c r="W115" s="18"/>
      <c r="X115" s="15">
        <v>90.6</v>
      </c>
      <c r="Y115" s="15" t="s">
        <v>2795</v>
      </c>
      <c r="Z115" s="15">
        <v>9.57</v>
      </c>
      <c r="AA115" s="15">
        <v>9.43</v>
      </c>
      <c r="AB115" s="15" t="s">
        <v>2796</v>
      </c>
      <c r="AC115" s="15" t="s">
        <v>2796</v>
      </c>
      <c r="AD115" s="15" t="s">
        <v>2796</v>
      </c>
      <c r="AE115" s="15" t="s">
        <v>2796</v>
      </c>
      <c r="AF115" s="15">
        <v>8.42</v>
      </c>
      <c r="AG115" s="15">
        <v>9.14</v>
      </c>
      <c r="AH115" s="15">
        <v>81.54</v>
      </c>
      <c r="AI115" s="18"/>
      <c r="AJ115" s="15" t="s">
        <v>2787</v>
      </c>
      <c r="AK115" s="15" t="s">
        <v>2787</v>
      </c>
      <c r="AL115" s="15">
        <v>670.0</v>
      </c>
      <c r="AM115" s="15">
        <v>663.0</v>
      </c>
      <c r="AN115" s="15" t="s">
        <v>2797</v>
      </c>
      <c r="AO115" s="18"/>
      <c r="AP115" s="18"/>
      <c r="AQ115" s="15" t="s">
        <v>5254</v>
      </c>
      <c r="AR115" s="15" t="s">
        <v>5597</v>
      </c>
      <c r="AS115" s="15" t="s">
        <v>5598</v>
      </c>
      <c r="AT115" s="18"/>
      <c r="AU115" s="15" t="s">
        <v>5599</v>
      </c>
      <c r="AV115" s="15" t="s">
        <v>5600</v>
      </c>
      <c r="AW115" s="15" t="s">
        <v>5601</v>
      </c>
      <c r="AX115" s="18"/>
      <c r="AY115" s="15" t="s">
        <v>5602</v>
      </c>
      <c r="AZ115" s="15" t="s">
        <v>5287</v>
      </c>
      <c r="BA115" s="15" t="s">
        <v>5552</v>
      </c>
      <c r="BB115" s="15" t="s">
        <v>5603</v>
      </c>
      <c r="BC115" s="15" t="s">
        <v>5604</v>
      </c>
      <c r="BD115" s="15" t="s">
        <v>2807</v>
      </c>
      <c r="BE115" s="15" t="s">
        <v>2796</v>
      </c>
      <c r="BF115" s="18"/>
      <c r="BG115" s="18"/>
      <c r="BH115" s="18"/>
      <c r="BI115" s="18"/>
      <c r="BJ115" s="19" t="s">
        <v>5605</v>
      </c>
      <c r="BK115" s="19" t="s">
        <v>5606</v>
      </c>
      <c r="BL115" s="19" t="s">
        <v>5607</v>
      </c>
      <c r="BM115" s="19" t="s">
        <v>5608</v>
      </c>
      <c r="BN115" s="19" t="s">
        <v>5609</v>
      </c>
      <c r="BO115" s="19" t="s">
        <v>5610</v>
      </c>
      <c r="BP115" s="19" t="s">
        <v>5611</v>
      </c>
      <c r="BQ115" s="15" t="s">
        <v>364</v>
      </c>
      <c r="BR115" s="26"/>
      <c r="BS115" s="26"/>
      <c r="BT115" s="26"/>
      <c r="BU115" s="26"/>
      <c r="BV115" s="26"/>
      <c r="BW115" s="26"/>
      <c r="BX115" s="26"/>
      <c r="BY115" s="18" t="str">
        <f t="shared" si="102"/>
        <v>COMP</v>
      </c>
      <c r="BZ115" s="24" t="str">
        <f t="shared" si="100"/>
        <v>https://drive.google.com/open?id=1LCm9sK0faZe7q9P8B7tF8IKAIVLaa4aW</v>
      </c>
      <c r="CA115" s="24" t="str">
        <f t="shared" si="101"/>
        <v>https://drive.google.com/open?id=1jE1uLJR5amc5oL2iU2cjrPJBGWYfSwpZ</v>
      </c>
      <c r="CB115" s="15" t="s">
        <v>2821</v>
      </c>
      <c r="CC115" s="15" t="s">
        <v>2821</v>
      </c>
      <c r="CD115" s="25" t="s">
        <v>2797</v>
      </c>
      <c r="CE115" s="18"/>
      <c r="CF115" s="18"/>
      <c r="CG115" s="18"/>
    </row>
    <row r="116" ht="18.75" customHeight="1">
      <c r="A116" s="14">
        <v>44746.57957231482</v>
      </c>
      <c r="B116" s="15" t="s">
        <v>612</v>
      </c>
      <c r="C116" s="16" t="s">
        <v>5612</v>
      </c>
      <c r="D116" s="15" t="str">
        <f>IFERROR(__xludf.DUMMYFUNCTION("QUERY(TY_ALL_2023_Batch!$A$1:$E$824, ""SELECT E WHERE C='""&amp;B116&amp;""'"", 0)"),"COMP")</f>
        <v>COMP</v>
      </c>
      <c r="E116" s="15" t="s">
        <v>5613</v>
      </c>
      <c r="F116" s="15" t="s">
        <v>2972</v>
      </c>
      <c r="G116" s="15" t="s">
        <v>5614</v>
      </c>
      <c r="H116" s="15" t="s">
        <v>2826</v>
      </c>
      <c r="I116" s="17">
        <v>36733.0</v>
      </c>
      <c r="J116" s="15">
        <v>2019.0</v>
      </c>
      <c r="K116" s="15" t="s">
        <v>2786</v>
      </c>
      <c r="L116" s="15" t="s">
        <v>2787</v>
      </c>
      <c r="M116" s="18"/>
      <c r="N116" s="15" t="s">
        <v>5615</v>
      </c>
      <c r="O116" s="15" t="s">
        <v>612</v>
      </c>
      <c r="P116" s="19" t="s">
        <v>5616</v>
      </c>
      <c r="Q116" s="15">
        <v>9.881024905E9</v>
      </c>
      <c r="R116" s="15">
        <v>9.881024905E9</v>
      </c>
      <c r="S116" s="15">
        <v>9.881024905E9</v>
      </c>
      <c r="T116" s="15" t="s">
        <v>5617</v>
      </c>
      <c r="U116" s="15" t="s">
        <v>5618</v>
      </c>
      <c r="V116" s="15" t="s">
        <v>5619</v>
      </c>
      <c r="W116" s="18"/>
      <c r="X116" s="15">
        <v>90.0</v>
      </c>
      <c r="Y116" s="15" t="s">
        <v>2795</v>
      </c>
      <c r="Z116" s="15">
        <v>9.19</v>
      </c>
      <c r="AA116" s="15">
        <v>8.57</v>
      </c>
      <c r="AB116" s="15" t="s">
        <v>2796</v>
      </c>
      <c r="AC116" s="15" t="s">
        <v>2796</v>
      </c>
      <c r="AD116" s="15" t="s">
        <v>2796</v>
      </c>
      <c r="AE116" s="15" t="s">
        <v>2796</v>
      </c>
      <c r="AF116" s="15">
        <v>8.26</v>
      </c>
      <c r="AG116" s="15">
        <v>8.76</v>
      </c>
      <c r="AH116" s="15">
        <v>81.69</v>
      </c>
      <c r="AI116" s="18"/>
      <c r="AJ116" s="15" t="s">
        <v>2797</v>
      </c>
      <c r="AK116" s="15" t="s">
        <v>2787</v>
      </c>
      <c r="AL116" s="18"/>
      <c r="AM116" s="15">
        <v>590.0</v>
      </c>
      <c r="AN116" s="15" t="s">
        <v>2797</v>
      </c>
      <c r="AO116" s="18"/>
      <c r="AP116" s="18"/>
      <c r="AQ116" s="15" t="s">
        <v>5620</v>
      </c>
      <c r="AR116" s="15"/>
      <c r="AS116" s="15"/>
      <c r="AT116" s="18"/>
      <c r="AU116" s="15" t="s">
        <v>5621</v>
      </c>
      <c r="AV116" s="15" t="s">
        <v>5622</v>
      </c>
      <c r="AW116" s="15" t="s">
        <v>5623</v>
      </c>
      <c r="AX116" s="18"/>
      <c r="AY116" s="15" t="s">
        <v>5624</v>
      </c>
      <c r="AZ116" s="15" t="s">
        <v>5625</v>
      </c>
      <c r="BA116" s="15" t="s">
        <v>5552</v>
      </c>
      <c r="BB116" s="15" t="s">
        <v>5626</v>
      </c>
      <c r="BC116" s="15" t="s">
        <v>3686</v>
      </c>
      <c r="BD116" s="15" t="s">
        <v>2807</v>
      </c>
      <c r="BE116" s="15" t="s">
        <v>5627</v>
      </c>
      <c r="BF116" s="15" t="s">
        <v>5628</v>
      </c>
      <c r="BG116" s="18"/>
      <c r="BH116" s="18"/>
      <c r="BI116" s="18"/>
      <c r="BJ116" s="19" t="s">
        <v>5629</v>
      </c>
      <c r="BK116" s="19" t="s">
        <v>5630</v>
      </c>
      <c r="BL116" s="18"/>
      <c r="BM116" s="19" t="s">
        <v>5631</v>
      </c>
      <c r="BN116" s="19" t="s">
        <v>5632</v>
      </c>
      <c r="BO116" s="19" t="s">
        <v>5633</v>
      </c>
      <c r="BP116" s="19" t="s">
        <v>5634</v>
      </c>
      <c r="BQ116" s="15" t="s">
        <v>364</v>
      </c>
      <c r="BR116" s="26"/>
      <c r="BS116" s="26"/>
      <c r="BT116" s="19" t="s">
        <v>5635</v>
      </c>
      <c r="BU116" s="26"/>
      <c r="BV116" s="26"/>
      <c r="BW116" s="15" t="s">
        <v>5636</v>
      </c>
      <c r="BX116" s="26"/>
      <c r="BY116" s="18" t="str">
        <f t="shared" si="102"/>
        <v>COMP</v>
      </c>
      <c r="BZ116" s="18" t="str">
        <f t="shared" si="100"/>
        <v/>
      </c>
      <c r="CA116" s="24" t="str">
        <f t="shared" si="101"/>
        <v>https://drive.google.com/open?id=1SP4rNKk6R0GVB9dsQE80tLr1cf1vgaLr</v>
      </c>
      <c r="CB116" s="15" t="s">
        <v>2908</v>
      </c>
      <c r="CC116" s="15" t="s">
        <v>2821</v>
      </c>
      <c r="CD116" s="25" t="s">
        <v>2909</v>
      </c>
      <c r="CE116" s="18"/>
      <c r="CF116" s="18"/>
      <c r="CG116" s="18"/>
    </row>
    <row r="117" ht="18.75" customHeight="1">
      <c r="A117" s="14">
        <v>44736.469999594905</v>
      </c>
      <c r="B117" s="15" t="s">
        <v>846</v>
      </c>
      <c r="C117" s="16" t="s">
        <v>5637</v>
      </c>
      <c r="D117" s="15" t="str">
        <f>IFERROR(__xludf.DUMMYFUNCTION("QUERY(TY_ALL_2023_Batch!$A$1:$E$824, ""SELECT E WHERE C='""&amp;B117&amp;""'"", 0)"),"COMP")</f>
        <v>COMP</v>
      </c>
      <c r="E117" s="15" t="s">
        <v>5638</v>
      </c>
      <c r="F117" s="15" t="s">
        <v>5639</v>
      </c>
      <c r="G117" s="15" t="s">
        <v>5640</v>
      </c>
      <c r="H117" s="15" t="s">
        <v>2785</v>
      </c>
      <c r="I117" s="17">
        <v>36633.0</v>
      </c>
      <c r="J117" s="15">
        <v>2019.0</v>
      </c>
      <c r="K117" s="15" t="s">
        <v>2786</v>
      </c>
      <c r="L117" s="15" t="s">
        <v>2787</v>
      </c>
      <c r="M117" s="18"/>
      <c r="N117" s="15" t="s">
        <v>5641</v>
      </c>
      <c r="O117" s="15" t="s">
        <v>846</v>
      </c>
      <c r="P117" s="19" t="s">
        <v>5642</v>
      </c>
      <c r="Q117" s="15">
        <v>7.620901639E9</v>
      </c>
      <c r="R117" s="15">
        <v>7.620901639E9</v>
      </c>
      <c r="S117" s="15">
        <v>7.038278994E9</v>
      </c>
      <c r="T117" s="15" t="s">
        <v>5639</v>
      </c>
      <c r="U117" s="15" t="s">
        <v>5643</v>
      </c>
      <c r="V117" s="15" t="s">
        <v>5644</v>
      </c>
      <c r="W117" s="18"/>
      <c r="X117" s="15">
        <v>96.0</v>
      </c>
      <c r="Y117" s="15" t="s">
        <v>2795</v>
      </c>
      <c r="Z117" s="15">
        <v>9.62</v>
      </c>
      <c r="AA117" s="15">
        <v>9.43</v>
      </c>
      <c r="AB117" s="15" t="s">
        <v>2796</v>
      </c>
      <c r="AC117" s="15" t="s">
        <v>2796</v>
      </c>
      <c r="AD117" s="15" t="s">
        <v>2796</v>
      </c>
      <c r="AE117" s="15" t="s">
        <v>2796</v>
      </c>
      <c r="AF117" s="15">
        <v>9.16</v>
      </c>
      <c r="AG117" s="15">
        <v>9.29</v>
      </c>
      <c r="AH117" s="15">
        <v>81.85</v>
      </c>
      <c r="AI117" s="18"/>
      <c r="AJ117" s="15" t="s">
        <v>2787</v>
      </c>
      <c r="AK117" s="15" t="s">
        <v>2787</v>
      </c>
      <c r="AL117" s="15">
        <v>670.0</v>
      </c>
      <c r="AM117" s="15">
        <v>623.33</v>
      </c>
      <c r="AN117" s="15" t="s">
        <v>2797</v>
      </c>
      <c r="AO117" s="18"/>
      <c r="AP117" s="18"/>
      <c r="AQ117" s="15" t="s">
        <v>5645</v>
      </c>
      <c r="AR117" s="18"/>
      <c r="AS117" s="18"/>
      <c r="AT117" s="18"/>
      <c r="AU117" s="18"/>
      <c r="AV117" s="15" t="s">
        <v>5646</v>
      </c>
      <c r="AW117" s="15" t="s">
        <v>5647</v>
      </c>
      <c r="AX117" s="18"/>
      <c r="AY117" s="15" t="s">
        <v>5648</v>
      </c>
      <c r="AZ117" s="15" t="s">
        <v>5625</v>
      </c>
      <c r="BA117" s="15" t="s">
        <v>2899</v>
      </c>
      <c r="BB117" s="15" t="s">
        <v>5649</v>
      </c>
      <c r="BC117" s="15" t="s">
        <v>5604</v>
      </c>
      <c r="BD117" s="15" t="s">
        <v>2807</v>
      </c>
      <c r="BE117" s="15" t="s">
        <v>5650</v>
      </c>
      <c r="BF117" s="18"/>
      <c r="BG117" s="18"/>
      <c r="BH117" s="18"/>
      <c r="BI117" s="15" t="s">
        <v>5651</v>
      </c>
      <c r="BJ117" s="19" t="s">
        <v>5652</v>
      </c>
      <c r="BK117" s="19" t="s">
        <v>5653</v>
      </c>
      <c r="BL117" s="19" t="s">
        <v>5654</v>
      </c>
      <c r="BM117" s="19" t="s">
        <v>5655</v>
      </c>
      <c r="BN117" s="18"/>
      <c r="BO117" s="19" t="s">
        <v>5656</v>
      </c>
      <c r="BP117" s="19" t="s">
        <v>5657</v>
      </c>
      <c r="BQ117" s="15" t="s">
        <v>364</v>
      </c>
      <c r="BR117" s="26"/>
      <c r="BS117" s="26"/>
      <c r="BT117" s="26"/>
      <c r="BU117" s="26"/>
      <c r="BV117" s="26"/>
      <c r="BW117" s="26"/>
      <c r="BX117" s="26"/>
      <c r="BY117" s="18" t="str">
        <f t="shared" si="102"/>
        <v>COMP</v>
      </c>
      <c r="BZ117" s="24" t="str">
        <f t="shared" si="100"/>
        <v>https://drive.google.com/open?id=1SDnWXOg0tdIs1-_EKWgBX8qb-a7VB7_E</v>
      </c>
      <c r="CA117" s="24" t="str">
        <f t="shared" si="101"/>
        <v>https://drive.google.com/open?id=1CsRh7qni_C50jBvvUB7grigZKrDKTx4U</v>
      </c>
      <c r="CB117" s="15" t="s">
        <v>2821</v>
      </c>
      <c r="CC117" s="15" t="s">
        <v>2821</v>
      </c>
      <c r="CD117" s="25" t="s">
        <v>2797</v>
      </c>
      <c r="CE117" s="18"/>
      <c r="CF117" s="18"/>
      <c r="CG117" s="18"/>
    </row>
    <row r="118" ht="18.75" customHeight="1">
      <c r="A118" s="14">
        <v>44742.84373555555</v>
      </c>
      <c r="B118" s="15" t="s">
        <v>648</v>
      </c>
      <c r="C118" s="16" t="s">
        <v>5658</v>
      </c>
      <c r="D118" s="15" t="str">
        <f>IFERROR(__xludf.DUMMYFUNCTION("QUERY(TY_ALL_2023_Batch!$A$1:$E$824, ""SELECT E WHERE C='""&amp;B118&amp;""'"", 0)"),"COMP")</f>
        <v>COMP</v>
      </c>
      <c r="E118" s="15" t="s">
        <v>5659</v>
      </c>
      <c r="F118" s="15" t="s">
        <v>5660</v>
      </c>
      <c r="G118" s="15" t="s">
        <v>5661</v>
      </c>
      <c r="H118" s="15" t="s">
        <v>2826</v>
      </c>
      <c r="I118" s="17">
        <v>37021.0</v>
      </c>
      <c r="J118" s="15">
        <v>2019.0</v>
      </c>
      <c r="K118" s="15" t="s">
        <v>2786</v>
      </c>
      <c r="L118" s="15" t="s">
        <v>2787</v>
      </c>
      <c r="M118" s="18"/>
      <c r="N118" s="15" t="s">
        <v>5662</v>
      </c>
      <c r="O118" s="15" t="s">
        <v>648</v>
      </c>
      <c r="P118" s="19" t="s">
        <v>5663</v>
      </c>
      <c r="Q118" s="15">
        <v>7.666804994E9</v>
      </c>
      <c r="R118" s="15">
        <v>7.666804994E9</v>
      </c>
      <c r="S118" s="15">
        <v>9.923783866E9</v>
      </c>
      <c r="T118" s="15" t="s">
        <v>5660</v>
      </c>
      <c r="U118" s="15" t="s">
        <v>3503</v>
      </c>
      <c r="V118" s="15" t="s">
        <v>5664</v>
      </c>
      <c r="W118" s="15" t="s">
        <v>5665</v>
      </c>
      <c r="X118" s="15">
        <v>98.6</v>
      </c>
      <c r="Y118" s="15" t="s">
        <v>2795</v>
      </c>
      <c r="Z118" s="15">
        <v>9.9</v>
      </c>
      <c r="AA118" s="15">
        <v>9.76</v>
      </c>
      <c r="AB118" s="15" t="s">
        <v>2796</v>
      </c>
      <c r="AC118" s="15" t="s">
        <v>2796</v>
      </c>
      <c r="AD118" s="15" t="s">
        <v>2796</v>
      </c>
      <c r="AE118" s="15" t="s">
        <v>2796</v>
      </c>
      <c r="AF118" s="15">
        <v>9.76</v>
      </c>
      <c r="AG118" s="15">
        <v>9.47</v>
      </c>
      <c r="AH118" s="15">
        <v>90.92</v>
      </c>
      <c r="AI118" s="18"/>
      <c r="AJ118" s="15" t="s">
        <v>2787</v>
      </c>
      <c r="AK118" s="15" t="s">
        <v>2787</v>
      </c>
      <c r="AL118" s="15">
        <v>655.0</v>
      </c>
      <c r="AM118" s="15">
        <v>728.34</v>
      </c>
      <c r="AN118" s="15" t="s">
        <v>2797</v>
      </c>
      <c r="AO118" s="15" t="s">
        <v>2796</v>
      </c>
      <c r="AP118" s="15" t="s">
        <v>2796</v>
      </c>
      <c r="AQ118" s="15" t="s">
        <v>5666</v>
      </c>
      <c r="AR118" s="15" t="s">
        <v>5667</v>
      </c>
      <c r="AS118" s="18"/>
      <c r="AT118" s="18"/>
      <c r="AU118" s="15" t="s">
        <v>5668</v>
      </c>
      <c r="AV118" s="15" t="s">
        <v>5669</v>
      </c>
      <c r="AW118" s="15" t="s">
        <v>5670</v>
      </c>
      <c r="AX118" s="18"/>
      <c r="AY118" s="15" t="s">
        <v>5671</v>
      </c>
      <c r="AZ118" s="15" t="s">
        <v>5287</v>
      </c>
      <c r="BA118" s="15" t="s">
        <v>5672</v>
      </c>
      <c r="BB118" s="15" t="s">
        <v>5673</v>
      </c>
      <c r="BC118" s="15" t="s">
        <v>3686</v>
      </c>
      <c r="BD118" s="15" t="s">
        <v>2807</v>
      </c>
      <c r="BE118" s="15" t="s">
        <v>5674</v>
      </c>
      <c r="BF118" s="18"/>
      <c r="BG118" s="18"/>
      <c r="BH118" s="15" t="s">
        <v>5675</v>
      </c>
      <c r="BI118" s="15" t="s">
        <v>5676</v>
      </c>
      <c r="BJ118" s="19" t="s">
        <v>5677</v>
      </c>
      <c r="BK118" s="19" t="s">
        <v>5678</v>
      </c>
      <c r="BL118" s="19" t="s">
        <v>5679</v>
      </c>
      <c r="BM118" s="19" t="s">
        <v>5680</v>
      </c>
      <c r="BN118" s="19" t="s">
        <v>5681</v>
      </c>
      <c r="BO118" s="19" t="s">
        <v>5682</v>
      </c>
      <c r="BP118" s="20" t="s">
        <v>5683</v>
      </c>
      <c r="BQ118" s="15" t="s">
        <v>364</v>
      </c>
      <c r="BR118" s="19" t="s">
        <v>5684</v>
      </c>
      <c r="BS118" s="19" t="s">
        <v>5685</v>
      </c>
      <c r="BT118" s="19" t="s">
        <v>5686</v>
      </c>
      <c r="BU118" s="19" t="s">
        <v>5687</v>
      </c>
      <c r="BV118" s="19" t="s">
        <v>5688</v>
      </c>
      <c r="BW118" s="15" t="s">
        <v>5689</v>
      </c>
      <c r="BX118" s="26"/>
      <c r="BY118" s="18" t="str">
        <f t="shared" si="102"/>
        <v>COMP</v>
      </c>
      <c r="BZ118" s="24" t="str">
        <f t="shared" si="100"/>
        <v>https://drive.google.com/open?id=1jBkXRC0D-UN9qb2Hqv-iZ3EsnTyeynQp</v>
      </c>
      <c r="CA118" s="24" t="str">
        <f t="shared" si="101"/>
        <v>https://drive.google.com/open?id=1f0jkywTHV6HJTCx7GWrtRFRmlR7xzNgv</v>
      </c>
      <c r="CB118" s="15" t="s">
        <v>2821</v>
      </c>
      <c r="CC118" s="15" t="s">
        <v>2821</v>
      </c>
      <c r="CD118" s="25" t="s">
        <v>2909</v>
      </c>
      <c r="CE118" s="18"/>
      <c r="CF118" s="18"/>
      <c r="CG118" s="18"/>
    </row>
    <row r="119" ht="18.75" customHeight="1">
      <c r="A119" s="14">
        <v>44742.82980766204</v>
      </c>
      <c r="B119" s="15" t="s">
        <v>702</v>
      </c>
      <c r="C119" s="16" t="s">
        <v>5690</v>
      </c>
      <c r="D119" s="15" t="str">
        <f>IFERROR(__xludf.DUMMYFUNCTION("QUERY(TY_ALL_2023_Batch!$A$1:$E$824, ""SELECT E WHERE C='""&amp;B119&amp;""'"", 0)"),"COMP")</f>
        <v>COMP</v>
      </c>
      <c r="E119" s="15" t="s">
        <v>5328</v>
      </c>
      <c r="F119" s="15" t="s">
        <v>4470</v>
      </c>
      <c r="G119" s="15" t="s">
        <v>5691</v>
      </c>
      <c r="H119" s="15" t="s">
        <v>2826</v>
      </c>
      <c r="I119" s="17">
        <v>36783.0</v>
      </c>
      <c r="J119" s="15">
        <v>2019.0</v>
      </c>
      <c r="K119" s="15" t="s">
        <v>2786</v>
      </c>
      <c r="L119" s="15" t="s">
        <v>2787</v>
      </c>
      <c r="M119" s="18"/>
      <c r="N119" s="15" t="s">
        <v>5692</v>
      </c>
      <c r="O119" s="15" t="s">
        <v>702</v>
      </c>
      <c r="P119" s="19" t="s">
        <v>5693</v>
      </c>
      <c r="Q119" s="15">
        <v>7.71091024E9</v>
      </c>
      <c r="R119" s="15">
        <v>7.71091024E9</v>
      </c>
      <c r="S119" s="15">
        <v>7.738787363E9</v>
      </c>
      <c r="T119" s="15" t="s">
        <v>5694</v>
      </c>
      <c r="U119" s="15" t="s">
        <v>5695</v>
      </c>
      <c r="V119" s="15" t="s">
        <v>5696</v>
      </c>
      <c r="W119" s="15" t="s">
        <v>5697</v>
      </c>
      <c r="X119" s="15">
        <v>90.8</v>
      </c>
      <c r="Y119" s="15" t="s">
        <v>2795</v>
      </c>
      <c r="Z119" s="15">
        <v>9.43</v>
      </c>
      <c r="AA119" s="15">
        <v>9.05</v>
      </c>
      <c r="AB119" s="15" t="s">
        <v>2796</v>
      </c>
      <c r="AC119" s="15" t="s">
        <v>2796</v>
      </c>
      <c r="AD119" s="15" t="s">
        <v>2796</v>
      </c>
      <c r="AE119" s="15" t="s">
        <v>2796</v>
      </c>
      <c r="AF119" s="15">
        <v>7.95</v>
      </c>
      <c r="AG119" s="15">
        <v>8.62</v>
      </c>
      <c r="AH119" s="15">
        <v>73.23</v>
      </c>
      <c r="AI119" s="18"/>
      <c r="AJ119" s="15" t="s">
        <v>2787</v>
      </c>
      <c r="AK119" s="15" t="s">
        <v>2787</v>
      </c>
      <c r="AL119" s="15">
        <v>680.0</v>
      </c>
      <c r="AM119" s="15">
        <v>642.0</v>
      </c>
      <c r="AN119" s="15" t="s">
        <v>2787</v>
      </c>
      <c r="AO119" s="18"/>
      <c r="AP119" s="15" t="s">
        <v>5698</v>
      </c>
      <c r="AQ119" s="15" t="s">
        <v>5699</v>
      </c>
      <c r="AR119" s="15" t="s">
        <v>5700</v>
      </c>
      <c r="AS119" s="15" t="s">
        <v>5701</v>
      </c>
      <c r="AT119" s="18"/>
      <c r="AU119" s="18"/>
      <c r="AV119" s="15" t="s">
        <v>5702</v>
      </c>
      <c r="AW119" s="15" t="s">
        <v>5703</v>
      </c>
      <c r="AX119" s="18"/>
      <c r="AY119" s="15" t="s">
        <v>5704</v>
      </c>
      <c r="AZ119" s="15" t="s">
        <v>5287</v>
      </c>
      <c r="BA119" s="15" t="s">
        <v>2806</v>
      </c>
      <c r="BB119" s="15" t="s">
        <v>2807</v>
      </c>
      <c r="BC119" s="15" t="s">
        <v>5705</v>
      </c>
      <c r="BD119" s="15" t="s">
        <v>2807</v>
      </c>
      <c r="BE119" s="15" t="s">
        <v>5706</v>
      </c>
      <c r="BF119" s="15" t="s">
        <v>5707</v>
      </c>
      <c r="BG119" s="15" t="s">
        <v>5708</v>
      </c>
      <c r="BH119" s="15" t="s">
        <v>5709</v>
      </c>
      <c r="BI119" s="18"/>
      <c r="BJ119" s="19" t="s">
        <v>5710</v>
      </c>
      <c r="BK119" s="19" t="s">
        <v>5711</v>
      </c>
      <c r="BL119" s="18"/>
      <c r="BM119" s="18"/>
      <c r="BN119" s="19" t="s">
        <v>5712</v>
      </c>
      <c r="BO119" s="19" t="s">
        <v>5713</v>
      </c>
      <c r="BP119" s="19" t="s">
        <v>5714</v>
      </c>
      <c r="BQ119" s="15" t="s">
        <v>364</v>
      </c>
      <c r="BR119" s="26"/>
      <c r="BS119" s="26"/>
      <c r="BT119" s="26"/>
      <c r="BU119" s="19" t="s">
        <v>5715</v>
      </c>
      <c r="BV119" s="19" t="s">
        <v>5716</v>
      </c>
      <c r="BW119" s="15" t="s">
        <v>5717</v>
      </c>
      <c r="BX119" s="26"/>
      <c r="BY119" s="18" t="str">
        <f t="shared" si="102"/>
        <v>COMP</v>
      </c>
      <c r="BZ119" s="24" t="str">
        <f t="shared" si="100"/>
        <v>https://drive.google.com/open?id=13-ljAqCzIFHV_3rERAFasO53scoZR9cX</v>
      </c>
      <c r="CA119" s="24" t="str">
        <f t="shared" si="101"/>
        <v>https://drive.google.com/open?id=1i-KzmQg1ipuBSGKjezDSO0eVSV4xH65g</v>
      </c>
      <c r="CB119" s="15" t="s">
        <v>2908</v>
      </c>
      <c r="CC119" s="15" t="s">
        <v>2908</v>
      </c>
      <c r="CD119" s="25" t="s">
        <v>2797</v>
      </c>
      <c r="CE119" s="18"/>
      <c r="CF119" s="18"/>
      <c r="CG119" s="18"/>
    </row>
    <row r="120" ht="18.75" customHeight="1">
      <c r="A120" s="14">
        <v>44735.53858232639</v>
      </c>
      <c r="B120" s="15" t="s">
        <v>756</v>
      </c>
      <c r="C120" s="16" t="s">
        <v>5718</v>
      </c>
      <c r="D120" s="15" t="str">
        <f>IFERROR(__xludf.DUMMYFUNCTION("QUERY(TY_ALL_2023_Batch!$A$1:$E$824, ""SELECT E WHERE C='""&amp;B120&amp;""'"", 0)"),"COMP")</f>
        <v>COMP</v>
      </c>
      <c r="E120" s="15" t="s">
        <v>2971</v>
      </c>
      <c r="F120" s="15" t="s">
        <v>5719</v>
      </c>
      <c r="G120" s="15" t="s">
        <v>5720</v>
      </c>
      <c r="H120" s="15" t="s">
        <v>2785</v>
      </c>
      <c r="I120" s="17">
        <v>37106.0</v>
      </c>
      <c r="J120" s="15">
        <v>2019.0</v>
      </c>
      <c r="K120" s="15" t="s">
        <v>2786</v>
      </c>
      <c r="L120" s="15" t="s">
        <v>2787</v>
      </c>
      <c r="M120" s="18"/>
      <c r="N120" s="15" t="s">
        <v>5721</v>
      </c>
      <c r="O120" s="15" t="s">
        <v>756</v>
      </c>
      <c r="P120" s="19" t="s">
        <v>5722</v>
      </c>
      <c r="Q120" s="15">
        <v>9.096995331E9</v>
      </c>
      <c r="R120" s="15">
        <v>9.096995331E9</v>
      </c>
      <c r="S120" s="15">
        <v>9.423572659E9</v>
      </c>
      <c r="T120" s="15" t="s">
        <v>5719</v>
      </c>
      <c r="U120" s="15" t="s">
        <v>5723</v>
      </c>
      <c r="V120" s="15" t="s">
        <v>5724</v>
      </c>
      <c r="W120" s="18"/>
      <c r="X120" s="15">
        <v>88.0</v>
      </c>
      <c r="Y120" s="15" t="s">
        <v>2795</v>
      </c>
      <c r="Z120" s="15">
        <v>9.47</v>
      </c>
      <c r="AA120" s="15">
        <v>9.1</v>
      </c>
      <c r="AB120" s="15" t="s">
        <v>2796</v>
      </c>
      <c r="AC120" s="15" t="s">
        <v>2796</v>
      </c>
      <c r="AD120" s="15" t="s">
        <v>2796</v>
      </c>
      <c r="AE120" s="15" t="s">
        <v>2796</v>
      </c>
      <c r="AF120" s="15">
        <v>8.63</v>
      </c>
      <c r="AG120" s="15">
        <v>8.86</v>
      </c>
      <c r="AH120" s="15">
        <v>65.0</v>
      </c>
      <c r="AI120" s="18"/>
      <c r="AJ120" s="15" t="s">
        <v>2787</v>
      </c>
      <c r="AK120" s="15" t="s">
        <v>2787</v>
      </c>
      <c r="AL120" s="15">
        <v>545.0</v>
      </c>
      <c r="AM120" s="15">
        <v>560.0</v>
      </c>
      <c r="AN120" s="15" t="s">
        <v>2797</v>
      </c>
      <c r="AO120" s="18"/>
      <c r="AP120" s="18"/>
      <c r="AQ120" s="15" t="s">
        <v>5356</v>
      </c>
      <c r="AR120" s="18"/>
      <c r="AS120" s="18"/>
      <c r="AT120" s="18"/>
      <c r="AU120" s="18"/>
      <c r="AV120" s="15" t="s">
        <v>5725</v>
      </c>
      <c r="AW120" s="15" t="s">
        <v>5726</v>
      </c>
      <c r="AX120" s="18"/>
      <c r="AY120" s="15" t="s">
        <v>5727</v>
      </c>
      <c r="AZ120" s="15" t="s">
        <v>5335</v>
      </c>
      <c r="BA120" s="15" t="s">
        <v>5728</v>
      </c>
      <c r="BB120" s="15" t="s">
        <v>5729</v>
      </c>
      <c r="BC120" s="15" t="s">
        <v>5577</v>
      </c>
      <c r="BD120" s="15" t="s">
        <v>3393</v>
      </c>
      <c r="BE120" s="15" t="s">
        <v>5730</v>
      </c>
      <c r="BF120" s="18"/>
      <c r="BG120" s="18"/>
      <c r="BH120" s="15" t="s">
        <v>5731</v>
      </c>
      <c r="BI120" s="15" t="s">
        <v>5732</v>
      </c>
      <c r="BJ120" s="19" t="s">
        <v>5733</v>
      </c>
      <c r="BK120" s="19" t="s">
        <v>5734</v>
      </c>
      <c r="BL120" s="19" t="s">
        <v>5735</v>
      </c>
      <c r="BM120" s="19" t="s">
        <v>5736</v>
      </c>
      <c r="BN120" s="19" t="s">
        <v>5737</v>
      </c>
      <c r="BO120" s="19" t="s">
        <v>5738</v>
      </c>
      <c r="BP120" s="19" t="s">
        <v>5739</v>
      </c>
      <c r="BQ120" s="15" t="s">
        <v>364</v>
      </c>
      <c r="BR120" s="26"/>
      <c r="BS120" s="26"/>
      <c r="BT120" s="26"/>
      <c r="BU120" s="26"/>
      <c r="BV120" s="26"/>
      <c r="BW120" s="26"/>
      <c r="BX120" s="26"/>
      <c r="BY120" s="18" t="str">
        <f t="shared" si="102"/>
        <v>COMP</v>
      </c>
      <c r="BZ120" s="24" t="str">
        <f t="shared" si="100"/>
        <v>https://drive.google.com/open?id=1thacrqmdrLeApZnMNWVlIzanGoQWQe0S</v>
      </c>
      <c r="CA120" s="24" t="str">
        <f t="shared" si="101"/>
        <v>https://drive.google.com/open?id=1qB4UGgjuiqke0Qw1Hk1Xy_gh1UerWopY</v>
      </c>
      <c r="CB120" s="15" t="s">
        <v>2821</v>
      </c>
      <c r="CC120" s="15" t="s">
        <v>2821</v>
      </c>
      <c r="CD120" s="25" t="s">
        <v>2797</v>
      </c>
      <c r="CE120" s="18"/>
      <c r="CF120" s="18"/>
      <c r="CG120" s="18"/>
    </row>
    <row r="121" ht="18.75" customHeight="1">
      <c r="A121" s="14">
        <v>44736.48984253472</v>
      </c>
      <c r="B121" s="15" t="s">
        <v>729</v>
      </c>
      <c r="C121" s="16" t="s">
        <v>5740</v>
      </c>
      <c r="D121" s="15" t="str">
        <f>IFERROR(__xludf.DUMMYFUNCTION("QUERY(TY_ALL_2023_Batch!$A$1:$E$824, ""SELECT E WHERE C='""&amp;B121&amp;""'"", 0)"),"COMP")</f>
        <v>COMP</v>
      </c>
      <c r="E121" s="15" t="s">
        <v>5741</v>
      </c>
      <c r="F121" s="15" t="s">
        <v>3247</v>
      </c>
      <c r="G121" s="15" t="s">
        <v>5742</v>
      </c>
      <c r="H121" s="15" t="s">
        <v>2785</v>
      </c>
      <c r="I121" s="17">
        <v>36895.0</v>
      </c>
      <c r="J121" s="15">
        <v>2019.0</v>
      </c>
      <c r="K121" s="15" t="s">
        <v>2786</v>
      </c>
      <c r="L121" s="15" t="s">
        <v>2787</v>
      </c>
      <c r="M121" s="18"/>
      <c r="N121" s="15" t="s">
        <v>5743</v>
      </c>
      <c r="O121" s="15" t="s">
        <v>729</v>
      </c>
      <c r="P121" s="19" t="s">
        <v>5744</v>
      </c>
      <c r="Q121" s="15">
        <v>7.972389237E9</v>
      </c>
      <c r="R121" s="15">
        <v>7.972389237E9</v>
      </c>
      <c r="S121" s="18"/>
      <c r="T121" s="15" t="s">
        <v>5745</v>
      </c>
      <c r="U121" s="15" t="s">
        <v>5746</v>
      </c>
      <c r="V121" s="15" t="s">
        <v>5747</v>
      </c>
      <c r="W121" s="18"/>
      <c r="X121" s="15">
        <v>70.3</v>
      </c>
      <c r="Y121" s="15" t="s">
        <v>2795</v>
      </c>
      <c r="Z121" s="15">
        <v>9.43</v>
      </c>
      <c r="AA121" s="15">
        <v>8.81</v>
      </c>
      <c r="AB121" s="15" t="s">
        <v>2796</v>
      </c>
      <c r="AC121" s="15" t="s">
        <v>2796</v>
      </c>
      <c r="AD121" s="15" t="s">
        <v>2796</v>
      </c>
      <c r="AE121" s="15" t="s">
        <v>2796</v>
      </c>
      <c r="AF121" s="15">
        <v>7.89</v>
      </c>
      <c r="AG121" s="15">
        <v>8.05</v>
      </c>
      <c r="AH121" s="15">
        <v>60.62</v>
      </c>
      <c r="AI121" s="18"/>
      <c r="AJ121" s="15" t="s">
        <v>2787</v>
      </c>
      <c r="AK121" s="15" t="s">
        <v>2787</v>
      </c>
      <c r="AL121" s="15">
        <v>618.33</v>
      </c>
      <c r="AM121" s="15">
        <v>491.67</v>
      </c>
      <c r="AN121" s="15" t="s">
        <v>2797</v>
      </c>
      <c r="AO121" s="18"/>
      <c r="AP121" s="18"/>
      <c r="AQ121" s="15" t="s">
        <v>5748</v>
      </c>
      <c r="AR121" s="18"/>
      <c r="AS121" s="18"/>
      <c r="AT121" s="18"/>
      <c r="AU121" s="18"/>
      <c r="AV121" s="15" t="s">
        <v>5749</v>
      </c>
      <c r="AW121" s="15" t="s">
        <v>5750</v>
      </c>
      <c r="AX121" s="18"/>
      <c r="AY121" s="15" t="s">
        <v>5751</v>
      </c>
      <c r="AZ121" s="15" t="s">
        <v>5335</v>
      </c>
      <c r="BA121" s="15" t="s">
        <v>5752</v>
      </c>
      <c r="BB121" s="15" t="s">
        <v>5753</v>
      </c>
      <c r="BC121" s="15" t="s">
        <v>5754</v>
      </c>
      <c r="BD121" s="15" t="s">
        <v>2807</v>
      </c>
      <c r="BE121" s="15" t="s">
        <v>5755</v>
      </c>
      <c r="BF121" s="18"/>
      <c r="BG121" s="18"/>
      <c r="BH121" s="18"/>
      <c r="BI121" s="15" t="s">
        <v>5756</v>
      </c>
      <c r="BJ121" s="19" t="s">
        <v>5757</v>
      </c>
      <c r="BK121" s="19" t="s">
        <v>5758</v>
      </c>
      <c r="BL121" s="19" t="s">
        <v>5759</v>
      </c>
      <c r="BM121" s="19" t="s">
        <v>5760</v>
      </c>
      <c r="BN121" s="19" t="s">
        <v>5761</v>
      </c>
      <c r="BO121" s="19" t="s">
        <v>5762</v>
      </c>
      <c r="BP121" s="19" t="s">
        <v>5763</v>
      </c>
      <c r="BQ121" s="15" t="s">
        <v>364</v>
      </c>
      <c r="BR121" s="26"/>
      <c r="BS121" s="26"/>
      <c r="BT121" s="26"/>
      <c r="BU121" s="26"/>
      <c r="BV121" s="26"/>
      <c r="BW121" s="26"/>
      <c r="BX121" s="26"/>
      <c r="BY121" s="18" t="str">
        <f t="shared" si="102"/>
        <v>COMP</v>
      </c>
      <c r="BZ121" s="24" t="str">
        <f t="shared" si="100"/>
        <v>https://drive.google.com/open?id=1yy2v70KXKfT7dtZvWROmbpe-nUhtVupl</v>
      </c>
      <c r="CA121" s="24" t="str">
        <f t="shared" si="101"/>
        <v>https://drive.google.com/open?id=1pNeCXW5TeoMvRCdGEmUTUVH0cL3Y9Na8</v>
      </c>
      <c r="CB121" s="15" t="s">
        <v>2821</v>
      </c>
      <c r="CC121" s="15" t="s">
        <v>2821</v>
      </c>
      <c r="CD121" s="25" t="s">
        <v>2797</v>
      </c>
      <c r="CE121" s="18"/>
      <c r="CF121" s="18"/>
      <c r="CG121" s="18"/>
    </row>
    <row r="122" ht="18.75" customHeight="1">
      <c r="A122" s="14">
        <v>44750.49112012731</v>
      </c>
      <c r="B122" s="15" t="s">
        <v>954</v>
      </c>
      <c r="C122" s="16" t="s">
        <v>5764</v>
      </c>
      <c r="D122" s="15" t="str">
        <f>IFERROR(__xludf.DUMMYFUNCTION("QUERY(TY_ALL_2023_Batch!$A$1:$E$824, ""SELECT E WHERE C='""&amp;B122&amp;""'"", 0)"),"COMP")</f>
        <v>COMP</v>
      </c>
      <c r="E122" s="15" t="s">
        <v>5765</v>
      </c>
      <c r="F122" s="18"/>
      <c r="G122" s="15" t="s">
        <v>5766</v>
      </c>
      <c r="H122" s="15" t="s">
        <v>2785</v>
      </c>
      <c r="I122" s="17">
        <v>36857.0</v>
      </c>
      <c r="J122" s="15">
        <v>2019.0</v>
      </c>
      <c r="K122" s="15" t="s">
        <v>2786</v>
      </c>
      <c r="L122" s="15" t="s">
        <v>2787</v>
      </c>
      <c r="M122" s="18"/>
      <c r="N122" s="15" t="s">
        <v>5767</v>
      </c>
      <c r="O122" s="15" t="s">
        <v>954</v>
      </c>
      <c r="P122" s="19" t="s">
        <v>5768</v>
      </c>
      <c r="Q122" s="15">
        <v>8.910900163E9</v>
      </c>
      <c r="R122" s="15">
        <v>8.910900163E9</v>
      </c>
      <c r="S122" s="18"/>
      <c r="T122" s="15" t="s">
        <v>5769</v>
      </c>
      <c r="U122" s="15" t="s">
        <v>5770</v>
      </c>
      <c r="V122" s="15" t="s">
        <v>5771</v>
      </c>
      <c r="W122" s="15" t="s">
        <v>5772</v>
      </c>
      <c r="X122" s="15">
        <v>78.0</v>
      </c>
      <c r="Y122" s="15" t="s">
        <v>2795</v>
      </c>
      <c r="Z122" s="15">
        <v>9.0</v>
      </c>
      <c r="AA122" s="15">
        <v>8.29</v>
      </c>
      <c r="AB122" s="15" t="s">
        <v>2796</v>
      </c>
      <c r="AC122" s="15" t="s">
        <v>2796</v>
      </c>
      <c r="AD122" s="15" t="s">
        <v>2796</v>
      </c>
      <c r="AE122" s="15" t="s">
        <v>2796</v>
      </c>
      <c r="AF122" s="15">
        <v>8.11</v>
      </c>
      <c r="AG122" s="15">
        <v>8.57</v>
      </c>
      <c r="AH122" s="15">
        <v>63.0</v>
      </c>
      <c r="AI122" s="18"/>
      <c r="AJ122" s="15" t="s">
        <v>2787</v>
      </c>
      <c r="AK122" s="15" t="s">
        <v>2787</v>
      </c>
      <c r="AL122" s="15" t="s">
        <v>3313</v>
      </c>
      <c r="AM122" s="42">
        <v>0.7444</v>
      </c>
      <c r="AN122" s="15" t="s">
        <v>2797</v>
      </c>
      <c r="AO122" s="15" t="s">
        <v>2908</v>
      </c>
      <c r="AP122" s="15" t="s">
        <v>2908</v>
      </c>
      <c r="AQ122" s="15" t="s">
        <v>5387</v>
      </c>
      <c r="AR122" s="15" t="s">
        <v>5773</v>
      </c>
      <c r="AS122" s="15" t="s">
        <v>5283</v>
      </c>
      <c r="AT122" s="15" t="s">
        <v>2796</v>
      </c>
      <c r="AU122" s="15" t="s">
        <v>2796</v>
      </c>
      <c r="AV122" s="15" t="s">
        <v>5774</v>
      </c>
      <c r="AW122" s="15" t="s">
        <v>5775</v>
      </c>
      <c r="AX122" s="15" t="s">
        <v>5776</v>
      </c>
      <c r="AY122" s="15" t="s">
        <v>5777</v>
      </c>
      <c r="AZ122" s="15" t="s">
        <v>5260</v>
      </c>
      <c r="BA122" s="15" t="s">
        <v>5778</v>
      </c>
      <c r="BB122" s="15" t="s">
        <v>5779</v>
      </c>
      <c r="BC122" s="15" t="s">
        <v>4746</v>
      </c>
      <c r="BD122" s="15" t="s">
        <v>5780</v>
      </c>
      <c r="BE122" s="15" t="s">
        <v>2796</v>
      </c>
      <c r="BF122" s="15" t="s">
        <v>2908</v>
      </c>
      <c r="BG122" s="15" t="s">
        <v>2796</v>
      </c>
      <c r="BH122" s="15" t="s">
        <v>5781</v>
      </c>
      <c r="BI122" s="15" t="s">
        <v>2796</v>
      </c>
      <c r="BJ122" s="19" t="s">
        <v>5782</v>
      </c>
      <c r="BK122" s="19" t="s">
        <v>5783</v>
      </c>
      <c r="BL122" s="18"/>
      <c r="BM122" s="19" t="s">
        <v>5784</v>
      </c>
      <c r="BN122" s="20" t="s">
        <v>5785</v>
      </c>
      <c r="BO122" s="19" t="s">
        <v>5786</v>
      </c>
      <c r="BP122" s="19" t="s">
        <v>5787</v>
      </c>
      <c r="BQ122" s="15" t="s">
        <v>364</v>
      </c>
      <c r="BR122" s="18"/>
      <c r="BS122" s="18"/>
      <c r="BT122" s="19" t="s">
        <v>5788</v>
      </c>
      <c r="BU122" s="18"/>
      <c r="BV122" s="18"/>
      <c r="BW122" s="15" t="s">
        <v>5789</v>
      </c>
      <c r="BX122" s="18"/>
      <c r="BY122" s="18" t="str">
        <f t="shared" si="102"/>
        <v>COMP</v>
      </c>
      <c r="BZ122" s="18" t="str">
        <f t="shared" si="100"/>
        <v/>
      </c>
      <c r="CA122" s="24" t="str">
        <f t="shared" si="101"/>
        <v>https://drive.google.com/open?id=1TOhpOJx1KCdx0QfQ_TIOQvS-OOympu8H</v>
      </c>
      <c r="CB122" s="15" t="s">
        <v>2908</v>
      </c>
      <c r="CC122" s="15" t="s">
        <v>2908</v>
      </c>
      <c r="CD122" s="25" t="s">
        <v>2797</v>
      </c>
      <c r="CE122" s="18"/>
      <c r="CF122" s="18"/>
      <c r="CG122" s="18"/>
    </row>
    <row r="123" ht="18.75" customHeight="1">
      <c r="A123" s="14">
        <v>44734.47823702546</v>
      </c>
      <c r="B123" s="15" t="s">
        <v>744</v>
      </c>
      <c r="C123" s="16" t="s">
        <v>5790</v>
      </c>
      <c r="D123" s="15" t="str">
        <f>IFERROR(__xludf.DUMMYFUNCTION("QUERY(TY_ALL_2023_Batch!$A$1:$E$824, ""SELECT E WHERE C='""&amp;B123&amp;""'"", 0)"),"COMP")</f>
        <v>COMP</v>
      </c>
      <c r="E123" s="15" t="s">
        <v>5791</v>
      </c>
      <c r="F123" s="15" t="s">
        <v>5792</v>
      </c>
      <c r="G123" s="15" t="s">
        <v>4658</v>
      </c>
      <c r="H123" s="15" t="s">
        <v>2785</v>
      </c>
      <c r="I123" s="17">
        <v>36596.0</v>
      </c>
      <c r="J123" s="15">
        <v>2019.0</v>
      </c>
      <c r="K123" s="15" t="s">
        <v>2786</v>
      </c>
      <c r="L123" s="15" t="s">
        <v>2787</v>
      </c>
      <c r="M123" s="18"/>
      <c r="N123" s="15" t="s">
        <v>5793</v>
      </c>
      <c r="O123" s="15" t="s">
        <v>744</v>
      </c>
      <c r="P123" s="19" t="s">
        <v>5794</v>
      </c>
      <c r="Q123" s="15">
        <v>8.788906018E9</v>
      </c>
      <c r="R123" s="15">
        <v>8.788906018E9</v>
      </c>
      <c r="S123" s="18"/>
      <c r="T123" s="15" t="s">
        <v>5795</v>
      </c>
      <c r="U123" s="15" t="s">
        <v>5796</v>
      </c>
      <c r="V123" s="15" t="s">
        <v>5797</v>
      </c>
      <c r="W123" s="18"/>
      <c r="X123" s="15">
        <v>82.6</v>
      </c>
      <c r="Y123" s="15" t="s">
        <v>2795</v>
      </c>
      <c r="Z123" s="15">
        <v>9.0</v>
      </c>
      <c r="AA123" s="15">
        <v>8.71</v>
      </c>
      <c r="AB123" s="15" t="s">
        <v>5798</v>
      </c>
      <c r="AC123" s="15" t="s">
        <v>5798</v>
      </c>
      <c r="AD123" s="15" t="s">
        <v>5798</v>
      </c>
      <c r="AE123" s="15" t="s">
        <v>5798</v>
      </c>
      <c r="AF123" s="15">
        <v>6.47</v>
      </c>
      <c r="AG123" s="15">
        <v>7.57</v>
      </c>
      <c r="AH123" s="15">
        <v>58.15</v>
      </c>
      <c r="AI123" s="18"/>
      <c r="AJ123" s="15" t="s">
        <v>2787</v>
      </c>
      <c r="AK123" s="15" t="s">
        <v>2787</v>
      </c>
      <c r="AL123" s="35">
        <v>0.8</v>
      </c>
      <c r="AM123" s="35">
        <v>0.96</v>
      </c>
      <c r="AN123" s="15" t="s">
        <v>2797</v>
      </c>
      <c r="AO123" s="18"/>
      <c r="AP123" s="18"/>
      <c r="AQ123" s="15" t="s">
        <v>5799</v>
      </c>
      <c r="AR123" s="18"/>
      <c r="AS123" s="18"/>
      <c r="AT123" s="18"/>
      <c r="AU123" s="18"/>
      <c r="AV123" s="15" t="s">
        <v>5800</v>
      </c>
      <c r="AW123" s="15" t="s">
        <v>5801</v>
      </c>
      <c r="AX123" s="18"/>
      <c r="AY123" s="15" t="s">
        <v>5802</v>
      </c>
      <c r="AZ123" s="15" t="s">
        <v>5287</v>
      </c>
      <c r="BA123" s="15" t="s">
        <v>5552</v>
      </c>
      <c r="BB123" s="15" t="s">
        <v>5803</v>
      </c>
      <c r="BC123" s="15" t="s">
        <v>5804</v>
      </c>
      <c r="BD123" s="15" t="s">
        <v>3393</v>
      </c>
      <c r="BE123" s="15" t="s">
        <v>5805</v>
      </c>
      <c r="BF123" s="18"/>
      <c r="BG123" s="18"/>
      <c r="BH123" s="18"/>
      <c r="BI123" s="15" t="s">
        <v>5806</v>
      </c>
      <c r="BJ123" s="19" t="s">
        <v>5807</v>
      </c>
      <c r="BK123" s="19" t="s">
        <v>5808</v>
      </c>
      <c r="BL123" s="19" t="s">
        <v>5809</v>
      </c>
      <c r="BM123" s="19" t="s">
        <v>5810</v>
      </c>
      <c r="BN123" s="19" t="s">
        <v>5811</v>
      </c>
      <c r="BO123" s="19" t="s">
        <v>5812</v>
      </c>
      <c r="BP123" s="19" t="s">
        <v>5813</v>
      </c>
      <c r="BQ123" s="15" t="s">
        <v>364</v>
      </c>
      <c r="BR123" s="26"/>
      <c r="BS123" s="26"/>
      <c r="BT123" s="26"/>
      <c r="BU123" s="26"/>
      <c r="BV123" s="26"/>
      <c r="BW123" s="26"/>
      <c r="BX123" s="26"/>
      <c r="BY123" s="18" t="str">
        <f t="shared" si="102"/>
        <v>COMP</v>
      </c>
      <c r="BZ123" s="24" t="str">
        <f t="shared" si="100"/>
        <v>https://drive.google.com/open?id=1hnYe3H7Numz8l-7XOXgTjwtXKzM4Hmi5</v>
      </c>
      <c r="CA123" s="24" t="str">
        <f t="shared" si="101"/>
        <v>https://drive.google.com/open?id=1z89E_-EejxDGjo0KszIlGijOXBNz4Nlo</v>
      </c>
      <c r="CB123" s="15" t="s">
        <v>2821</v>
      </c>
      <c r="CC123" s="15" t="s">
        <v>2821</v>
      </c>
      <c r="CD123" s="25" t="s">
        <v>2797</v>
      </c>
      <c r="CE123" s="18"/>
      <c r="CF123" s="18"/>
      <c r="CG123" s="18"/>
    </row>
    <row r="124" ht="18.75" customHeight="1">
      <c r="A124" s="14">
        <v>44773.61305450232</v>
      </c>
      <c r="B124" s="15" t="s">
        <v>804</v>
      </c>
      <c r="C124" s="16" t="s">
        <v>5814</v>
      </c>
      <c r="D124" s="15" t="str">
        <f>IFERROR(__xludf.DUMMYFUNCTION("QUERY(TY_ALL_2023_Batch!$A$1:$E$824, ""SELECT E WHERE C='""&amp;B124&amp;""'"", 0)"),"COMP")</f>
        <v>COMP</v>
      </c>
      <c r="E124" s="15" t="s">
        <v>4934</v>
      </c>
      <c r="F124" s="15" t="s">
        <v>5815</v>
      </c>
      <c r="G124" s="15" t="s">
        <v>5816</v>
      </c>
      <c r="H124" s="15" t="s">
        <v>2826</v>
      </c>
      <c r="I124" s="17">
        <v>36713.0</v>
      </c>
      <c r="J124" s="15">
        <v>2019.0</v>
      </c>
      <c r="K124" s="15" t="s">
        <v>2786</v>
      </c>
      <c r="L124" s="15" t="s">
        <v>2787</v>
      </c>
      <c r="M124" s="18"/>
      <c r="N124" s="15" t="s">
        <v>5817</v>
      </c>
      <c r="O124" s="15" t="s">
        <v>804</v>
      </c>
      <c r="P124" s="19" t="s">
        <v>5818</v>
      </c>
      <c r="Q124" s="15">
        <v>9.284745235E9</v>
      </c>
      <c r="R124" s="15">
        <v>9.284745235E9</v>
      </c>
      <c r="S124" s="18"/>
      <c r="T124" s="15" t="s">
        <v>5819</v>
      </c>
      <c r="U124" s="15" t="s">
        <v>5820</v>
      </c>
      <c r="V124" s="15" t="s">
        <v>5821</v>
      </c>
      <c r="W124" s="18"/>
      <c r="X124" s="15">
        <v>91.6</v>
      </c>
      <c r="Y124" s="15" t="s">
        <v>2795</v>
      </c>
      <c r="Z124" s="15">
        <v>8.95</v>
      </c>
      <c r="AA124" s="15">
        <v>9.0</v>
      </c>
      <c r="AB124" s="15">
        <v>9.0</v>
      </c>
      <c r="AC124" s="15">
        <v>8.81</v>
      </c>
      <c r="AD124" s="15" t="s">
        <v>2796</v>
      </c>
      <c r="AE124" s="15" t="s">
        <v>2796</v>
      </c>
      <c r="AF124" s="15">
        <v>8.0</v>
      </c>
      <c r="AG124" s="15">
        <v>8.57</v>
      </c>
      <c r="AH124" s="15">
        <v>68.31</v>
      </c>
      <c r="AI124" s="18"/>
      <c r="AJ124" s="15" t="s">
        <v>2787</v>
      </c>
      <c r="AK124" s="15" t="s">
        <v>2787</v>
      </c>
      <c r="AL124" s="15">
        <v>613.33</v>
      </c>
      <c r="AM124" s="15">
        <v>642.465</v>
      </c>
      <c r="AN124" s="15" t="s">
        <v>2797</v>
      </c>
      <c r="AO124" s="18"/>
      <c r="AP124" s="18"/>
      <c r="AQ124" s="15" t="s">
        <v>5356</v>
      </c>
      <c r="AR124" s="18"/>
      <c r="AS124" s="18"/>
      <c r="AT124" s="18"/>
      <c r="AU124" s="15" t="s">
        <v>5822</v>
      </c>
      <c r="AV124" s="15" t="s">
        <v>5823</v>
      </c>
      <c r="AW124" s="15" t="s">
        <v>5824</v>
      </c>
      <c r="AX124" s="18"/>
      <c r="AY124" s="15" t="s">
        <v>5825</v>
      </c>
      <c r="AZ124" s="15" t="s">
        <v>5287</v>
      </c>
      <c r="BA124" s="15" t="s">
        <v>2806</v>
      </c>
      <c r="BB124" s="15" t="s">
        <v>5649</v>
      </c>
      <c r="BC124" s="15" t="s">
        <v>5394</v>
      </c>
      <c r="BD124" s="15" t="s">
        <v>2807</v>
      </c>
      <c r="BE124" s="15" t="s">
        <v>5826</v>
      </c>
      <c r="BF124" s="18"/>
      <c r="BG124" s="18"/>
      <c r="BH124" s="18"/>
      <c r="BI124" s="15" t="s">
        <v>5827</v>
      </c>
      <c r="BJ124" s="19" t="s">
        <v>5828</v>
      </c>
      <c r="BK124" s="19" t="s">
        <v>5829</v>
      </c>
      <c r="BL124" s="18"/>
      <c r="BM124" s="18"/>
      <c r="BN124" s="20" t="s">
        <v>5830</v>
      </c>
      <c r="BO124" s="19" t="s">
        <v>5831</v>
      </c>
      <c r="BP124" s="19" t="s">
        <v>5832</v>
      </c>
      <c r="BQ124" s="15" t="s">
        <v>364</v>
      </c>
      <c r="BR124" s="26"/>
      <c r="BS124" s="26"/>
      <c r="BT124" s="26"/>
      <c r="BU124" s="26"/>
      <c r="BV124" s="26"/>
      <c r="BW124" s="15" t="s">
        <v>2796</v>
      </c>
      <c r="BX124" s="26"/>
      <c r="BY124" s="18" t="str">
        <f t="shared" si="102"/>
        <v>COMP</v>
      </c>
      <c r="BZ124" s="18" t="str">
        <f t="shared" si="100"/>
        <v/>
      </c>
      <c r="CA124" s="18" t="str">
        <f t="shared" si="101"/>
        <v/>
      </c>
      <c r="CB124" s="15" t="s">
        <v>2908</v>
      </c>
      <c r="CC124" s="15" t="s">
        <v>2908</v>
      </c>
      <c r="CD124" s="25" t="s">
        <v>2797</v>
      </c>
      <c r="CE124" s="18"/>
      <c r="CF124" s="18"/>
      <c r="CG124" s="18"/>
    </row>
    <row r="125" ht="18.75" customHeight="1">
      <c r="A125" s="14">
        <v>44749.76171245371</v>
      </c>
      <c r="B125" s="15" t="s">
        <v>618</v>
      </c>
      <c r="C125" s="16" t="s">
        <v>5833</v>
      </c>
      <c r="D125" s="15" t="str">
        <f>IFERROR(__xludf.DUMMYFUNCTION("QUERY(TY_ALL_2023_Batch!$A$1:$E$824, ""SELECT E WHERE C='""&amp;B125&amp;""'"", 0)"),"COMP")</f>
        <v>COMP</v>
      </c>
      <c r="E125" s="15" t="s">
        <v>5834</v>
      </c>
      <c r="F125" s="15" t="s">
        <v>3924</v>
      </c>
      <c r="G125" s="15" t="s">
        <v>4857</v>
      </c>
      <c r="H125" s="15" t="s">
        <v>2785</v>
      </c>
      <c r="I125" s="17">
        <v>37144.0</v>
      </c>
      <c r="J125" s="15">
        <v>2019.0</v>
      </c>
      <c r="K125" s="15" t="s">
        <v>2786</v>
      </c>
      <c r="L125" s="15" t="s">
        <v>2787</v>
      </c>
      <c r="M125" s="18"/>
      <c r="N125" s="15" t="s">
        <v>5835</v>
      </c>
      <c r="O125" s="15" t="s">
        <v>618</v>
      </c>
      <c r="P125" s="19" t="s">
        <v>5836</v>
      </c>
      <c r="Q125" s="15">
        <v>9.850356547E9</v>
      </c>
      <c r="R125" s="15">
        <v>9.850356547E9</v>
      </c>
      <c r="S125" s="15">
        <v>7.05841445E9</v>
      </c>
      <c r="T125" s="15" t="s">
        <v>5837</v>
      </c>
      <c r="U125" s="15" t="s">
        <v>5838</v>
      </c>
      <c r="V125" s="15" t="s">
        <v>5839</v>
      </c>
      <c r="W125" s="15" t="s">
        <v>5839</v>
      </c>
      <c r="X125" s="15">
        <v>93.2</v>
      </c>
      <c r="Y125" s="15" t="s">
        <v>2795</v>
      </c>
      <c r="Z125" s="15">
        <v>9.81</v>
      </c>
      <c r="AA125" s="15">
        <v>9.14</v>
      </c>
      <c r="AB125" s="15" t="s">
        <v>2796</v>
      </c>
      <c r="AC125" s="15" t="s">
        <v>2796</v>
      </c>
      <c r="AD125" s="15" t="s">
        <v>2796</v>
      </c>
      <c r="AE125" s="15" t="s">
        <v>2796</v>
      </c>
      <c r="AF125" s="15">
        <v>8.95</v>
      </c>
      <c r="AG125" s="15">
        <v>8.84</v>
      </c>
      <c r="AH125" s="15">
        <v>81.3</v>
      </c>
      <c r="AI125" s="18"/>
      <c r="AJ125" s="15" t="s">
        <v>2787</v>
      </c>
      <c r="AK125" s="15" t="s">
        <v>2787</v>
      </c>
      <c r="AL125" s="15">
        <v>685.0</v>
      </c>
      <c r="AM125" s="15">
        <v>693.3</v>
      </c>
      <c r="AN125" s="15" t="s">
        <v>2797</v>
      </c>
      <c r="AO125" s="18"/>
      <c r="AP125" s="18"/>
      <c r="AQ125" s="15" t="s">
        <v>5356</v>
      </c>
      <c r="AR125" s="18"/>
      <c r="AS125" s="18"/>
      <c r="AT125" s="18"/>
      <c r="AU125" s="15" t="s">
        <v>5840</v>
      </c>
      <c r="AV125" s="15" t="s">
        <v>5841</v>
      </c>
      <c r="AW125" s="15" t="s">
        <v>5842</v>
      </c>
      <c r="AX125" s="15" t="s">
        <v>2796</v>
      </c>
      <c r="AY125" s="15" t="s">
        <v>5843</v>
      </c>
      <c r="AZ125" s="15" t="s">
        <v>5287</v>
      </c>
      <c r="BA125" s="15" t="s">
        <v>5844</v>
      </c>
      <c r="BB125" s="15" t="s">
        <v>5845</v>
      </c>
      <c r="BC125" s="15" t="s">
        <v>3686</v>
      </c>
      <c r="BD125" s="15" t="s">
        <v>2807</v>
      </c>
      <c r="BE125" s="15" t="s">
        <v>5846</v>
      </c>
      <c r="BF125" s="18"/>
      <c r="BG125" s="18"/>
      <c r="BH125" s="15" t="s">
        <v>5847</v>
      </c>
      <c r="BI125" s="15" t="s">
        <v>5848</v>
      </c>
      <c r="BJ125" s="19" t="s">
        <v>5849</v>
      </c>
      <c r="BK125" s="19" t="s">
        <v>5850</v>
      </c>
      <c r="BL125" s="20" t="s">
        <v>5851</v>
      </c>
      <c r="BM125" s="19" t="s">
        <v>5852</v>
      </c>
      <c r="BN125" s="19" t="s">
        <v>5853</v>
      </c>
      <c r="BO125" s="19" t="s">
        <v>5854</v>
      </c>
      <c r="BP125" s="18"/>
      <c r="BQ125" s="15" t="s">
        <v>364</v>
      </c>
      <c r="BR125" s="26"/>
      <c r="BS125" s="26"/>
      <c r="BT125" s="19" t="s">
        <v>5855</v>
      </c>
      <c r="BU125" s="26"/>
      <c r="BV125" s="26"/>
      <c r="BW125" s="15" t="s">
        <v>5856</v>
      </c>
      <c r="BX125" s="26"/>
      <c r="BY125" s="18" t="str">
        <f t="shared" si="102"/>
        <v>COMP</v>
      </c>
      <c r="BZ125" s="24" t="str">
        <f t="shared" si="100"/>
        <v>https://drive.google.com/open?id=1EpV5wGRt3W3WavG9h5JS4NcN1Xz1IThk</v>
      </c>
      <c r="CA125" s="24" t="str">
        <f t="shared" si="101"/>
        <v>https://drive.google.com/open?id=1P2SGE-3POz63MX77ZX05ZcJqPpmPJx2f</v>
      </c>
      <c r="CB125" s="15" t="s">
        <v>2821</v>
      </c>
      <c r="CC125" s="15" t="s">
        <v>2821</v>
      </c>
      <c r="CD125" s="25" t="s">
        <v>2797</v>
      </c>
      <c r="CE125" s="18"/>
      <c r="CF125" s="18"/>
      <c r="CG125" s="18"/>
    </row>
    <row r="126" ht="18.75" customHeight="1">
      <c r="A126" s="14">
        <v>44742.770942187504</v>
      </c>
      <c r="B126" s="15" t="s">
        <v>948</v>
      </c>
      <c r="C126" s="16" t="s">
        <v>5857</v>
      </c>
      <c r="D126" s="15" t="str">
        <f>IFERROR(__xludf.DUMMYFUNCTION("QUERY(TY_ALL_2023_Batch!$A$1:$E$824, ""SELECT E WHERE C='""&amp;B126&amp;""'"", 0)"),"COMP")</f>
        <v>COMP</v>
      </c>
      <c r="E126" s="15" t="s">
        <v>5858</v>
      </c>
      <c r="F126" s="15" t="s">
        <v>5859</v>
      </c>
      <c r="G126" s="15" t="s">
        <v>4418</v>
      </c>
      <c r="H126" s="15" t="s">
        <v>2785</v>
      </c>
      <c r="I126" s="17">
        <v>37258.0</v>
      </c>
      <c r="J126" s="15">
        <v>2019.0</v>
      </c>
      <c r="K126" s="15" t="s">
        <v>2786</v>
      </c>
      <c r="L126" s="15" t="s">
        <v>2787</v>
      </c>
      <c r="M126" s="18"/>
      <c r="N126" s="15" t="s">
        <v>5860</v>
      </c>
      <c r="O126" s="15" t="s">
        <v>948</v>
      </c>
      <c r="P126" s="19" t="s">
        <v>5861</v>
      </c>
      <c r="Q126" s="15">
        <v>9.028623572E9</v>
      </c>
      <c r="R126" s="15">
        <v>9.028623572E9</v>
      </c>
      <c r="S126" s="15">
        <v>9.423575366E9</v>
      </c>
      <c r="T126" s="15" t="s">
        <v>5862</v>
      </c>
      <c r="U126" s="15" t="s">
        <v>5863</v>
      </c>
      <c r="V126" s="15" t="s">
        <v>5864</v>
      </c>
      <c r="W126" s="18"/>
      <c r="X126" s="15">
        <v>83.0</v>
      </c>
      <c r="Y126" s="15" t="s">
        <v>2795</v>
      </c>
      <c r="Z126" s="15">
        <v>8.02</v>
      </c>
      <c r="AA126" s="15">
        <v>9.24</v>
      </c>
      <c r="AB126" s="15" t="s">
        <v>2796</v>
      </c>
      <c r="AC126" s="15" t="s">
        <v>2796</v>
      </c>
      <c r="AD126" s="15" t="s">
        <v>2796</v>
      </c>
      <c r="AE126" s="15" t="s">
        <v>2796</v>
      </c>
      <c r="AF126" s="15">
        <v>8.19</v>
      </c>
      <c r="AG126" s="15">
        <v>8.05</v>
      </c>
      <c r="AH126" s="15">
        <v>61.08</v>
      </c>
      <c r="AI126" s="18"/>
      <c r="AJ126" s="15" t="s">
        <v>2787</v>
      </c>
      <c r="AK126" s="15" t="s">
        <v>2787</v>
      </c>
      <c r="AL126" s="15">
        <v>640.0</v>
      </c>
      <c r="AM126" s="15">
        <v>596.0</v>
      </c>
      <c r="AN126" s="15" t="s">
        <v>2797</v>
      </c>
      <c r="AO126" s="18"/>
      <c r="AP126" s="18"/>
      <c r="AQ126" s="15" t="s">
        <v>5356</v>
      </c>
      <c r="AR126" s="15" t="s">
        <v>5865</v>
      </c>
      <c r="AS126" s="18"/>
      <c r="AT126" s="18"/>
      <c r="AU126" s="15" t="s">
        <v>5866</v>
      </c>
      <c r="AV126" s="15" t="s">
        <v>5867</v>
      </c>
      <c r="AW126" s="15" t="s">
        <v>5868</v>
      </c>
      <c r="AX126" s="18"/>
      <c r="AY126" s="15" t="s">
        <v>5869</v>
      </c>
      <c r="AZ126" s="15" t="s">
        <v>5335</v>
      </c>
      <c r="BA126" s="15" t="s">
        <v>5870</v>
      </c>
      <c r="BB126" s="15" t="s">
        <v>5871</v>
      </c>
      <c r="BC126" s="15" t="s">
        <v>5872</v>
      </c>
      <c r="BD126" s="15" t="s">
        <v>2807</v>
      </c>
      <c r="BE126" s="15" t="s">
        <v>5873</v>
      </c>
      <c r="BF126" s="18"/>
      <c r="BG126" s="18"/>
      <c r="BH126" s="18"/>
      <c r="BI126" s="15" t="s">
        <v>5874</v>
      </c>
      <c r="BJ126" s="19" t="s">
        <v>5875</v>
      </c>
      <c r="BK126" s="19" t="s">
        <v>5876</v>
      </c>
      <c r="BL126" s="19" t="s">
        <v>5877</v>
      </c>
      <c r="BM126" s="19" t="s">
        <v>5878</v>
      </c>
      <c r="BN126" s="19" t="s">
        <v>5879</v>
      </c>
      <c r="BO126" s="19" t="s">
        <v>5880</v>
      </c>
      <c r="BP126" s="19" t="s">
        <v>5881</v>
      </c>
      <c r="BQ126" s="15" t="s">
        <v>364</v>
      </c>
      <c r="BR126" s="26"/>
      <c r="BS126" s="26"/>
      <c r="BT126" s="19" t="s">
        <v>5882</v>
      </c>
      <c r="BU126" s="19" t="s">
        <v>5883</v>
      </c>
      <c r="BV126" s="19" t="s">
        <v>5884</v>
      </c>
      <c r="BW126" s="15" t="s">
        <v>5885</v>
      </c>
      <c r="BX126" s="26"/>
      <c r="BY126" s="18" t="str">
        <f t="shared" si="102"/>
        <v>COMP</v>
      </c>
      <c r="BZ126" s="24" t="str">
        <f t="shared" si="100"/>
        <v>https://drive.google.com/open?id=1wjjhPtFwxMYOMZrH1rlnepTITCfGbzao</v>
      </c>
      <c r="CA126" s="24" t="str">
        <f t="shared" si="101"/>
        <v>https://drive.google.com/open?id=1IcL6zwDRsbwNExm7P1K8_KEVeNNulUav</v>
      </c>
      <c r="CB126" s="15" t="s">
        <v>2821</v>
      </c>
      <c r="CC126" s="15" t="s">
        <v>2821</v>
      </c>
      <c r="CD126" s="25" t="s">
        <v>2909</v>
      </c>
      <c r="CE126" s="18"/>
      <c r="CF126" s="18"/>
      <c r="CG126" s="18"/>
    </row>
    <row r="127" ht="18.75" customHeight="1">
      <c r="A127" s="14">
        <v>44742.831116597226</v>
      </c>
      <c r="B127" s="15" t="s">
        <v>867</v>
      </c>
      <c r="C127" s="16" t="s">
        <v>5886</v>
      </c>
      <c r="D127" s="15" t="str">
        <f>IFERROR(__xludf.DUMMYFUNCTION("QUERY(TY_ALL_2023_Batch!$A$1:$E$824, ""SELECT E WHERE C='""&amp;B127&amp;""'"", 0)"),"COMP")</f>
        <v>COMP</v>
      </c>
      <c r="E127" s="15" t="s">
        <v>5887</v>
      </c>
      <c r="F127" s="15" t="s">
        <v>5888</v>
      </c>
      <c r="G127" s="15" t="s">
        <v>5889</v>
      </c>
      <c r="H127" s="15" t="s">
        <v>2826</v>
      </c>
      <c r="I127" s="17">
        <v>37018.0</v>
      </c>
      <c r="J127" s="15">
        <v>2019.0</v>
      </c>
      <c r="K127" s="15" t="s">
        <v>2786</v>
      </c>
      <c r="L127" s="15" t="s">
        <v>2787</v>
      </c>
      <c r="M127" s="18"/>
      <c r="N127" s="15" t="s">
        <v>5890</v>
      </c>
      <c r="O127" s="15" t="s">
        <v>867</v>
      </c>
      <c r="P127" s="19" t="s">
        <v>5891</v>
      </c>
      <c r="Q127" s="15">
        <v>7.219624072E9</v>
      </c>
      <c r="R127" s="15">
        <v>7.219624072E9</v>
      </c>
      <c r="S127" s="15">
        <v>9.70252078E9</v>
      </c>
      <c r="T127" s="15" t="s">
        <v>5888</v>
      </c>
      <c r="U127" s="15" t="s">
        <v>2792</v>
      </c>
      <c r="V127" s="15" t="s">
        <v>5892</v>
      </c>
      <c r="W127" s="15" t="s">
        <v>5893</v>
      </c>
      <c r="X127" s="15">
        <v>89.0</v>
      </c>
      <c r="Y127" s="15" t="s">
        <v>2795</v>
      </c>
      <c r="Z127" s="15">
        <v>9.33</v>
      </c>
      <c r="AA127" s="15">
        <v>8.86</v>
      </c>
      <c r="AB127" s="15" t="s">
        <v>2796</v>
      </c>
      <c r="AC127" s="15" t="s">
        <v>2796</v>
      </c>
      <c r="AD127" s="15" t="s">
        <v>2796</v>
      </c>
      <c r="AE127" s="15" t="s">
        <v>2796</v>
      </c>
      <c r="AF127" s="15">
        <v>8.0</v>
      </c>
      <c r="AG127" s="15">
        <v>7.21</v>
      </c>
      <c r="AH127" s="15">
        <v>75.23</v>
      </c>
      <c r="AI127" s="18"/>
      <c r="AJ127" s="15" t="s">
        <v>2787</v>
      </c>
      <c r="AK127" s="15" t="s">
        <v>2787</v>
      </c>
      <c r="AL127" s="15">
        <v>97.0</v>
      </c>
      <c r="AM127" s="15">
        <v>82.0</v>
      </c>
      <c r="AN127" s="15" t="s">
        <v>2797</v>
      </c>
      <c r="AO127" s="18"/>
      <c r="AP127" s="18"/>
      <c r="AQ127" s="15" t="s">
        <v>5894</v>
      </c>
      <c r="AR127" s="15" t="s">
        <v>5895</v>
      </c>
      <c r="AS127" s="15" t="s">
        <v>5896</v>
      </c>
      <c r="AT127" s="18"/>
      <c r="AU127" s="18"/>
      <c r="AV127" s="15" t="s">
        <v>5897</v>
      </c>
      <c r="AW127" s="15" t="s">
        <v>5898</v>
      </c>
      <c r="AX127" s="18"/>
      <c r="AY127" s="15" t="s">
        <v>5899</v>
      </c>
      <c r="AZ127" s="15" t="s">
        <v>5287</v>
      </c>
      <c r="BA127" s="15" t="s">
        <v>2806</v>
      </c>
      <c r="BB127" s="15" t="s">
        <v>2807</v>
      </c>
      <c r="BC127" s="15" t="s">
        <v>5705</v>
      </c>
      <c r="BD127" s="15" t="s">
        <v>2807</v>
      </c>
      <c r="BE127" s="15" t="s">
        <v>5900</v>
      </c>
      <c r="BF127" s="18"/>
      <c r="BG127" s="18"/>
      <c r="BH127" s="15" t="s">
        <v>5901</v>
      </c>
      <c r="BI127" s="18"/>
      <c r="BJ127" s="19" t="s">
        <v>5902</v>
      </c>
      <c r="BK127" s="19" t="s">
        <v>5903</v>
      </c>
      <c r="BL127" s="19" t="s">
        <v>5904</v>
      </c>
      <c r="BM127" s="19" t="s">
        <v>5905</v>
      </c>
      <c r="BN127" s="19" t="s">
        <v>5906</v>
      </c>
      <c r="BO127" s="19" t="s">
        <v>5907</v>
      </c>
      <c r="BP127" s="19" t="s">
        <v>5908</v>
      </c>
      <c r="BQ127" s="15" t="s">
        <v>364</v>
      </c>
      <c r="BR127" s="19" t="s">
        <v>5909</v>
      </c>
      <c r="BS127" s="19" t="s">
        <v>5910</v>
      </c>
      <c r="BT127" s="19" t="s">
        <v>5911</v>
      </c>
      <c r="BU127" s="19" t="s">
        <v>5912</v>
      </c>
      <c r="BV127" s="19" t="s">
        <v>5913</v>
      </c>
      <c r="BW127" s="15" t="s">
        <v>5914</v>
      </c>
      <c r="BX127" s="26"/>
      <c r="BY127" s="18" t="str">
        <f t="shared" si="102"/>
        <v>COMP</v>
      </c>
      <c r="BZ127" s="24" t="str">
        <f t="shared" si="100"/>
        <v>https://drive.google.com/open?id=17j6DkdaQU0DmX3Vv8NiuJoCKA_OfWW9K</v>
      </c>
      <c r="CA127" s="24" t="str">
        <f t="shared" si="101"/>
        <v>https://drive.google.com/open?id=1ZDGmsKDQtOXlxnD8_EsXVC3bN5x9yxH9</v>
      </c>
      <c r="CB127" s="15" t="s">
        <v>2821</v>
      </c>
      <c r="CC127" s="15" t="s">
        <v>2821</v>
      </c>
      <c r="CD127" s="25" t="s">
        <v>2909</v>
      </c>
      <c r="CE127" s="18"/>
      <c r="CF127" s="18"/>
      <c r="CG127" s="18"/>
    </row>
    <row r="128" ht="18.75" customHeight="1">
      <c r="A128" s="14">
        <v>44736.55864696759</v>
      </c>
      <c r="B128" s="15" t="s">
        <v>813</v>
      </c>
      <c r="C128" s="16" t="s">
        <v>5915</v>
      </c>
      <c r="D128" s="15" t="str">
        <f>IFERROR(__xludf.DUMMYFUNCTION("QUERY(TY_ALL_2023_Batch!$A$1:$E$824, ""SELECT E WHERE C='""&amp;B128&amp;""'"", 0)"),"COMP")</f>
        <v>COMP</v>
      </c>
      <c r="E128" s="15" t="s">
        <v>5916</v>
      </c>
      <c r="F128" s="18"/>
      <c r="G128" s="15" t="s">
        <v>4418</v>
      </c>
      <c r="H128" s="15" t="s">
        <v>2826</v>
      </c>
      <c r="I128" s="17">
        <v>37313.0</v>
      </c>
      <c r="J128" s="15">
        <v>2019.0</v>
      </c>
      <c r="K128" s="15" t="s">
        <v>2786</v>
      </c>
      <c r="L128" s="15" t="s">
        <v>2787</v>
      </c>
      <c r="M128" s="18"/>
      <c r="N128" s="15" t="s">
        <v>5917</v>
      </c>
      <c r="O128" s="15" t="s">
        <v>813</v>
      </c>
      <c r="P128" s="19" t="s">
        <v>5918</v>
      </c>
      <c r="Q128" s="15">
        <v>7.721078168E9</v>
      </c>
      <c r="R128" s="15">
        <v>7.721078168E9</v>
      </c>
      <c r="S128" s="18"/>
      <c r="T128" s="15" t="s">
        <v>5919</v>
      </c>
      <c r="U128" s="15" t="s">
        <v>5920</v>
      </c>
      <c r="V128" s="15" t="s">
        <v>5921</v>
      </c>
      <c r="W128" s="18"/>
      <c r="X128" s="15">
        <v>88.0</v>
      </c>
      <c r="Y128" s="15" t="s">
        <v>2795</v>
      </c>
      <c r="Z128" s="15">
        <v>8.57</v>
      </c>
      <c r="AA128" s="15">
        <v>8.67</v>
      </c>
      <c r="AB128" s="15" t="s">
        <v>2796</v>
      </c>
      <c r="AC128" s="15" t="s">
        <v>2796</v>
      </c>
      <c r="AD128" s="15" t="s">
        <v>2796</v>
      </c>
      <c r="AE128" s="15" t="s">
        <v>2796</v>
      </c>
      <c r="AF128" s="15">
        <v>7.21</v>
      </c>
      <c r="AG128" s="15">
        <v>9.24</v>
      </c>
      <c r="AH128" s="15">
        <v>68.0</v>
      </c>
      <c r="AI128" s="18"/>
      <c r="AJ128" s="15" t="s">
        <v>2787</v>
      </c>
      <c r="AK128" s="15" t="s">
        <v>2787</v>
      </c>
      <c r="AL128" s="18"/>
      <c r="AM128" s="35">
        <v>0.7</v>
      </c>
      <c r="AN128" s="15" t="s">
        <v>2797</v>
      </c>
      <c r="AO128" s="15">
        <v>0.0</v>
      </c>
      <c r="AP128" s="15">
        <v>0.0</v>
      </c>
      <c r="AQ128" s="15" t="s">
        <v>5922</v>
      </c>
      <c r="AR128" s="15" t="s">
        <v>5923</v>
      </c>
      <c r="AS128" s="15" t="s">
        <v>5924</v>
      </c>
      <c r="AT128" s="15" t="s">
        <v>2796</v>
      </c>
      <c r="AU128" s="15" t="s">
        <v>5925</v>
      </c>
      <c r="AV128" s="15" t="s">
        <v>5926</v>
      </c>
      <c r="AW128" s="15" t="s">
        <v>5927</v>
      </c>
      <c r="AX128" s="18"/>
      <c r="AY128" s="15" t="s">
        <v>5928</v>
      </c>
      <c r="AZ128" s="15" t="s">
        <v>5287</v>
      </c>
      <c r="BA128" s="15" t="s">
        <v>5929</v>
      </c>
      <c r="BB128" s="15" t="s">
        <v>5930</v>
      </c>
      <c r="BC128" s="15" t="s">
        <v>4086</v>
      </c>
      <c r="BD128" s="15" t="s">
        <v>3393</v>
      </c>
      <c r="BE128" s="15" t="s">
        <v>5931</v>
      </c>
      <c r="BF128" s="15" t="s">
        <v>2796</v>
      </c>
      <c r="BG128" s="15" t="s">
        <v>2796</v>
      </c>
      <c r="BH128" s="18"/>
      <c r="BI128" s="15" t="s">
        <v>5932</v>
      </c>
      <c r="BJ128" s="19" t="s">
        <v>5933</v>
      </c>
      <c r="BK128" s="19" t="s">
        <v>5934</v>
      </c>
      <c r="BL128" s="18"/>
      <c r="BM128" s="18"/>
      <c r="BN128" s="19" t="s">
        <v>5935</v>
      </c>
      <c r="BO128" s="19" t="s">
        <v>5936</v>
      </c>
      <c r="BP128" s="19" t="s">
        <v>5937</v>
      </c>
      <c r="BQ128" s="15" t="s">
        <v>364</v>
      </c>
      <c r="BR128" s="26"/>
      <c r="BS128" s="26"/>
      <c r="BT128" s="26"/>
      <c r="BU128" s="26"/>
      <c r="BV128" s="26"/>
      <c r="BW128" s="26"/>
      <c r="BX128" s="26"/>
      <c r="BY128" s="18" t="str">
        <f t="shared" si="102"/>
        <v>COMP</v>
      </c>
      <c r="BZ128" s="18" t="str">
        <f t="shared" si="100"/>
        <v/>
      </c>
      <c r="CA128" s="18" t="str">
        <f t="shared" si="101"/>
        <v/>
      </c>
      <c r="CB128" s="15" t="s">
        <v>2908</v>
      </c>
      <c r="CC128" s="15" t="s">
        <v>2908</v>
      </c>
      <c r="CD128" s="25" t="s">
        <v>2797</v>
      </c>
      <c r="CE128" s="18"/>
      <c r="CF128" s="18"/>
      <c r="CG128" s="18"/>
    </row>
    <row r="129" ht="18.75" customHeight="1">
      <c r="A129" s="14">
        <v>44739.76702600694</v>
      </c>
      <c r="B129" s="15" t="s">
        <v>921</v>
      </c>
      <c r="C129" s="16" t="s">
        <v>5938</v>
      </c>
      <c r="D129" s="15" t="str">
        <f>IFERROR(__xludf.DUMMYFUNCTION("QUERY(TY_ALL_2023_Batch!$A$1:$E$824, ""SELECT E WHERE C='""&amp;B129&amp;""'"", 0)"),"COMP")</f>
        <v>COMP</v>
      </c>
      <c r="E129" s="15" t="s">
        <v>4133</v>
      </c>
      <c r="F129" s="15" t="s">
        <v>5939</v>
      </c>
      <c r="G129" s="15" t="s">
        <v>5940</v>
      </c>
      <c r="H129" s="15" t="s">
        <v>2785</v>
      </c>
      <c r="I129" s="17">
        <v>37105.0</v>
      </c>
      <c r="J129" s="15">
        <v>2019.0</v>
      </c>
      <c r="K129" s="15" t="s">
        <v>2786</v>
      </c>
      <c r="L129" s="15" t="s">
        <v>2787</v>
      </c>
      <c r="M129" s="18"/>
      <c r="N129" s="15" t="s">
        <v>5941</v>
      </c>
      <c r="O129" s="15" t="s">
        <v>921</v>
      </c>
      <c r="P129" s="19" t="s">
        <v>5942</v>
      </c>
      <c r="Q129" s="15">
        <v>7.350942803E9</v>
      </c>
      <c r="R129" s="15">
        <v>7.350942803E9</v>
      </c>
      <c r="S129" s="15">
        <v>9.405394603E9</v>
      </c>
      <c r="T129" s="15" t="s">
        <v>5943</v>
      </c>
      <c r="U129" s="15" t="s">
        <v>5944</v>
      </c>
      <c r="V129" s="15" t="s">
        <v>5945</v>
      </c>
      <c r="W129" s="15" t="s">
        <v>5946</v>
      </c>
      <c r="X129" s="15">
        <v>93.8</v>
      </c>
      <c r="Y129" s="15" t="s">
        <v>2795</v>
      </c>
      <c r="Z129" s="15">
        <v>9.76</v>
      </c>
      <c r="AA129" s="15">
        <v>9.48</v>
      </c>
      <c r="AB129" s="15" t="s">
        <v>2796</v>
      </c>
      <c r="AC129" s="15" t="s">
        <v>2796</v>
      </c>
      <c r="AD129" s="15" t="s">
        <v>2796</v>
      </c>
      <c r="AE129" s="15" t="s">
        <v>2796</v>
      </c>
      <c r="AF129" s="15">
        <v>9.26</v>
      </c>
      <c r="AG129" s="15">
        <v>9.57</v>
      </c>
      <c r="AH129" s="15">
        <v>79.23</v>
      </c>
      <c r="AI129" s="18"/>
      <c r="AJ129" s="15" t="s">
        <v>2787</v>
      </c>
      <c r="AK129" s="15" t="s">
        <v>2787</v>
      </c>
      <c r="AL129" s="15">
        <v>714.0</v>
      </c>
      <c r="AM129" s="15">
        <v>705.0</v>
      </c>
      <c r="AN129" s="15" t="s">
        <v>2797</v>
      </c>
      <c r="AO129" s="18"/>
      <c r="AP129" s="18"/>
      <c r="AQ129" s="15" t="s">
        <v>5356</v>
      </c>
      <c r="AR129" s="18"/>
      <c r="AS129" s="18"/>
      <c r="AT129" s="18"/>
      <c r="AU129" s="15" t="s">
        <v>5947</v>
      </c>
      <c r="AV129" s="15" t="s">
        <v>5948</v>
      </c>
      <c r="AW129" s="15" t="s">
        <v>5949</v>
      </c>
      <c r="AX129" s="18"/>
      <c r="AY129" s="15" t="s">
        <v>5950</v>
      </c>
      <c r="AZ129" s="15" t="s">
        <v>5260</v>
      </c>
      <c r="BA129" s="15" t="s">
        <v>5951</v>
      </c>
      <c r="BB129" s="15" t="s">
        <v>5952</v>
      </c>
      <c r="BC129" s="15" t="s">
        <v>5953</v>
      </c>
      <c r="BD129" s="15" t="s">
        <v>2807</v>
      </c>
      <c r="BE129" s="15" t="s">
        <v>5954</v>
      </c>
      <c r="BF129" s="18"/>
      <c r="BG129" s="18"/>
      <c r="BH129" s="18"/>
      <c r="BI129" s="15" t="s">
        <v>5955</v>
      </c>
      <c r="BJ129" s="19" t="s">
        <v>5956</v>
      </c>
      <c r="BK129" s="19" t="s">
        <v>5957</v>
      </c>
      <c r="BL129" s="19" t="s">
        <v>5958</v>
      </c>
      <c r="BM129" s="19" t="s">
        <v>5959</v>
      </c>
      <c r="BN129" s="20" t="s">
        <v>5960</v>
      </c>
      <c r="BO129" s="19" t="s">
        <v>5961</v>
      </c>
      <c r="BP129" s="19" t="s">
        <v>5962</v>
      </c>
      <c r="BQ129" s="15" t="s">
        <v>364</v>
      </c>
      <c r="BR129" s="26"/>
      <c r="BS129" s="26"/>
      <c r="BT129" s="19" t="s">
        <v>5963</v>
      </c>
      <c r="BU129" s="19" t="s">
        <v>5964</v>
      </c>
      <c r="BV129" s="19" t="s">
        <v>5965</v>
      </c>
      <c r="BW129" s="15" t="s">
        <v>5966</v>
      </c>
      <c r="BX129" s="26"/>
      <c r="BY129" s="18" t="str">
        <f t="shared" si="102"/>
        <v>COMP</v>
      </c>
      <c r="BZ129" s="24" t="str">
        <f t="shared" si="100"/>
        <v>https://drive.google.com/open?id=10gm1EZCmzopMZPaZoD__Bt2BRYaageVc</v>
      </c>
      <c r="CA129" s="24" t="str">
        <f t="shared" si="101"/>
        <v>https://drive.google.com/open?id=1f71IA10rJGhpgB1oQHf0cSr8pT3J0PsL</v>
      </c>
      <c r="CB129" s="15" t="s">
        <v>2821</v>
      </c>
      <c r="CC129" s="15" t="s">
        <v>2821</v>
      </c>
      <c r="CD129" s="25" t="s">
        <v>2909</v>
      </c>
      <c r="CE129" s="18"/>
      <c r="CF129" s="18"/>
      <c r="CG129" s="18"/>
    </row>
    <row r="130" ht="18.75" customHeight="1">
      <c r="A130" s="14">
        <v>44740.51332233797</v>
      </c>
      <c r="B130" s="15" t="s">
        <v>795</v>
      </c>
      <c r="C130" s="16" t="s">
        <v>5967</v>
      </c>
      <c r="D130" s="15" t="str">
        <f>IFERROR(__xludf.DUMMYFUNCTION("QUERY(TY_ALL_2023_Batch!$A$1:$E$824, ""SELECT E WHERE C='""&amp;B130&amp;""'"", 0)"),"COMP")</f>
        <v>COMP</v>
      </c>
      <c r="E130" s="15" t="s">
        <v>5968</v>
      </c>
      <c r="F130" s="15" t="s">
        <v>5969</v>
      </c>
      <c r="G130" s="15" t="s">
        <v>5970</v>
      </c>
      <c r="H130" s="15" t="s">
        <v>2785</v>
      </c>
      <c r="I130" s="17">
        <v>36995.0</v>
      </c>
      <c r="J130" s="15">
        <v>2019.0</v>
      </c>
      <c r="K130" s="15" t="s">
        <v>2786</v>
      </c>
      <c r="L130" s="15" t="s">
        <v>2787</v>
      </c>
      <c r="M130" s="18"/>
      <c r="N130" s="15" t="s">
        <v>5971</v>
      </c>
      <c r="O130" s="15" t="s">
        <v>795</v>
      </c>
      <c r="P130" s="19" t="s">
        <v>5972</v>
      </c>
      <c r="Q130" s="15">
        <v>8.08748725E9</v>
      </c>
      <c r="R130" s="15">
        <v>8.08748725E9</v>
      </c>
      <c r="S130" s="15">
        <v>9.022766722E9</v>
      </c>
      <c r="T130" s="15" t="s">
        <v>5973</v>
      </c>
      <c r="U130" s="15" t="s">
        <v>5974</v>
      </c>
      <c r="V130" s="15" t="s">
        <v>5975</v>
      </c>
      <c r="W130" s="15" t="s">
        <v>5976</v>
      </c>
      <c r="X130" s="15">
        <v>69.0</v>
      </c>
      <c r="Y130" s="15" t="s">
        <v>2795</v>
      </c>
      <c r="Z130" s="15">
        <v>8.33</v>
      </c>
      <c r="AA130" s="15">
        <v>7.52</v>
      </c>
      <c r="AB130" s="15" t="s">
        <v>2796</v>
      </c>
      <c r="AC130" s="15" t="s">
        <v>2796</v>
      </c>
      <c r="AD130" s="15" t="s">
        <v>2796</v>
      </c>
      <c r="AE130" s="15" t="s">
        <v>2796</v>
      </c>
      <c r="AF130" s="15">
        <v>7.05</v>
      </c>
      <c r="AG130" s="15">
        <v>8.24</v>
      </c>
      <c r="AH130" s="15">
        <v>57.0</v>
      </c>
      <c r="AI130" s="18"/>
      <c r="AJ130" s="15" t="s">
        <v>2787</v>
      </c>
      <c r="AK130" s="15" t="s">
        <v>2787</v>
      </c>
      <c r="AL130" s="15">
        <v>606.66</v>
      </c>
      <c r="AM130" s="15">
        <v>548.3</v>
      </c>
      <c r="AN130" s="15" t="s">
        <v>2797</v>
      </c>
      <c r="AO130" s="18"/>
      <c r="AP130" s="18"/>
      <c r="AQ130" s="15" t="s">
        <v>5977</v>
      </c>
      <c r="AR130" s="18"/>
      <c r="AS130" s="18"/>
      <c r="AT130" s="18"/>
      <c r="AU130" s="18"/>
      <c r="AV130" s="18"/>
      <c r="AW130" s="15" t="s">
        <v>5978</v>
      </c>
      <c r="AX130" s="18"/>
      <c r="AY130" s="15" t="s">
        <v>5979</v>
      </c>
      <c r="AZ130" s="15" t="s">
        <v>5625</v>
      </c>
      <c r="BA130" s="15" t="s">
        <v>5870</v>
      </c>
      <c r="BB130" s="15" t="s">
        <v>5871</v>
      </c>
      <c r="BC130" s="15" t="s">
        <v>5980</v>
      </c>
      <c r="BD130" s="15" t="s">
        <v>2807</v>
      </c>
      <c r="BE130" s="15" t="s">
        <v>2796</v>
      </c>
      <c r="BF130" s="18"/>
      <c r="BG130" s="18"/>
      <c r="BH130" s="18"/>
      <c r="BI130" s="18"/>
      <c r="BJ130" s="19" t="s">
        <v>5981</v>
      </c>
      <c r="BK130" s="19" t="s">
        <v>5982</v>
      </c>
      <c r="BL130" s="19" t="s">
        <v>5983</v>
      </c>
      <c r="BM130" s="19" t="s">
        <v>5984</v>
      </c>
      <c r="BN130" s="19" t="s">
        <v>5985</v>
      </c>
      <c r="BO130" s="19" t="s">
        <v>5986</v>
      </c>
      <c r="BP130" s="18"/>
      <c r="BQ130" s="15" t="s">
        <v>364</v>
      </c>
      <c r="BR130" s="18"/>
      <c r="BS130" s="18"/>
      <c r="BT130" s="18"/>
      <c r="BU130" s="18"/>
      <c r="BV130" s="18"/>
      <c r="BW130" s="15" t="s">
        <v>4296</v>
      </c>
      <c r="BX130" s="18"/>
      <c r="BY130" s="18" t="str">
        <f t="shared" si="102"/>
        <v>COMP</v>
      </c>
      <c r="BZ130" s="24" t="str">
        <f t="shared" si="100"/>
        <v>https://drive.google.com/open?id=1OjPH2u5oE5C2IFTEaJGC2w124bdRhvY5</v>
      </c>
      <c r="CA130" s="24" t="str">
        <f t="shared" si="101"/>
        <v>https://drive.google.com/open?id=1XXXkMigQbrACFazAWXjLRG6VcsQnEYCu</v>
      </c>
      <c r="CB130" s="15" t="s">
        <v>2821</v>
      </c>
      <c r="CC130" s="15" t="s">
        <v>2821</v>
      </c>
      <c r="CD130" s="25" t="s">
        <v>2797</v>
      </c>
      <c r="CE130" s="18"/>
      <c r="CF130" s="18"/>
      <c r="CG130" s="18"/>
    </row>
    <row r="131" ht="18.75" customHeight="1">
      <c r="A131" s="14">
        <v>44741.42462922454</v>
      </c>
      <c r="B131" s="15" t="s">
        <v>966</v>
      </c>
      <c r="C131" s="16" t="s">
        <v>5987</v>
      </c>
      <c r="D131" s="15" t="str">
        <f>IFERROR(__xludf.DUMMYFUNCTION("QUERY(TY_ALL_2023_Batch!$A$1:$E$824, ""SELECT E WHERE C='""&amp;B131&amp;""'"", 0)"),"COMP")</f>
        <v>COMP</v>
      </c>
      <c r="E131" s="15" t="s">
        <v>5324</v>
      </c>
      <c r="F131" s="15" t="s">
        <v>5988</v>
      </c>
      <c r="G131" s="15" t="s">
        <v>5325</v>
      </c>
      <c r="H131" s="15" t="s">
        <v>2826</v>
      </c>
      <c r="I131" s="17">
        <v>36812.0</v>
      </c>
      <c r="J131" s="15">
        <v>2019.0</v>
      </c>
      <c r="K131" s="15" t="s">
        <v>2786</v>
      </c>
      <c r="L131" s="15" t="s">
        <v>2787</v>
      </c>
      <c r="M131" s="18"/>
      <c r="N131" s="15" t="s">
        <v>5989</v>
      </c>
      <c r="O131" s="15" t="s">
        <v>966</v>
      </c>
      <c r="P131" s="19" t="s">
        <v>5990</v>
      </c>
      <c r="Q131" s="15">
        <v>9.373446355E9</v>
      </c>
      <c r="R131" s="15">
        <v>9.373446355E9</v>
      </c>
      <c r="S131" s="15">
        <v>8.208048521E9</v>
      </c>
      <c r="T131" s="15" t="s">
        <v>5988</v>
      </c>
      <c r="U131" s="15" t="s">
        <v>5991</v>
      </c>
      <c r="V131" s="15" t="s">
        <v>5992</v>
      </c>
      <c r="W131" s="18"/>
      <c r="X131" s="15">
        <v>93.6</v>
      </c>
      <c r="Y131" s="15" t="s">
        <v>2795</v>
      </c>
      <c r="Z131" s="15">
        <v>9.81</v>
      </c>
      <c r="AA131" s="15">
        <v>9.71</v>
      </c>
      <c r="AB131" s="15" t="s">
        <v>2796</v>
      </c>
      <c r="AC131" s="15" t="s">
        <v>2796</v>
      </c>
      <c r="AD131" s="15" t="s">
        <v>2796</v>
      </c>
      <c r="AE131" s="15" t="s">
        <v>2796</v>
      </c>
      <c r="AF131" s="15">
        <v>8.21</v>
      </c>
      <c r="AG131" s="15">
        <v>8.33</v>
      </c>
      <c r="AH131" s="15">
        <v>79.23</v>
      </c>
      <c r="AI131" s="18"/>
      <c r="AJ131" s="15" t="s">
        <v>2787</v>
      </c>
      <c r="AK131" s="15" t="s">
        <v>2787</v>
      </c>
      <c r="AL131" s="15">
        <v>96.0</v>
      </c>
      <c r="AM131" s="15">
        <v>95.0</v>
      </c>
      <c r="AN131" s="15" t="s">
        <v>2797</v>
      </c>
      <c r="AO131" s="18"/>
      <c r="AP131" s="18"/>
      <c r="AQ131" s="15" t="s">
        <v>5356</v>
      </c>
      <c r="AR131" s="18"/>
      <c r="AS131" s="18"/>
      <c r="AT131" s="18"/>
      <c r="AU131" s="15" t="s">
        <v>5993</v>
      </c>
      <c r="AV131" s="15" t="s">
        <v>5994</v>
      </c>
      <c r="AW131" s="15" t="s">
        <v>5995</v>
      </c>
      <c r="AX131" s="18"/>
      <c r="AY131" s="15" t="s">
        <v>5996</v>
      </c>
      <c r="AZ131" s="15" t="s">
        <v>5335</v>
      </c>
      <c r="BA131" s="15" t="s">
        <v>2806</v>
      </c>
      <c r="BB131" s="15" t="s">
        <v>3462</v>
      </c>
      <c r="BC131" s="15" t="s">
        <v>5705</v>
      </c>
      <c r="BD131" s="15" t="s">
        <v>4556</v>
      </c>
      <c r="BE131" s="15" t="s">
        <v>5997</v>
      </c>
      <c r="BF131" s="18"/>
      <c r="BG131" s="18"/>
      <c r="BH131" s="15" t="s">
        <v>5998</v>
      </c>
      <c r="BI131" s="15" t="s">
        <v>5999</v>
      </c>
      <c r="BJ131" s="19" t="s">
        <v>6000</v>
      </c>
      <c r="BK131" s="19" t="s">
        <v>6001</v>
      </c>
      <c r="BL131" s="20" t="s">
        <v>6002</v>
      </c>
      <c r="BM131" s="19" t="s">
        <v>6003</v>
      </c>
      <c r="BN131" s="19" t="s">
        <v>6004</v>
      </c>
      <c r="BO131" s="19" t="s">
        <v>6005</v>
      </c>
      <c r="BP131" s="19" t="s">
        <v>6006</v>
      </c>
      <c r="BQ131" s="15" t="s">
        <v>364</v>
      </c>
      <c r="BR131" s="19" t="s">
        <v>6007</v>
      </c>
      <c r="BS131" s="19" t="s">
        <v>6008</v>
      </c>
      <c r="BT131" s="19" t="s">
        <v>6009</v>
      </c>
      <c r="BU131" s="19" t="s">
        <v>6010</v>
      </c>
      <c r="BV131" s="19" t="s">
        <v>6011</v>
      </c>
      <c r="BW131" s="15" t="s">
        <v>6012</v>
      </c>
      <c r="BX131" s="26"/>
      <c r="BY131" s="18" t="str">
        <f t="shared" si="102"/>
        <v>COMP</v>
      </c>
      <c r="BZ131" s="24" t="str">
        <f t="shared" si="100"/>
        <v>https://drive.google.com/open?id=1bOj3DiQD8aRC4ZBgoFepGTD3Yy08akJS</v>
      </c>
      <c r="CA131" s="24" t="str">
        <f t="shared" si="101"/>
        <v>https://drive.google.com/open?id=1mj2icE06liuDFuXUOOPjanxvma49YNaG</v>
      </c>
      <c r="CB131" s="15" t="s">
        <v>2821</v>
      </c>
      <c r="CC131" s="15" t="s">
        <v>2821</v>
      </c>
      <c r="CD131" s="25" t="s">
        <v>2909</v>
      </c>
      <c r="CE131" s="18"/>
      <c r="CF131" s="18"/>
      <c r="CG131" s="18"/>
    </row>
    <row r="132" ht="18.75" customHeight="1">
      <c r="A132" s="14">
        <v>44750.0668246412</v>
      </c>
      <c r="B132" s="15" t="s">
        <v>609</v>
      </c>
      <c r="C132" s="16" t="s">
        <v>6013</v>
      </c>
      <c r="D132" s="15" t="str">
        <f>IFERROR(__xludf.DUMMYFUNCTION("QUERY(TY_ALL_2023_Batch!$A$1:$E$824, ""SELECT E WHERE C='""&amp;B132&amp;""'"", 0)"),"COMP")</f>
        <v>COMP</v>
      </c>
      <c r="E132" s="15" t="s">
        <v>6014</v>
      </c>
      <c r="F132" s="15" t="s">
        <v>6015</v>
      </c>
      <c r="G132" s="15" t="s">
        <v>6016</v>
      </c>
      <c r="H132" s="15" t="s">
        <v>2785</v>
      </c>
      <c r="I132" s="17">
        <v>37077.0</v>
      </c>
      <c r="J132" s="15">
        <v>2019.0</v>
      </c>
      <c r="K132" s="15" t="s">
        <v>2786</v>
      </c>
      <c r="L132" s="15" t="s">
        <v>2787</v>
      </c>
      <c r="M132" s="18"/>
      <c r="N132" s="15" t="s">
        <v>6017</v>
      </c>
      <c r="O132" s="15" t="s">
        <v>609</v>
      </c>
      <c r="P132" s="19" t="s">
        <v>6018</v>
      </c>
      <c r="Q132" s="15">
        <v>9.049998692E9</v>
      </c>
      <c r="R132" s="15">
        <v>9.049998692E9</v>
      </c>
      <c r="S132" s="15">
        <v>9.922183512E9</v>
      </c>
      <c r="T132" s="15" t="s">
        <v>6019</v>
      </c>
      <c r="U132" s="15" t="s">
        <v>6020</v>
      </c>
      <c r="V132" s="15" t="s">
        <v>6021</v>
      </c>
      <c r="W132" s="15" t="s">
        <v>6022</v>
      </c>
      <c r="X132" s="15">
        <v>92.0</v>
      </c>
      <c r="Y132" s="15" t="s">
        <v>2795</v>
      </c>
      <c r="Z132" s="15">
        <v>9.76</v>
      </c>
      <c r="AA132" s="15">
        <v>9.57</v>
      </c>
      <c r="AB132" s="15" t="s">
        <v>2796</v>
      </c>
      <c r="AC132" s="15" t="s">
        <v>2796</v>
      </c>
      <c r="AD132" s="15" t="s">
        <v>2796</v>
      </c>
      <c r="AE132" s="15" t="s">
        <v>2796</v>
      </c>
      <c r="AF132" s="15">
        <v>8.68</v>
      </c>
      <c r="AG132" s="15">
        <v>9.48</v>
      </c>
      <c r="AH132" s="15">
        <v>75.08</v>
      </c>
      <c r="AI132" s="18"/>
      <c r="AJ132" s="15" t="s">
        <v>2787</v>
      </c>
      <c r="AK132" s="15" t="s">
        <v>2787</v>
      </c>
      <c r="AL132" s="15">
        <v>666.66</v>
      </c>
      <c r="AM132" s="15">
        <v>740.0</v>
      </c>
      <c r="AN132" s="15" t="s">
        <v>2797</v>
      </c>
      <c r="AO132" s="15">
        <v>0.0</v>
      </c>
      <c r="AP132" s="15">
        <v>0.0</v>
      </c>
      <c r="AQ132" s="15" t="s">
        <v>6023</v>
      </c>
      <c r="AR132" s="15" t="s">
        <v>6024</v>
      </c>
      <c r="AS132" s="18"/>
      <c r="AT132" s="18"/>
      <c r="AU132" s="15" t="s">
        <v>6025</v>
      </c>
      <c r="AV132" s="15" t="s">
        <v>6026</v>
      </c>
      <c r="AW132" s="15" t="s">
        <v>6027</v>
      </c>
      <c r="AX132" s="18"/>
      <c r="AY132" s="15" t="s">
        <v>6028</v>
      </c>
      <c r="AZ132" s="15" t="s">
        <v>5625</v>
      </c>
      <c r="BA132" s="15" t="s">
        <v>2899</v>
      </c>
      <c r="BB132" s="15" t="s">
        <v>3462</v>
      </c>
      <c r="BC132" s="15" t="s">
        <v>3686</v>
      </c>
      <c r="BD132" s="15" t="s">
        <v>2842</v>
      </c>
      <c r="BE132" s="15" t="s">
        <v>6029</v>
      </c>
      <c r="BF132" s="18"/>
      <c r="BG132" s="18"/>
      <c r="BH132" s="18"/>
      <c r="BI132" s="15" t="s">
        <v>6030</v>
      </c>
      <c r="BJ132" s="19" t="s">
        <v>6031</v>
      </c>
      <c r="BK132" s="19" t="s">
        <v>6032</v>
      </c>
      <c r="BL132" s="19" t="s">
        <v>6033</v>
      </c>
      <c r="BM132" s="19" t="s">
        <v>6034</v>
      </c>
      <c r="BN132" s="19" t="s">
        <v>6035</v>
      </c>
      <c r="BO132" s="19" t="s">
        <v>6036</v>
      </c>
      <c r="BP132" s="19" t="s">
        <v>6037</v>
      </c>
      <c r="BQ132" s="15" t="s">
        <v>364</v>
      </c>
      <c r="BR132" s="26"/>
      <c r="BS132" s="26"/>
      <c r="BT132" s="19" t="s">
        <v>6038</v>
      </c>
      <c r="BU132" s="26"/>
      <c r="BV132" s="26"/>
      <c r="BW132" s="15" t="s">
        <v>6039</v>
      </c>
      <c r="BX132" s="26"/>
      <c r="BY132" s="18" t="str">
        <f t="shared" si="102"/>
        <v>COMP</v>
      </c>
      <c r="BZ132" s="24" t="str">
        <f t="shared" si="100"/>
        <v>https://drive.google.com/open?id=1Ir_b17PvmLVxfS7tLYUv4azSN3bYs5qP</v>
      </c>
      <c r="CA132" s="24" t="str">
        <f t="shared" si="101"/>
        <v>https://drive.google.com/open?id=1_VWXXFP9ye31iqC3KmIe1t9kdslP5RYn</v>
      </c>
      <c r="CB132" s="15" t="s">
        <v>2821</v>
      </c>
      <c r="CC132" s="15" t="s">
        <v>2821</v>
      </c>
      <c r="CD132" s="25" t="s">
        <v>2797</v>
      </c>
      <c r="CE132" s="18"/>
      <c r="CF132" s="18"/>
      <c r="CG132" s="18"/>
    </row>
    <row r="133" ht="18.75" customHeight="1">
      <c r="A133" s="14">
        <v>44736.472108182876</v>
      </c>
      <c r="B133" s="15" t="s">
        <v>603</v>
      </c>
      <c r="C133" s="16" t="s">
        <v>6040</v>
      </c>
      <c r="D133" s="15" t="str">
        <f>IFERROR(__xludf.DUMMYFUNCTION("QUERY(TY_ALL_2023_Batch!$A$1:$E$824, ""SELECT E WHERE C='""&amp;B133&amp;""'"", 0)"),"COMP")</f>
        <v>COMP</v>
      </c>
      <c r="E133" s="15" t="s">
        <v>3328</v>
      </c>
      <c r="F133" s="15" t="s">
        <v>6041</v>
      </c>
      <c r="G133" s="15" t="s">
        <v>6042</v>
      </c>
      <c r="H133" s="15" t="s">
        <v>2785</v>
      </c>
      <c r="I133" s="17">
        <v>37400.0</v>
      </c>
      <c r="J133" s="15">
        <v>2019.0</v>
      </c>
      <c r="K133" s="15" t="s">
        <v>2786</v>
      </c>
      <c r="L133" s="15" t="s">
        <v>2787</v>
      </c>
      <c r="M133" s="18"/>
      <c r="N133" s="15" t="s">
        <v>6043</v>
      </c>
      <c r="O133" s="15" t="s">
        <v>603</v>
      </c>
      <c r="P133" s="19" t="s">
        <v>6044</v>
      </c>
      <c r="Q133" s="15">
        <v>9.595219621E9</v>
      </c>
      <c r="R133" s="15">
        <v>9.595219621E9</v>
      </c>
      <c r="S133" s="18"/>
      <c r="T133" s="15" t="s">
        <v>6045</v>
      </c>
      <c r="U133" s="15" t="s">
        <v>6046</v>
      </c>
      <c r="V133" s="15" t="s">
        <v>6047</v>
      </c>
      <c r="W133" s="18"/>
      <c r="X133" s="15">
        <v>93.8</v>
      </c>
      <c r="Y133" s="15" t="s">
        <v>2795</v>
      </c>
      <c r="Z133" s="15">
        <v>9.57</v>
      </c>
      <c r="AA133" s="15">
        <v>9.29</v>
      </c>
      <c r="AB133" s="15" t="s">
        <v>2796</v>
      </c>
      <c r="AC133" s="15" t="s">
        <v>2796</v>
      </c>
      <c r="AD133" s="15" t="s">
        <v>2796</v>
      </c>
      <c r="AE133" s="15" t="s">
        <v>2796</v>
      </c>
      <c r="AF133" s="15">
        <v>8.95</v>
      </c>
      <c r="AG133" s="15">
        <v>8.81</v>
      </c>
      <c r="AH133" s="15">
        <v>81.08</v>
      </c>
      <c r="AI133" s="18"/>
      <c r="AJ133" s="15" t="s">
        <v>2787</v>
      </c>
      <c r="AK133" s="15" t="s">
        <v>2787</v>
      </c>
      <c r="AL133" s="15">
        <v>625.0</v>
      </c>
      <c r="AM133" s="15">
        <v>685.0</v>
      </c>
      <c r="AN133" s="15" t="s">
        <v>2797</v>
      </c>
      <c r="AO133" s="18"/>
      <c r="AP133" s="18"/>
      <c r="AQ133" s="15" t="s">
        <v>6048</v>
      </c>
      <c r="AR133" s="18"/>
      <c r="AS133" s="15" t="s">
        <v>6049</v>
      </c>
      <c r="AT133" s="18"/>
      <c r="AU133" s="15" t="s">
        <v>6050</v>
      </c>
      <c r="AV133" s="15" t="s">
        <v>6051</v>
      </c>
      <c r="AW133" s="15" t="s">
        <v>6052</v>
      </c>
      <c r="AX133" s="18"/>
      <c r="AY133" s="15" t="s">
        <v>6053</v>
      </c>
      <c r="AZ133" s="15" t="s">
        <v>5287</v>
      </c>
      <c r="BA133" s="15" t="s">
        <v>5552</v>
      </c>
      <c r="BB133" s="15" t="s">
        <v>5311</v>
      </c>
      <c r="BC133" s="15" t="s">
        <v>6054</v>
      </c>
      <c r="BD133" s="15" t="s">
        <v>2807</v>
      </c>
      <c r="BE133" s="15" t="s">
        <v>6055</v>
      </c>
      <c r="BF133" s="18"/>
      <c r="BG133" s="18"/>
      <c r="BH133" s="15" t="s">
        <v>6056</v>
      </c>
      <c r="BI133" s="15" t="s">
        <v>6057</v>
      </c>
      <c r="BJ133" s="19" t="s">
        <v>6058</v>
      </c>
      <c r="BK133" s="19" t="s">
        <v>6059</v>
      </c>
      <c r="BL133" s="19" t="s">
        <v>6060</v>
      </c>
      <c r="BM133" s="20" t="s">
        <v>6061</v>
      </c>
      <c r="BN133" s="19" t="s">
        <v>6062</v>
      </c>
      <c r="BO133" s="19" t="s">
        <v>6063</v>
      </c>
      <c r="BP133" s="19" t="s">
        <v>6064</v>
      </c>
      <c r="BQ133" s="15" t="s">
        <v>364</v>
      </c>
      <c r="BR133" s="26"/>
      <c r="BS133" s="26"/>
      <c r="BT133" s="26"/>
      <c r="BU133" s="26"/>
      <c r="BV133" s="26"/>
      <c r="BW133" s="26"/>
      <c r="BX133" s="26"/>
      <c r="BY133" s="18" t="str">
        <f t="shared" si="102"/>
        <v>COMP</v>
      </c>
      <c r="BZ133" s="24" t="str">
        <f t="shared" si="100"/>
        <v>https://drive.google.com/open?id=1ntTcN5jNWA_5LOgaijWPXXA0kcJa0_I5</v>
      </c>
      <c r="CA133" s="24" t="str">
        <f t="shared" si="101"/>
        <v>https://drive.google.com/open?id=1geudoPJCQRKIbF74z6wx6AFLRn31myRJ</v>
      </c>
      <c r="CB133" s="15" t="s">
        <v>2821</v>
      </c>
      <c r="CC133" s="15" t="s">
        <v>2821</v>
      </c>
      <c r="CD133" s="25" t="s">
        <v>2797</v>
      </c>
      <c r="CE133" s="18"/>
      <c r="CF133" s="18"/>
      <c r="CG133" s="18"/>
    </row>
    <row r="134" ht="18.75" customHeight="1">
      <c r="A134" s="14">
        <v>44736.50360302083</v>
      </c>
      <c r="B134" s="15" t="s">
        <v>828</v>
      </c>
      <c r="C134" s="16" t="s">
        <v>6065</v>
      </c>
      <c r="D134" s="15" t="str">
        <f>IFERROR(__xludf.DUMMYFUNCTION("QUERY(TY_ALL_2023_Batch!$A$1:$E$824, ""SELECT E WHERE C='""&amp;B134&amp;""'"", 0)"),"COMP")</f>
        <v>COMP</v>
      </c>
      <c r="E134" s="15" t="s">
        <v>6066</v>
      </c>
      <c r="F134" s="15" t="s">
        <v>3361</v>
      </c>
      <c r="G134" s="15" t="s">
        <v>6067</v>
      </c>
      <c r="H134" s="15" t="s">
        <v>2785</v>
      </c>
      <c r="I134" s="17">
        <v>37003.0</v>
      </c>
      <c r="J134" s="15">
        <v>2019.0</v>
      </c>
      <c r="K134" s="15" t="s">
        <v>2786</v>
      </c>
      <c r="L134" s="15" t="s">
        <v>2787</v>
      </c>
      <c r="M134" s="18"/>
      <c r="N134" s="15" t="s">
        <v>6068</v>
      </c>
      <c r="O134" s="15" t="s">
        <v>828</v>
      </c>
      <c r="P134" s="19" t="s">
        <v>6069</v>
      </c>
      <c r="Q134" s="15">
        <v>7.410945825E9</v>
      </c>
      <c r="R134" s="15">
        <v>7.410945825E9</v>
      </c>
      <c r="S134" s="15">
        <v>9.309765218E9</v>
      </c>
      <c r="T134" s="15" t="s">
        <v>3361</v>
      </c>
      <c r="U134" s="15" t="s">
        <v>6070</v>
      </c>
      <c r="V134" s="15" t="s">
        <v>6071</v>
      </c>
      <c r="W134" s="15" t="s">
        <v>6072</v>
      </c>
      <c r="X134" s="15">
        <v>94.6</v>
      </c>
      <c r="Y134" s="15" t="s">
        <v>2795</v>
      </c>
      <c r="Z134" s="15">
        <v>9.12</v>
      </c>
      <c r="AA134" s="15">
        <v>7.86</v>
      </c>
      <c r="AB134" s="15" t="s">
        <v>2796</v>
      </c>
      <c r="AC134" s="15" t="s">
        <v>2796</v>
      </c>
      <c r="AD134" s="15" t="s">
        <v>2796</v>
      </c>
      <c r="AE134" s="15" t="s">
        <v>2796</v>
      </c>
      <c r="AF134" s="15">
        <v>9.27</v>
      </c>
      <c r="AG134" s="15">
        <v>9.43</v>
      </c>
      <c r="AH134" s="15">
        <v>71.23</v>
      </c>
      <c r="AI134" s="18"/>
      <c r="AJ134" s="15" t="s">
        <v>2787</v>
      </c>
      <c r="AK134" s="15" t="s">
        <v>2787</v>
      </c>
      <c r="AL134" s="15">
        <v>585.0</v>
      </c>
      <c r="AM134" s="18"/>
      <c r="AN134" s="15" t="s">
        <v>2797</v>
      </c>
      <c r="AO134" s="18"/>
      <c r="AP134" s="18"/>
      <c r="AQ134" s="15" t="s">
        <v>2796</v>
      </c>
      <c r="AR134" s="18"/>
      <c r="AS134" s="18"/>
      <c r="AT134" s="18"/>
      <c r="AU134" s="18"/>
      <c r="AV134" s="15" t="s">
        <v>6073</v>
      </c>
      <c r="AW134" s="15" t="s">
        <v>6074</v>
      </c>
      <c r="AX134" s="18"/>
      <c r="AY134" s="15" t="s">
        <v>6075</v>
      </c>
      <c r="AZ134" s="15" t="s">
        <v>5260</v>
      </c>
      <c r="BA134" s="15" t="s">
        <v>2899</v>
      </c>
      <c r="BB134" s="15" t="s">
        <v>5649</v>
      </c>
      <c r="BC134" s="15" t="s">
        <v>4217</v>
      </c>
      <c r="BD134" s="15" t="s">
        <v>2807</v>
      </c>
      <c r="BE134" s="15" t="s">
        <v>6076</v>
      </c>
      <c r="BF134" s="15" t="s">
        <v>6077</v>
      </c>
      <c r="BG134" s="18"/>
      <c r="BH134" s="18"/>
      <c r="BI134" s="15" t="s">
        <v>6078</v>
      </c>
      <c r="BJ134" s="19" t="s">
        <v>6079</v>
      </c>
      <c r="BK134" s="19" t="s">
        <v>6080</v>
      </c>
      <c r="BL134" s="18"/>
      <c r="BM134" s="18"/>
      <c r="BN134" s="18"/>
      <c r="BO134" s="19" t="s">
        <v>6081</v>
      </c>
      <c r="BP134" s="19" t="s">
        <v>6082</v>
      </c>
      <c r="BQ134" s="15" t="s">
        <v>364</v>
      </c>
      <c r="BR134" s="26"/>
      <c r="BS134" s="26"/>
      <c r="BT134" s="26"/>
      <c r="BU134" s="26"/>
      <c r="BV134" s="26"/>
      <c r="BW134" s="26"/>
      <c r="BX134" s="26"/>
      <c r="BY134" s="18" t="str">
        <f t="shared" si="102"/>
        <v>COMP</v>
      </c>
      <c r="BZ134" s="18" t="str">
        <f t="shared" si="100"/>
        <v/>
      </c>
      <c r="CA134" s="18" t="str">
        <f t="shared" si="101"/>
        <v/>
      </c>
      <c r="CB134" s="15" t="s">
        <v>2908</v>
      </c>
      <c r="CC134" s="15" t="s">
        <v>2908</v>
      </c>
      <c r="CD134" s="25" t="s">
        <v>2797</v>
      </c>
      <c r="CE134" s="18"/>
      <c r="CF134" s="18"/>
      <c r="CG134" s="18"/>
    </row>
    <row r="135" ht="18.75" customHeight="1">
      <c r="A135" s="14">
        <v>44735.9332319213</v>
      </c>
      <c r="B135" s="15" t="s">
        <v>816</v>
      </c>
      <c r="C135" s="16" t="s">
        <v>6083</v>
      </c>
      <c r="D135" s="15" t="str">
        <f>IFERROR(__xludf.DUMMYFUNCTION("QUERY(TY_ALL_2023_Batch!$A$1:$E$824, ""SELECT E WHERE C='""&amp;B135&amp;""'"", 0)"),"COMP")</f>
        <v>COMP</v>
      </c>
      <c r="E135" s="15" t="s">
        <v>6084</v>
      </c>
      <c r="F135" s="15" t="s">
        <v>6085</v>
      </c>
      <c r="G135" s="15" t="s">
        <v>6086</v>
      </c>
      <c r="H135" s="15" t="s">
        <v>2785</v>
      </c>
      <c r="I135" s="17">
        <v>37144.0</v>
      </c>
      <c r="J135" s="15">
        <v>2019.0</v>
      </c>
      <c r="K135" s="15" t="s">
        <v>2786</v>
      </c>
      <c r="L135" s="15" t="s">
        <v>2787</v>
      </c>
      <c r="M135" s="18"/>
      <c r="N135" s="15" t="s">
        <v>6087</v>
      </c>
      <c r="O135" s="15" t="s">
        <v>816</v>
      </c>
      <c r="P135" s="19" t="s">
        <v>6088</v>
      </c>
      <c r="Q135" s="15">
        <v>9.637602212E9</v>
      </c>
      <c r="R135" s="15">
        <v>9.637602212E9</v>
      </c>
      <c r="S135" s="15">
        <v>9.422602028E9</v>
      </c>
      <c r="T135" s="15" t="s">
        <v>6041</v>
      </c>
      <c r="U135" s="15" t="s">
        <v>6089</v>
      </c>
      <c r="V135" s="15" t="s">
        <v>6090</v>
      </c>
      <c r="W135" s="15" t="s">
        <v>6091</v>
      </c>
      <c r="X135" s="15">
        <v>78.0</v>
      </c>
      <c r="Y135" s="15" t="s">
        <v>2795</v>
      </c>
      <c r="Z135" s="15">
        <v>7.06</v>
      </c>
      <c r="AA135" s="15">
        <v>7.73</v>
      </c>
      <c r="AB135" s="15" t="s">
        <v>2796</v>
      </c>
      <c r="AC135" s="15" t="s">
        <v>2796</v>
      </c>
      <c r="AD135" s="15" t="s">
        <v>2796</v>
      </c>
      <c r="AE135" s="15" t="s">
        <v>3005</v>
      </c>
      <c r="AF135" s="15">
        <v>6.14</v>
      </c>
      <c r="AG135" s="15">
        <v>7.03</v>
      </c>
      <c r="AH135" s="15">
        <v>70.31</v>
      </c>
      <c r="AI135" s="18"/>
      <c r="AJ135" s="15" t="s">
        <v>2787</v>
      </c>
      <c r="AK135" s="15" t="s">
        <v>2787</v>
      </c>
      <c r="AL135" s="15">
        <v>1746.0</v>
      </c>
      <c r="AM135" s="15">
        <v>1746.0</v>
      </c>
      <c r="AN135" s="15" t="s">
        <v>2797</v>
      </c>
      <c r="AO135" s="15" t="s">
        <v>2796</v>
      </c>
      <c r="AP135" s="15" t="s">
        <v>2796</v>
      </c>
      <c r="AQ135" s="15" t="s">
        <v>6092</v>
      </c>
      <c r="AR135" s="15" t="s">
        <v>6093</v>
      </c>
      <c r="AS135" s="15" t="s">
        <v>6094</v>
      </c>
      <c r="AT135" s="18"/>
      <c r="AU135" s="15" t="s">
        <v>6095</v>
      </c>
      <c r="AV135" s="15" t="s">
        <v>6096</v>
      </c>
      <c r="AW135" s="15" t="s">
        <v>6097</v>
      </c>
      <c r="AX135" s="15" t="s">
        <v>6098</v>
      </c>
      <c r="AY135" s="15" t="s">
        <v>6098</v>
      </c>
      <c r="AZ135" s="15" t="s">
        <v>5287</v>
      </c>
      <c r="BA135" s="15" t="s">
        <v>2806</v>
      </c>
      <c r="BB135" s="15" t="s">
        <v>3514</v>
      </c>
      <c r="BC135" s="15" t="s">
        <v>3686</v>
      </c>
      <c r="BD135" s="15" t="s">
        <v>2807</v>
      </c>
      <c r="BE135" s="15" t="s">
        <v>2796</v>
      </c>
      <c r="BF135" s="18"/>
      <c r="BG135" s="18"/>
      <c r="BH135" s="18"/>
      <c r="BI135" s="18"/>
      <c r="BJ135" s="19" t="s">
        <v>6099</v>
      </c>
      <c r="BK135" s="19" t="s">
        <v>6100</v>
      </c>
      <c r="BL135" s="19" t="s">
        <v>6101</v>
      </c>
      <c r="BM135" s="19" t="s">
        <v>6102</v>
      </c>
      <c r="BN135" s="19" t="s">
        <v>6103</v>
      </c>
      <c r="BO135" s="19" t="s">
        <v>6104</v>
      </c>
      <c r="BP135" s="19" t="s">
        <v>6105</v>
      </c>
      <c r="BQ135" s="15" t="s">
        <v>364</v>
      </c>
      <c r="BR135" s="26"/>
      <c r="BS135" s="26"/>
      <c r="BT135" s="26"/>
      <c r="BU135" s="26"/>
      <c r="BV135" s="26"/>
      <c r="BW135" s="26"/>
      <c r="BX135" s="26"/>
      <c r="BY135" s="18" t="str">
        <f t="shared" si="102"/>
        <v>COMP</v>
      </c>
      <c r="BZ135" s="24" t="str">
        <f t="shared" si="100"/>
        <v>https://drive.google.com/open?id=19AOBtl17No6qbsZQNOdDVp74LYvAi2Mr</v>
      </c>
      <c r="CA135" s="24" t="str">
        <f t="shared" si="101"/>
        <v>https://drive.google.com/open?id=1cNK7Rrbz_5dFzujrcvAdJZU3uv5E64Xe</v>
      </c>
      <c r="CB135" s="15" t="s">
        <v>2821</v>
      </c>
      <c r="CC135" s="15" t="s">
        <v>2821</v>
      </c>
      <c r="CD135" s="25" t="s">
        <v>2797</v>
      </c>
      <c r="CE135" s="18"/>
      <c r="CF135" s="18"/>
      <c r="CG135" s="18"/>
    </row>
    <row r="136" ht="18.75" customHeight="1">
      <c r="A136" s="14">
        <v>44739.71797752315</v>
      </c>
      <c r="B136" s="15" t="s">
        <v>978</v>
      </c>
      <c r="C136" s="16" t="s">
        <v>6106</v>
      </c>
      <c r="D136" s="15" t="str">
        <f>IFERROR(__xludf.DUMMYFUNCTION("QUERY(TY_ALL_2023_Batch!$A$1:$E$824, ""SELECT E WHERE C='""&amp;B136&amp;""'"", 0)"),"COMP")</f>
        <v>COMP</v>
      </c>
      <c r="E136" s="15" t="s">
        <v>3378</v>
      </c>
      <c r="F136" s="15" t="s">
        <v>6107</v>
      </c>
      <c r="G136" s="15" t="s">
        <v>6108</v>
      </c>
      <c r="H136" s="15" t="s">
        <v>2785</v>
      </c>
      <c r="I136" s="17">
        <v>36923.0</v>
      </c>
      <c r="J136" s="15">
        <v>2019.0</v>
      </c>
      <c r="K136" s="15" t="s">
        <v>2786</v>
      </c>
      <c r="L136" s="15" t="s">
        <v>2787</v>
      </c>
      <c r="M136" s="18"/>
      <c r="N136" s="15" t="s">
        <v>6109</v>
      </c>
      <c r="O136" s="15" t="s">
        <v>978</v>
      </c>
      <c r="P136" s="19" t="s">
        <v>6110</v>
      </c>
      <c r="Q136" s="15">
        <v>8.208963034E9</v>
      </c>
      <c r="R136" s="15">
        <v>8.208963034E9</v>
      </c>
      <c r="S136" s="18"/>
      <c r="T136" s="15" t="s">
        <v>6111</v>
      </c>
      <c r="U136" s="15" t="s">
        <v>6112</v>
      </c>
      <c r="V136" s="15" t="s">
        <v>6113</v>
      </c>
      <c r="W136" s="15" t="s">
        <v>6114</v>
      </c>
      <c r="X136" s="15">
        <v>73.0</v>
      </c>
      <c r="Y136" s="15" t="s">
        <v>2795</v>
      </c>
      <c r="Z136" s="15">
        <v>8.81</v>
      </c>
      <c r="AA136" s="15">
        <v>8.24</v>
      </c>
      <c r="AB136" s="15" t="s">
        <v>2796</v>
      </c>
      <c r="AC136" s="15" t="s">
        <v>2796</v>
      </c>
      <c r="AD136" s="15" t="s">
        <v>2796</v>
      </c>
      <c r="AE136" s="15" t="s">
        <v>2796</v>
      </c>
      <c r="AF136" s="15">
        <v>8.79</v>
      </c>
      <c r="AG136" s="15">
        <v>8.95</v>
      </c>
      <c r="AH136" s="15">
        <v>76.0</v>
      </c>
      <c r="AI136" s="18"/>
      <c r="AJ136" s="15" t="s">
        <v>2787</v>
      </c>
      <c r="AK136" s="15" t="s">
        <v>2787</v>
      </c>
      <c r="AL136" s="15">
        <v>588.0</v>
      </c>
      <c r="AM136" s="15">
        <v>633.0</v>
      </c>
      <c r="AN136" s="15" t="s">
        <v>2797</v>
      </c>
      <c r="AO136" s="18"/>
      <c r="AP136" s="18"/>
      <c r="AQ136" s="15" t="s">
        <v>6115</v>
      </c>
      <c r="AR136" s="18"/>
      <c r="AS136" s="15" t="s">
        <v>6116</v>
      </c>
      <c r="AT136" s="18"/>
      <c r="AU136" s="15" t="s">
        <v>6117</v>
      </c>
      <c r="AV136" s="15" t="s">
        <v>6118</v>
      </c>
      <c r="AW136" s="15" t="s">
        <v>6119</v>
      </c>
      <c r="AX136" s="15" t="s">
        <v>6120</v>
      </c>
      <c r="AY136" s="15" t="s">
        <v>6121</v>
      </c>
      <c r="AZ136" s="15" t="s">
        <v>5287</v>
      </c>
      <c r="BA136" s="15" t="s">
        <v>6122</v>
      </c>
      <c r="BB136" s="15" t="s">
        <v>6123</v>
      </c>
      <c r="BC136" s="15" t="s">
        <v>6124</v>
      </c>
      <c r="BD136" s="15" t="s">
        <v>2807</v>
      </c>
      <c r="BE136" s="15" t="s">
        <v>6125</v>
      </c>
      <c r="BF136" s="15" t="s">
        <v>6126</v>
      </c>
      <c r="BG136" s="18"/>
      <c r="BH136" s="15" t="s">
        <v>6127</v>
      </c>
      <c r="BI136" s="18"/>
      <c r="BJ136" s="19" t="s">
        <v>6128</v>
      </c>
      <c r="BK136" s="19" t="s">
        <v>6129</v>
      </c>
      <c r="BL136" s="19" t="s">
        <v>6130</v>
      </c>
      <c r="BM136" s="20" t="s">
        <v>6131</v>
      </c>
      <c r="BN136" s="19" t="s">
        <v>6132</v>
      </c>
      <c r="BO136" s="19" t="s">
        <v>6133</v>
      </c>
      <c r="BP136" s="18"/>
      <c r="BQ136" s="15" t="s">
        <v>364</v>
      </c>
      <c r="BR136" s="18"/>
      <c r="BS136" s="18"/>
      <c r="BT136" s="18"/>
      <c r="BU136" s="18"/>
      <c r="BV136" s="18"/>
      <c r="BW136" s="15" t="s">
        <v>3063</v>
      </c>
      <c r="BX136" s="18"/>
      <c r="BY136" s="18" t="str">
        <f t="shared" si="102"/>
        <v>COMP</v>
      </c>
      <c r="BZ136" s="24" t="str">
        <f t="shared" si="100"/>
        <v>https://drive.google.com/open?id=1kLusJSKpW9BG9StNcZxoqYL_9C0KBPay</v>
      </c>
      <c r="CA136" s="24" t="str">
        <f t="shared" si="101"/>
        <v>https://drive.google.com/open?id=13TCbtPS9GebGQZoVYKj__mAS0Bdxvi7G</v>
      </c>
      <c r="CB136" s="15" t="s">
        <v>2821</v>
      </c>
      <c r="CC136" s="15" t="s">
        <v>2821</v>
      </c>
      <c r="CD136" s="25" t="s">
        <v>2797</v>
      </c>
      <c r="CE136" s="18"/>
      <c r="CF136" s="18"/>
      <c r="CG136" s="18"/>
    </row>
    <row r="137" ht="18.75" customHeight="1">
      <c r="A137" s="14">
        <v>44749.781158425925</v>
      </c>
      <c r="B137" s="15" t="s">
        <v>663</v>
      </c>
      <c r="C137" s="16" t="s">
        <v>6134</v>
      </c>
      <c r="D137" s="15" t="str">
        <f>IFERROR(__xludf.DUMMYFUNCTION("QUERY(TY_ALL_2023_Batch!$A$1:$E$824, ""SELECT E WHERE C='""&amp;B137&amp;""'"", 0)"),"COMP")</f>
        <v>COMP</v>
      </c>
      <c r="E137" s="15" t="s">
        <v>6135</v>
      </c>
      <c r="F137" s="15" t="s">
        <v>6136</v>
      </c>
      <c r="G137" s="15" t="s">
        <v>6137</v>
      </c>
      <c r="H137" s="15" t="s">
        <v>2785</v>
      </c>
      <c r="I137" s="17">
        <v>36977.0</v>
      </c>
      <c r="J137" s="15">
        <v>2019.0</v>
      </c>
      <c r="K137" s="15" t="s">
        <v>2786</v>
      </c>
      <c r="L137" s="15" t="s">
        <v>2787</v>
      </c>
      <c r="M137" s="18"/>
      <c r="N137" s="15" t="s">
        <v>6138</v>
      </c>
      <c r="O137" s="15" t="s">
        <v>663</v>
      </c>
      <c r="P137" s="19" t="s">
        <v>6139</v>
      </c>
      <c r="Q137" s="15">
        <v>9.421318629E9</v>
      </c>
      <c r="R137" s="15">
        <v>9.421318629E9</v>
      </c>
      <c r="S137" s="15">
        <v>8.080164663E9</v>
      </c>
      <c r="T137" s="15" t="s">
        <v>6136</v>
      </c>
      <c r="U137" s="15" t="s">
        <v>6140</v>
      </c>
      <c r="V137" s="15" t="s">
        <v>6141</v>
      </c>
      <c r="W137" s="15" t="s">
        <v>6142</v>
      </c>
      <c r="X137" s="15">
        <v>87.0</v>
      </c>
      <c r="Y137" s="15" t="s">
        <v>2795</v>
      </c>
      <c r="Z137" s="15">
        <v>9.48</v>
      </c>
      <c r="AA137" s="15">
        <v>9.38</v>
      </c>
      <c r="AB137" s="15" t="s">
        <v>2796</v>
      </c>
      <c r="AC137" s="15" t="s">
        <v>2796</v>
      </c>
      <c r="AD137" s="15" t="s">
        <v>2796</v>
      </c>
      <c r="AE137" s="15" t="s">
        <v>2796</v>
      </c>
      <c r="AF137" s="15">
        <v>8.53</v>
      </c>
      <c r="AG137" s="15">
        <v>8.95</v>
      </c>
      <c r="AH137" s="15">
        <v>71.0</v>
      </c>
      <c r="AI137" s="18"/>
      <c r="AJ137" s="15" t="s">
        <v>2787</v>
      </c>
      <c r="AK137" s="15" t="s">
        <v>2787</v>
      </c>
      <c r="AL137" s="15">
        <v>94.0</v>
      </c>
      <c r="AM137" s="15">
        <v>97.0</v>
      </c>
      <c r="AN137" s="15" t="s">
        <v>2797</v>
      </c>
      <c r="AO137" s="18"/>
      <c r="AP137" s="18"/>
      <c r="AQ137" s="15" t="s">
        <v>6143</v>
      </c>
      <c r="AR137" s="15" t="s">
        <v>6144</v>
      </c>
      <c r="AS137" s="18"/>
      <c r="AT137" s="18"/>
      <c r="AU137" s="18"/>
      <c r="AV137" s="18"/>
      <c r="AW137" s="15" t="s">
        <v>6145</v>
      </c>
      <c r="AX137" s="18"/>
      <c r="AY137" s="15" t="s">
        <v>3005</v>
      </c>
      <c r="AZ137" s="15" t="s">
        <v>5335</v>
      </c>
      <c r="BA137" s="15" t="s">
        <v>6146</v>
      </c>
      <c r="BB137" s="15" t="s">
        <v>6147</v>
      </c>
      <c r="BC137" s="15" t="s">
        <v>6148</v>
      </c>
      <c r="BD137" s="15" t="s">
        <v>5578</v>
      </c>
      <c r="BE137" s="15" t="s">
        <v>6149</v>
      </c>
      <c r="BF137" s="18"/>
      <c r="BG137" s="18"/>
      <c r="BH137" s="18"/>
      <c r="BI137" s="15" t="s">
        <v>6150</v>
      </c>
      <c r="BJ137" s="19" t="s">
        <v>6151</v>
      </c>
      <c r="BK137" s="19" t="s">
        <v>6152</v>
      </c>
      <c r="BL137" s="18"/>
      <c r="BM137" s="18"/>
      <c r="BN137" s="19" t="s">
        <v>6153</v>
      </c>
      <c r="BO137" s="19" t="s">
        <v>6154</v>
      </c>
      <c r="BP137" s="18"/>
      <c r="BQ137" s="15" t="s">
        <v>364</v>
      </c>
      <c r="BR137" s="26"/>
      <c r="BS137" s="26"/>
      <c r="BT137" s="26"/>
      <c r="BU137" s="26"/>
      <c r="BV137" s="26"/>
      <c r="BW137" s="15" t="s">
        <v>2796</v>
      </c>
      <c r="BX137" s="26"/>
      <c r="BY137" s="18" t="str">
        <f t="shared" si="102"/>
        <v>COMP</v>
      </c>
      <c r="BZ137" s="18" t="str">
        <f t="shared" si="100"/>
        <v/>
      </c>
      <c r="CA137" s="18" t="str">
        <f t="shared" si="101"/>
        <v/>
      </c>
      <c r="CB137" s="15" t="s">
        <v>2908</v>
      </c>
      <c r="CC137" s="15" t="s">
        <v>2908</v>
      </c>
      <c r="CD137" s="25" t="s">
        <v>2797</v>
      </c>
      <c r="CE137" s="18"/>
      <c r="CF137" s="18"/>
      <c r="CG137" s="18"/>
    </row>
    <row r="138" ht="18.75" customHeight="1">
      <c r="A138" s="14">
        <v>44741.57266844907</v>
      </c>
      <c r="B138" s="15" t="s">
        <v>732</v>
      </c>
      <c r="C138" s="16" t="s">
        <v>6155</v>
      </c>
      <c r="D138" s="15" t="str">
        <f>IFERROR(__xludf.DUMMYFUNCTION("QUERY(TY_ALL_2023_Batch!$A$1:$E$824, ""SELECT E WHERE C='""&amp;B138&amp;""'"", 0)"),"COMP")</f>
        <v>COMP</v>
      </c>
      <c r="E138" s="15" t="s">
        <v>2782</v>
      </c>
      <c r="F138" s="15" t="s">
        <v>6015</v>
      </c>
      <c r="G138" s="15" t="s">
        <v>6156</v>
      </c>
      <c r="H138" s="15" t="s">
        <v>2785</v>
      </c>
      <c r="I138" s="17">
        <v>37374.0</v>
      </c>
      <c r="J138" s="15">
        <v>2019.0</v>
      </c>
      <c r="K138" s="15" t="s">
        <v>2786</v>
      </c>
      <c r="L138" s="15" t="s">
        <v>2787</v>
      </c>
      <c r="M138" s="18"/>
      <c r="N138" s="15" t="s">
        <v>6157</v>
      </c>
      <c r="O138" s="15" t="s">
        <v>732</v>
      </c>
      <c r="P138" s="19" t="s">
        <v>6158</v>
      </c>
      <c r="Q138" s="15">
        <v>8.177993196E9</v>
      </c>
      <c r="R138" s="15">
        <v>8.177993196E9</v>
      </c>
      <c r="S138" s="15">
        <v>9.022992447E9</v>
      </c>
      <c r="T138" s="15" t="s">
        <v>6159</v>
      </c>
      <c r="U138" s="15" t="s">
        <v>6160</v>
      </c>
      <c r="V138" s="15" t="s">
        <v>6161</v>
      </c>
      <c r="W138" s="18"/>
      <c r="X138" s="15">
        <v>94.6</v>
      </c>
      <c r="Y138" s="15" t="s">
        <v>2795</v>
      </c>
      <c r="Z138" s="15">
        <v>9.71</v>
      </c>
      <c r="AA138" s="15">
        <v>9.62</v>
      </c>
      <c r="AB138" s="15" t="s">
        <v>2796</v>
      </c>
      <c r="AC138" s="15" t="s">
        <v>2796</v>
      </c>
      <c r="AD138" s="15" t="s">
        <v>2796</v>
      </c>
      <c r="AE138" s="15" t="s">
        <v>2796</v>
      </c>
      <c r="AF138" s="15">
        <v>9.42</v>
      </c>
      <c r="AG138" s="15">
        <v>9.19</v>
      </c>
      <c r="AH138" s="15">
        <v>73.85</v>
      </c>
      <c r="AI138" s="18"/>
      <c r="AJ138" s="15" t="s">
        <v>2787</v>
      </c>
      <c r="AK138" s="15" t="s">
        <v>2787</v>
      </c>
      <c r="AL138" s="15">
        <v>673.33</v>
      </c>
      <c r="AM138" s="15">
        <v>706.665</v>
      </c>
      <c r="AN138" s="15" t="s">
        <v>2797</v>
      </c>
      <c r="AO138" s="18"/>
      <c r="AP138" s="18"/>
      <c r="AQ138" s="15" t="s">
        <v>5282</v>
      </c>
      <c r="AR138" s="15" t="s">
        <v>6162</v>
      </c>
      <c r="AS138" s="15" t="s">
        <v>6163</v>
      </c>
      <c r="AT138" s="18"/>
      <c r="AU138" s="18"/>
      <c r="AV138" s="18"/>
      <c r="AW138" s="15" t="s">
        <v>6164</v>
      </c>
      <c r="AX138" s="15" t="s">
        <v>6164</v>
      </c>
      <c r="AY138" s="15" t="s">
        <v>6165</v>
      </c>
      <c r="AZ138" s="15" t="s">
        <v>5260</v>
      </c>
      <c r="BA138" s="15" t="s">
        <v>6166</v>
      </c>
      <c r="BB138" s="15" t="s">
        <v>6167</v>
      </c>
      <c r="BC138" s="15" t="s">
        <v>6168</v>
      </c>
      <c r="BD138" s="15" t="s">
        <v>6169</v>
      </c>
      <c r="BE138" s="15" t="s">
        <v>6170</v>
      </c>
      <c r="BF138" s="18"/>
      <c r="BG138" s="18"/>
      <c r="BH138" s="15" t="s">
        <v>6171</v>
      </c>
      <c r="BI138" s="18"/>
      <c r="BJ138" s="19" t="s">
        <v>6172</v>
      </c>
      <c r="BK138" s="19" t="s">
        <v>6173</v>
      </c>
      <c r="BL138" s="19" t="s">
        <v>6174</v>
      </c>
      <c r="BM138" s="19" t="s">
        <v>6175</v>
      </c>
      <c r="BN138" s="19" t="s">
        <v>6176</v>
      </c>
      <c r="BO138" s="19" t="s">
        <v>6177</v>
      </c>
      <c r="BP138" s="18"/>
      <c r="BQ138" s="15" t="s">
        <v>364</v>
      </c>
      <c r="BR138" s="26"/>
      <c r="BS138" s="26"/>
      <c r="BT138" s="19" t="s">
        <v>6178</v>
      </c>
      <c r="BU138" s="26"/>
      <c r="BV138" s="26"/>
      <c r="BW138" s="15" t="s">
        <v>6179</v>
      </c>
      <c r="BX138" s="26"/>
      <c r="BY138" s="18" t="str">
        <f t="shared" si="102"/>
        <v>COMP</v>
      </c>
      <c r="BZ138" s="24" t="str">
        <f t="shared" si="100"/>
        <v>https://drive.google.com/open?id=1Um6tcnGtrHWQE41syUy5DdOm3OMGyMe2</v>
      </c>
      <c r="CA138" s="24" t="str">
        <f t="shared" si="101"/>
        <v>https://drive.google.com/open?id=1vB97LJSOF_EmrcIHU5rc2iKvzYX-4z7X</v>
      </c>
      <c r="CB138" s="15" t="s">
        <v>2821</v>
      </c>
      <c r="CC138" s="15" t="s">
        <v>2821</v>
      </c>
      <c r="CD138" s="25" t="s">
        <v>2909</v>
      </c>
      <c r="CE138" s="18"/>
      <c r="CF138" s="18"/>
      <c r="CG138" s="18"/>
    </row>
    <row r="139" ht="18.75" customHeight="1">
      <c r="A139" s="14">
        <v>44736.53340891204</v>
      </c>
      <c r="B139" s="15" t="s">
        <v>942</v>
      </c>
      <c r="C139" s="16" t="s">
        <v>6180</v>
      </c>
      <c r="D139" s="15" t="str">
        <f>IFERROR(__xludf.DUMMYFUNCTION("QUERY(TY_ALL_2023_Batch!$A$1:$E$824, ""SELECT E WHERE C='""&amp;B139&amp;""'"", 0)"),"COMP")</f>
        <v>COMP</v>
      </c>
      <c r="E139" s="15" t="s">
        <v>6181</v>
      </c>
      <c r="F139" s="15" t="s">
        <v>6182</v>
      </c>
      <c r="G139" s="15" t="s">
        <v>3852</v>
      </c>
      <c r="H139" s="15" t="s">
        <v>2785</v>
      </c>
      <c r="I139" s="17">
        <v>37070.0</v>
      </c>
      <c r="J139" s="15">
        <v>2019.0</v>
      </c>
      <c r="K139" s="15" t="s">
        <v>2786</v>
      </c>
      <c r="L139" s="15" t="s">
        <v>2787</v>
      </c>
      <c r="M139" s="18"/>
      <c r="N139" s="15" t="s">
        <v>6183</v>
      </c>
      <c r="O139" s="15" t="s">
        <v>942</v>
      </c>
      <c r="P139" s="19" t="s">
        <v>6184</v>
      </c>
      <c r="Q139" s="15">
        <v>9.30787017E9</v>
      </c>
      <c r="R139" s="15">
        <v>9.30787017E9</v>
      </c>
      <c r="S139" s="15">
        <v>9.42121482E9</v>
      </c>
      <c r="T139" s="15" t="s">
        <v>6185</v>
      </c>
      <c r="U139" s="15" t="s">
        <v>6186</v>
      </c>
      <c r="V139" s="15" t="s">
        <v>6187</v>
      </c>
      <c r="W139" s="15" t="s">
        <v>6188</v>
      </c>
      <c r="X139" s="15">
        <v>96.4</v>
      </c>
      <c r="Y139" s="15" t="s">
        <v>2795</v>
      </c>
      <c r="Z139" s="15">
        <v>9.67</v>
      </c>
      <c r="AA139" s="15">
        <v>9.67</v>
      </c>
      <c r="AB139" s="15" t="s">
        <v>2796</v>
      </c>
      <c r="AC139" s="15" t="s">
        <v>2796</v>
      </c>
      <c r="AD139" s="15" t="s">
        <v>2796</v>
      </c>
      <c r="AE139" s="15" t="s">
        <v>2796</v>
      </c>
      <c r="AF139" s="15">
        <v>9.68</v>
      </c>
      <c r="AG139" s="15">
        <v>9.48</v>
      </c>
      <c r="AH139" s="15">
        <v>87.08</v>
      </c>
      <c r="AI139" s="18"/>
      <c r="AJ139" s="15" t="s">
        <v>2787</v>
      </c>
      <c r="AK139" s="15" t="s">
        <v>2787</v>
      </c>
      <c r="AL139" s="15">
        <v>700.0</v>
      </c>
      <c r="AM139" s="15">
        <v>701.67</v>
      </c>
      <c r="AN139" s="15" t="s">
        <v>2797</v>
      </c>
      <c r="AO139" s="18"/>
      <c r="AP139" s="18"/>
      <c r="AQ139" s="15" t="s">
        <v>5282</v>
      </c>
      <c r="AR139" s="15" t="s">
        <v>6143</v>
      </c>
      <c r="AS139" s="15" t="s">
        <v>6189</v>
      </c>
      <c r="AT139" s="18"/>
      <c r="AU139" s="18"/>
      <c r="AV139" s="15" t="s">
        <v>6190</v>
      </c>
      <c r="AW139" s="15" t="s">
        <v>6191</v>
      </c>
      <c r="AX139" s="18"/>
      <c r="AY139" s="15" t="s">
        <v>6192</v>
      </c>
      <c r="AZ139" s="15" t="s">
        <v>5335</v>
      </c>
      <c r="BA139" s="15" t="s">
        <v>6193</v>
      </c>
      <c r="BB139" s="15" t="s">
        <v>5603</v>
      </c>
      <c r="BC139" s="15" t="s">
        <v>3686</v>
      </c>
      <c r="BD139" s="15" t="s">
        <v>2807</v>
      </c>
      <c r="BE139" s="15" t="s">
        <v>6194</v>
      </c>
      <c r="BF139" s="18"/>
      <c r="BG139" s="18"/>
      <c r="BH139" s="15" t="s">
        <v>6195</v>
      </c>
      <c r="BI139" s="15" t="s">
        <v>6196</v>
      </c>
      <c r="BJ139" s="19" t="s">
        <v>6197</v>
      </c>
      <c r="BK139" s="19" t="s">
        <v>6198</v>
      </c>
      <c r="BL139" s="19" t="s">
        <v>6199</v>
      </c>
      <c r="BM139" s="19" t="s">
        <v>6200</v>
      </c>
      <c r="BN139" s="19" t="s">
        <v>6201</v>
      </c>
      <c r="BO139" s="19" t="s">
        <v>6202</v>
      </c>
      <c r="BP139" s="18"/>
      <c r="BQ139" s="15" t="s">
        <v>364</v>
      </c>
      <c r="BR139" s="26"/>
      <c r="BS139" s="26"/>
      <c r="BT139" s="26"/>
      <c r="BU139" s="26"/>
      <c r="BV139" s="26"/>
      <c r="BW139" s="26"/>
      <c r="BX139" s="26"/>
      <c r="BY139" s="18" t="str">
        <f t="shared" si="102"/>
        <v>COMP</v>
      </c>
      <c r="BZ139" s="24" t="str">
        <f t="shared" si="100"/>
        <v>https://drive.google.com/open?id=12tJTpTYrZtGmtqESZrmdd7MwZhWWQYEa</v>
      </c>
      <c r="CA139" s="24" t="str">
        <f t="shared" si="101"/>
        <v>https://drive.google.com/open?id=1Rqm4qcWgIYtO9sEEc0kwbAebfc5I4M9M</v>
      </c>
      <c r="CB139" s="15" t="s">
        <v>2821</v>
      </c>
      <c r="CC139" s="15" t="s">
        <v>2821</v>
      </c>
      <c r="CD139" s="25" t="s">
        <v>2797</v>
      </c>
      <c r="CE139" s="18"/>
      <c r="CF139" s="18"/>
      <c r="CG139" s="18"/>
    </row>
    <row r="140" ht="18.75" customHeight="1">
      <c r="A140" s="14">
        <v>44795.84369375</v>
      </c>
      <c r="B140" s="15" t="s">
        <v>957</v>
      </c>
      <c r="C140" s="16" t="s">
        <v>6203</v>
      </c>
      <c r="D140" s="15" t="str">
        <f>IFERROR(__xludf.DUMMYFUNCTION("QUERY(TY_ALL_2023_Batch!$A$1:$E$824, ""SELECT E WHERE C='""&amp;B140&amp;""'"", 0)"),"COMP")</f>
        <v>COMP</v>
      </c>
      <c r="E140" s="15" t="s">
        <v>6204</v>
      </c>
      <c r="F140" s="15" t="s">
        <v>6205</v>
      </c>
      <c r="G140" s="15" t="s">
        <v>3167</v>
      </c>
      <c r="H140" s="15" t="s">
        <v>2826</v>
      </c>
      <c r="I140" s="17">
        <v>36995.0</v>
      </c>
      <c r="J140" s="15">
        <v>2019.0</v>
      </c>
      <c r="K140" s="15" t="s">
        <v>2786</v>
      </c>
      <c r="L140" s="15" t="s">
        <v>2787</v>
      </c>
      <c r="M140" s="18"/>
      <c r="N140" s="15" t="s">
        <v>6206</v>
      </c>
      <c r="O140" s="15" t="s">
        <v>957</v>
      </c>
      <c r="P140" s="19" t="s">
        <v>6207</v>
      </c>
      <c r="Q140" s="15">
        <v>9.096826559E9</v>
      </c>
      <c r="R140" s="15">
        <v>9.096826559E9</v>
      </c>
      <c r="S140" s="15">
        <v>8.805190059E9</v>
      </c>
      <c r="T140" s="15" t="s">
        <v>6208</v>
      </c>
      <c r="U140" s="15" t="s">
        <v>6209</v>
      </c>
      <c r="V140" s="15" t="s">
        <v>6210</v>
      </c>
      <c r="W140" s="18"/>
      <c r="X140" s="15">
        <v>79.0</v>
      </c>
      <c r="Y140" s="15" t="s">
        <v>2795</v>
      </c>
      <c r="Z140" s="15">
        <v>9.38</v>
      </c>
      <c r="AA140" s="15">
        <v>8.67</v>
      </c>
      <c r="AB140" s="15" t="s">
        <v>2796</v>
      </c>
      <c r="AC140" s="15" t="s">
        <v>2796</v>
      </c>
      <c r="AD140" s="15" t="s">
        <v>2796</v>
      </c>
      <c r="AE140" s="15" t="s">
        <v>2796</v>
      </c>
      <c r="AF140" s="15">
        <v>7.57</v>
      </c>
      <c r="AG140" s="15">
        <v>8.26</v>
      </c>
      <c r="AH140" s="15">
        <v>70.4</v>
      </c>
      <c r="AI140" s="18"/>
      <c r="AJ140" s="15" t="s">
        <v>2787</v>
      </c>
      <c r="AK140" s="15" t="s">
        <v>2787</v>
      </c>
      <c r="AL140" s="15">
        <v>700.0</v>
      </c>
      <c r="AM140" s="15">
        <v>650.0</v>
      </c>
      <c r="AN140" s="15" t="s">
        <v>2797</v>
      </c>
      <c r="AO140" s="18"/>
      <c r="AP140" s="18"/>
      <c r="AQ140" s="15" t="s">
        <v>5282</v>
      </c>
      <c r="AR140" s="18"/>
      <c r="AS140" s="15" t="s">
        <v>6211</v>
      </c>
      <c r="AT140" s="18"/>
      <c r="AU140" s="15" t="s">
        <v>6212</v>
      </c>
      <c r="AV140" s="15" t="s">
        <v>6213</v>
      </c>
      <c r="AW140" s="15" t="s">
        <v>6214</v>
      </c>
      <c r="AX140" s="18"/>
      <c r="AY140" s="15" t="s">
        <v>6215</v>
      </c>
      <c r="AZ140" s="15" t="s">
        <v>5287</v>
      </c>
      <c r="BA140" s="15" t="s">
        <v>6216</v>
      </c>
      <c r="BB140" s="15" t="s">
        <v>3514</v>
      </c>
      <c r="BC140" s="15" t="s">
        <v>3686</v>
      </c>
      <c r="BD140" s="15" t="s">
        <v>6217</v>
      </c>
      <c r="BE140" s="15" t="s">
        <v>6218</v>
      </c>
      <c r="BF140" s="18"/>
      <c r="BG140" s="18"/>
      <c r="BH140" s="18"/>
      <c r="BI140" s="15" t="s">
        <v>6219</v>
      </c>
      <c r="BJ140" s="19" t="s">
        <v>6220</v>
      </c>
      <c r="BK140" s="19" t="s">
        <v>6221</v>
      </c>
      <c r="BL140" s="19" t="s">
        <v>6222</v>
      </c>
      <c r="BM140" s="19" t="s">
        <v>6223</v>
      </c>
      <c r="BN140" s="18"/>
      <c r="BO140" s="19" t="s">
        <v>6224</v>
      </c>
      <c r="BP140" s="18"/>
      <c r="BQ140" s="15" t="s">
        <v>364</v>
      </c>
      <c r="BR140" s="26"/>
      <c r="BS140" s="26"/>
      <c r="BT140" s="19" t="s">
        <v>6225</v>
      </c>
      <c r="BU140" s="26"/>
      <c r="BV140" s="26"/>
      <c r="BW140" s="15" t="s">
        <v>6226</v>
      </c>
      <c r="BX140" s="26"/>
      <c r="BY140" s="18" t="str">
        <f t="shared" si="102"/>
        <v>COMP</v>
      </c>
      <c r="BZ140" s="24" t="str">
        <f t="shared" si="100"/>
        <v>https://drive.google.com/open?id=1JlUsPUwwIfUirLYDhWwnd4__hgBgmsXY</v>
      </c>
      <c r="CA140" s="24" t="str">
        <f t="shared" si="101"/>
        <v>https://drive.google.com/open?id=1tRQMdP4rmmHb9G-uvczgKwKl8HqK3hW6</v>
      </c>
      <c r="CB140" s="15" t="s">
        <v>2821</v>
      </c>
      <c r="CC140" s="15" t="s">
        <v>2821</v>
      </c>
      <c r="CD140" s="25" t="s">
        <v>2797</v>
      </c>
      <c r="CE140" s="18"/>
      <c r="CF140" s="18"/>
      <c r="CG140" s="18"/>
    </row>
    <row r="141" ht="18.75" customHeight="1">
      <c r="A141" s="14">
        <v>44734.60953702546</v>
      </c>
      <c r="B141" s="15" t="s">
        <v>951</v>
      </c>
      <c r="C141" s="16" t="s">
        <v>6227</v>
      </c>
      <c r="D141" s="15" t="str">
        <f>IFERROR(__xludf.DUMMYFUNCTION("QUERY(TY_ALL_2023_Batch!$A$1:$E$824, ""SELECT E WHERE C='""&amp;B141&amp;""'"", 0)"),"COMP")</f>
        <v>COMP</v>
      </c>
      <c r="E141" s="15" t="s">
        <v>6228</v>
      </c>
      <c r="F141" s="15" t="s">
        <v>6229</v>
      </c>
      <c r="G141" s="15" t="s">
        <v>4418</v>
      </c>
      <c r="H141" s="15" t="s">
        <v>2785</v>
      </c>
      <c r="I141" s="17">
        <v>36682.0</v>
      </c>
      <c r="J141" s="15">
        <v>2019.0</v>
      </c>
      <c r="K141" s="15" t="s">
        <v>2786</v>
      </c>
      <c r="L141" s="15" t="s">
        <v>2787</v>
      </c>
      <c r="M141" s="18"/>
      <c r="N141" s="15" t="s">
        <v>6230</v>
      </c>
      <c r="O141" s="15" t="s">
        <v>951</v>
      </c>
      <c r="P141" s="19" t="s">
        <v>6231</v>
      </c>
      <c r="Q141" s="15">
        <v>9.766404988E9</v>
      </c>
      <c r="R141" s="15">
        <v>9.766404988E9</v>
      </c>
      <c r="S141" s="15">
        <v>8.830836814E9</v>
      </c>
      <c r="T141" s="15" t="s">
        <v>6232</v>
      </c>
      <c r="U141" s="15" t="s">
        <v>6233</v>
      </c>
      <c r="V141" s="15" t="s">
        <v>6234</v>
      </c>
      <c r="W141" s="15" t="s">
        <v>6235</v>
      </c>
      <c r="X141" s="15">
        <v>93.0</v>
      </c>
      <c r="Y141" s="15" t="s">
        <v>2795</v>
      </c>
      <c r="Z141" s="15">
        <v>9.24</v>
      </c>
      <c r="AA141" s="15">
        <v>8.86</v>
      </c>
      <c r="AB141" s="15">
        <v>9.28</v>
      </c>
      <c r="AC141" s="15" t="s">
        <v>2796</v>
      </c>
      <c r="AD141" s="15" t="s">
        <v>2796</v>
      </c>
      <c r="AE141" s="15" t="s">
        <v>2796</v>
      </c>
      <c r="AF141" s="15">
        <v>9.21</v>
      </c>
      <c r="AG141" s="15">
        <v>9.14</v>
      </c>
      <c r="AH141" s="15">
        <v>86.0</v>
      </c>
      <c r="AI141" s="18"/>
      <c r="AJ141" s="15" t="s">
        <v>2787</v>
      </c>
      <c r="AK141" s="15" t="s">
        <v>2787</v>
      </c>
      <c r="AL141" s="15">
        <v>89.0</v>
      </c>
      <c r="AM141" s="15">
        <v>86.0</v>
      </c>
      <c r="AN141" s="15" t="s">
        <v>2797</v>
      </c>
      <c r="AO141" s="18"/>
      <c r="AP141" s="18"/>
      <c r="AQ141" s="15" t="s">
        <v>6236</v>
      </c>
      <c r="AR141" s="15" t="s">
        <v>6237</v>
      </c>
      <c r="AS141" s="18"/>
      <c r="AT141" s="18"/>
      <c r="AU141" s="15" t="s">
        <v>2796</v>
      </c>
      <c r="AV141" s="18"/>
      <c r="AW141" s="15" t="s">
        <v>6238</v>
      </c>
      <c r="AX141" s="18"/>
      <c r="AY141" s="15" t="s">
        <v>2796</v>
      </c>
      <c r="AZ141" s="15" t="s">
        <v>5625</v>
      </c>
      <c r="BA141" s="15" t="s">
        <v>6216</v>
      </c>
      <c r="BB141" s="15" t="s">
        <v>3514</v>
      </c>
      <c r="BC141" s="15" t="s">
        <v>3686</v>
      </c>
      <c r="BD141" s="15" t="s">
        <v>2807</v>
      </c>
      <c r="BE141" s="15" t="s">
        <v>2796</v>
      </c>
      <c r="BF141" s="18"/>
      <c r="BG141" s="18"/>
      <c r="BH141" s="18"/>
      <c r="BI141" s="18"/>
      <c r="BJ141" s="19" t="s">
        <v>6239</v>
      </c>
      <c r="BK141" s="19" t="s">
        <v>6240</v>
      </c>
      <c r="BL141" s="18"/>
      <c r="BM141" s="18"/>
      <c r="BN141" s="20" t="s">
        <v>6241</v>
      </c>
      <c r="BO141" s="19" t="s">
        <v>6242</v>
      </c>
      <c r="BP141" s="19" t="s">
        <v>6243</v>
      </c>
      <c r="BQ141" s="15" t="s">
        <v>364</v>
      </c>
      <c r="BR141" s="26"/>
      <c r="BS141" s="26"/>
      <c r="BT141" s="26"/>
      <c r="BU141" s="26"/>
      <c r="BV141" s="26"/>
      <c r="BW141" s="26"/>
      <c r="BX141" s="26"/>
      <c r="BY141" s="18" t="str">
        <f t="shared" si="102"/>
        <v>COMP</v>
      </c>
      <c r="BZ141" s="18" t="str">
        <f t="shared" si="100"/>
        <v/>
      </c>
      <c r="CA141" s="18" t="str">
        <f t="shared" si="101"/>
        <v/>
      </c>
      <c r="CB141" s="15" t="s">
        <v>2908</v>
      </c>
      <c r="CC141" s="15" t="s">
        <v>2908</v>
      </c>
      <c r="CD141" s="25" t="s">
        <v>2797</v>
      </c>
      <c r="CE141" s="18"/>
      <c r="CF141" s="18"/>
      <c r="CG141" s="18"/>
    </row>
    <row r="142" ht="18.75" customHeight="1">
      <c r="A142" s="14">
        <v>44735.88917106482</v>
      </c>
      <c r="B142" s="15" t="s">
        <v>588</v>
      </c>
      <c r="C142" s="16" t="s">
        <v>6244</v>
      </c>
      <c r="D142" s="15" t="str">
        <f>IFERROR(__xludf.DUMMYFUNCTION("QUERY(TY_ALL_2023_Batch!$A$1:$E$824, ""SELECT E WHERE C='""&amp;B142&amp;""'"", 0)"),"COMP")</f>
        <v>COMP</v>
      </c>
      <c r="E142" s="15" t="s">
        <v>6245</v>
      </c>
      <c r="F142" s="18"/>
      <c r="G142" s="15" t="s">
        <v>6246</v>
      </c>
      <c r="H142" s="15" t="s">
        <v>2826</v>
      </c>
      <c r="I142" s="17">
        <v>36758.0</v>
      </c>
      <c r="J142" s="15">
        <v>2019.0</v>
      </c>
      <c r="K142" s="15" t="s">
        <v>2786</v>
      </c>
      <c r="L142" s="15" t="s">
        <v>2787</v>
      </c>
      <c r="M142" s="18"/>
      <c r="N142" s="15" t="s">
        <v>6247</v>
      </c>
      <c r="O142" s="15" t="s">
        <v>588</v>
      </c>
      <c r="P142" s="19" t="s">
        <v>6248</v>
      </c>
      <c r="Q142" s="15">
        <v>8.881023113E9</v>
      </c>
      <c r="R142" s="15">
        <v>8.881023113E9</v>
      </c>
      <c r="S142" s="18"/>
      <c r="T142" s="15" t="s">
        <v>6249</v>
      </c>
      <c r="U142" s="15" t="s">
        <v>6250</v>
      </c>
      <c r="V142" s="15" t="s">
        <v>6251</v>
      </c>
      <c r="W142" s="18"/>
      <c r="X142" s="15">
        <v>74.1</v>
      </c>
      <c r="Y142" s="15" t="s">
        <v>2795</v>
      </c>
      <c r="Z142" s="15">
        <v>8.95</v>
      </c>
      <c r="AA142" s="15">
        <v>8.29</v>
      </c>
      <c r="AB142" s="15" t="s">
        <v>2796</v>
      </c>
      <c r="AC142" s="15" t="s">
        <v>2796</v>
      </c>
      <c r="AD142" s="15" t="s">
        <v>2796</v>
      </c>
      <c r="AE142" s="15" t="s">
        <v>2796</v>
      </c>
      <c r="AF142" s="15">
        <v>7.21</v>
      </c>
      <c r="AG142" s="15">
        <v>7.43</v>
      </c>
      <c r="AH142" s="15">
        <v>73.0</v>
      </c>
      <c r="AI142" s="18"/>
      <c r="AJ142" s="15" t="s">
        <v>2787</v>
      </c>
      <c r="AK142" s="15" t="s">
        <v>2787</v>
      </c>
      <c r="AL142" s="15">
        <v>656.6</v>
      </c>
      <c r="AM142" s="15">
        <v>650.0</v>
      </c>
      <c r="AN142" s="15" t="s">
        <v>2797</v>
      </c>
      <c r="AO142" s="18"/>
      <c r="AP142" s="15"/>
      <c r="AQ142" s="15" t="s">
        <v>6252</v>
      </c>
      <c r="AR142" s="18"/>
      <c r="AS142" s="18"/>
      <c r="AT142" s="18"/>
      <c r="AU142" s="15" t="s">
        <v>6253</v>
      </c>
      <c r="AV142" s="15" t="s">
        <v>6254</v>
      </c>
      <c r="AW142" s="15" t="s">
        <v>6255</v>
      </c>
      <c r="AX142" s="18"/>
      <c r="AY142" s="15" t="s">
        <v>6256</v>
      </c>
      <c r="AZ142" s="15" t="s">
        <v>5625</v>
      </c>
      <c r="BA142" s="15" t="s">
        <v>6216</v>
      </c>
      <c r="BB142" s="15" t="s">
        <v>6257</v>
      </c>
      <c r="BC142" s="15" t="s">
        <v>6258</v>
      </c>
      <c r="BD142" s="15" t="s">
        <v>4556</v>
      </c>
      <c r="BE142" s="15" t="s">
        <v>6259</v>
      </c>
      <c r="BF142" s="18"/>
      <c r="BG142" s="18"/>
      <c r="BH142" s="18"/>
      <c r="BI142" s="15" t="s">
        <v>6260</v>
      </c>
      <c r="BJ142" s="19" t="s">
        <v>6261</v>
      </c>
      <c r="BK142" s="19" t="s">
        <v>6262</v>
      </c>
      <c r="BL142" s="19" t="s">
        <v>6263</v>
      </c>
      <c r="BM142" s="20" t="s">
        <v>6264</v>
      </c>
      <c r="BN142" s="19" t="s">
        <v>6265</v>
      </c>
      <c r="BO142" s="19" t="s">
        <v>6266</v>
      </c>
      <c r="BP142" s="19" t="s">
        <v>6267</v>
      </c>
      <c r="BQ142" s="15" t="s">
        <v>364</v>
      </c>
      <c r="BR142" s="26"/>
      <c r="BS142" s="26"/>
      <c r="BT142" s="26"/>
      <c r="BU142" s="26"/>
      <c r="BV142" s="26"/>
      <c r="BW142" s="26"/>
      <c r="BX142" s="26"/>
      <c r="BY142" s="18" t="str">
        <f t="shared" si="102"/>
        <v>COMP</v>
      </c>
      <c r="BZ142" s="24" t="str">
        <f t="shared" si="100"/>
        <v>https://drive.google.com/open?id=1XlEBdkfdBCsReNuHYJj-9hbrQeCen21I</v>
      </c>
      <c r="CA142" s="24" t="str">
        <f t="shared" si="101"/>
        <v>https://drive.google.com/open?id=1kgkWSLJCxQOcSD5H4YOu88vM5fGTFCdQ</v>
      </c>
      <c r="CB142" s="15" t="s">
        <v>2821</v>
      </c>
      <c r="CC142" s="15" t="s">
        <v>2821</v>
      </c>
      <c r="CD142" s="25" t="s">
        <v>2797</v>
      </c>
      <c r="CE142" s="18"/>
      <c r="CF142" s="18"/>
      <c r="CG142" s="18"/>
    </row>
    <row r="143" ht="18.75" customHeight="1">
      <c r="A143" s="14">
        <v>44736.45148149306</v>
      </c>
      <c r="B143" s="15" t="s">
        <v>645</v>
      </c>
      <c r="C143" s="16" t="s">
        <v>6268</v>
      </c>
      <c r="D143" s="15" t="str">
        <f>IFERROR(__xludf.DUMMYFUNCTION("QUERY(TY_ALL_2023_Batch!$A$1:$E$824, ""SELECT E WHERE C='""&amp;B143&amp;""'"", 0)"),"COMP")</f>
        <v>COMP</v>
      </c>
      <c r="E143" s="15" t="s">
        <v>6269</v>
      </c>
      <c r="F143" s="18"/>
      <c r="G143" s="15" t="s">
        <v>6270</v>
      </c>
      <c r="H143" s="15" t="s">
        <v>2785</v>
      </c>
      <c r="I143" s="17">
        <v>36971.0</v>
      </c>
      <c r="J143" s="15">
        <v>2019.0</v>
      </c>
      <c r="K143" s="15" t="s">
        <v>2786</v>
      </c>
      <c r="L143" s="15" t="s">
        <v>2787</v>
      </c>
      <c r="M143" s="18"/>
      <c r="N143" s="15" t="s">
        <v>6271</v>
      </c>
      <c r="O143" s="15" t="s">
        <v>645</v>
      </c>
      <c r="P143" s="19" t="s">
        <v>6272</v>
      </c>
      <c r="Q143" s="15">
        <v>7.385428319E9</v>
      </c>
      <c r="R143" s="15">
        <v>9.422529386E9</v>
      </c>
      <c r="S143" s="15">
        <v>7.385428319E9</v>
      </c>
      <c r="T143" s="15" t="s">
        <v>6273</v>
      </c>
      <c r="U143" s="15" t="s">
        <v>6274</v>
      </c>
      <c r="V143" s="15" t="s">
        <v>6275</v>
      </c>
      <c r="W143" s="15" t="s">
        <v>6276</v>
      </c>
      <c r="X143" s="15">
        <v>90.0</v>
      </c>
      <c r="Y143" s="15" t="s">
        <v>2795</v>
      </c>
      <c r="Z143" s="15">
        <v>9.6</v>
      </c>
      <c r="AA143" s="15">
        <v>9.9</v>
      </c>
      <c r="AB143" s="15" t="s">
        <v>2796</v>
      </c>
      <c r="AC143" s="15" t="s">
        <v>2796</v>
      </c>
      <c r="AD143" s="15" t="s">
        <v>2796</v>
      </c>
      <c r="AE143" s="15" t="s">
        <v>2796</v>
      </c>
      <c r="AF143" s="15">
        <v>9.0</v>
      </c>
      <c r="AG143" s="15">
        <v>9.63</v>
      </c>
      <c r="AH143" s="15">
        <v>95.0</v>
      </c>
      <c r="AI143" s="18"/>
      <c r="AJ143" s="15" t="s">
        <v>2787</v>
      </c>
      <c r="AK143" s="15" t="s">
        <v>2787</v>
      </c>
      <c r="AL143" s="15">
        <v>734.0</v>
      </c>
      <c r="AM143" s="15">
        <v>710.0</v>
      </c>
      <c r="AN143" s="15" t="s">
        <v>2787</v>
      </c>
      <c r="AO143" s="18"/>
      <c r="AP143" s="15" t="s">
        <v>6277</v>
      </c>
      <c r="AQ143" s="15" t="s">
        <v>6278</v>
      </c>
      <c r="AR143" s="15"/>
      <c r="AS143" s="15" t="s">
        <v>6279</v>
      </c>
      <c r="AT143" s="18"/>
      <c r="AU143" s="18"/>
      <c r="AV143" s="15" t="s">
        <v>6280</v>
      </c>
      <c r="AW143" s="15" t="s">
        <v>6281</v>
      </c>
      <c r="AX143" s="18"/>
      <c r="AY143" s="15" t="s">
        <v>6282</v>
      </c>
      <c r="AZ143" s="15" t="s">
        <v>5625</v>
      </c>
      <c r="BA143" s="15" t="s">
        <v>6283</v>
      </c>
      <c r="BB143" s="15" t="s">
        <v>4484</v>
      </c>
      <c r="BC143" s="15" t="s">
        <v>3686</v>
      </c>
      <c r="BD143" s="15" t="s">
        <v>6284</v>
      </c>
      <c r="BE143" s="15" t="s">
        <v>2796</v>
      </c>
      <c r="BF143" s="18"/>
      <c r="BG143" s="18"/>
      <c r="BH143" s="15" t="s">
        <v>6285</v>
      </c>
      <c r="BI143" s="15" t="s">
        <v>6286</v>
      </c>
      <c r="BJ143" s="19" t="s">
        <v>6287</v>
      </c>
      <c r="BK143" s="19" t="s">
        <v>6288</v>
      </c>
      <c r="BL143" s="19" t="s">
        <v>6289</v>
      </c>
      <c r="BM143" s="19" t="s">
        <v>6290</v>
      </c>
      <c r="BN143" s="19" t="s">
        <v>6291</v>
      </c>
      <c r="BO143" s="19" t="s">
        <v>6292</v>
      </c>
      <c r="BP143" s="18"/>
      <c r="BQ143" s="15" t="s">
        <v>364</v>
      </c>
      <c r="BR143" s="26"/>
      <c r="BS143" s="26"/>
      <c r="BT143" s="26"/>
      <c r="BU143" s="26"/>
      <c r="BV143" s="26"/>
      <c r="BW143" s="26"/>
      <c r="BX143" s="26"/>
      <c r="BY143" s="18" t="str">
        <f t="shared" si="102"/>
        <v>COMP</v>
      </c>
      <c r="BZ143" s="24" t="str">
        <f t="shared" si="100"/>
        <v>https://drive.google.com/open?id=1OuedzzvdBI228wfXhczXrkvYpPjAvM3O</v>
      </c>
      <c r="CA143" s="24" t="str">
        <f t="shared" si="101"/>
        <v>https://drive.google.com/open?id=17IrnxSLBemfRm8DeCIvRiCvDCZEwt1m1</v>
      </c>
      <c r="CB143" s="15" t="s">
        <v>2821</v>
      </c>
      <c r="CC143" s="15" t="s">
        <v>2821</v>
      </c>
      <c r="CD143" s="25" t="s">
        <v>2797</v>
      </c>
      <c r="CE143" s="18"/>
      <c r="CF143" s="18"/>
      <c r="CG143" s="18"/>
    </row>
    <row r="144" ht="18.75" customHeight="1">
      <c r="A144" s="14">
        <v>44750.96874251157</v>
      </c>
      <c r="B144" s="15" t="s">
        <v>738</v>
      </c>
      <c r="C144" s="16" t="s">
        <v>6293</v>
      </c>
      <c r="D144" s="15" t="str">
        <f>IFERROR(__xludf.DUMMYFUNCTION("QUERY(TY_ALL_2023_Batch!$A$1:$E$824, ""SELECT E WHERE C='""&amp;B144&amp;""'"", 0)"),"COMP")</f>
        <v>COMP</v>
      </c>
      <c r="E144" s="15" t="s">
        <v>6294</v>
      </c>
      <c r="F144" s="15" t="s">
        <v>6041</v>
      </c>
      <c r="G144" s="15" t="s">
        <v>6295</v>
      </c>
      <c r="H144" s="15" t="s">
        <v>2785</v>
      </c>
      <c r="I144" s="17">
        <v>37200.0</v>
      </c>
      <c r="J144" s="15">
        <v>2019.0</v>
      </c>
      <c r="K144" s="15" t="s">
        <v>2786</v>
      </c>
      <c r="L144" s="15" t="s">
        <v>2787</v>
      </c>
      <c r="M144" s="18"/>
      <c r="N144" s="15" t="s">
        <v>6296</v>
      </c>
      <c r="O144" s="15" t="s">
        <v>738</v>
      </c>
      <c r="P144" s="19" t="s">
        <v>6297</v>
      </c>
      <c r="Q144" s="15">
        <v>7.387503804E9</v>
      </c>
      <c r="R144" s="15">
        <v>7.387503804E9</v>
      </c>
      <c r="S144" s="15">
        <v>9.404693953E9</v>
      </c>
      <c r="T144" s="15" t="s">
        <v>6041</v>
      </c>
      <c r="U144" s="15" t="s">
        <v>4138</v>
      </c>
      <c r="V144" s="15" t="s">
        <v>6298</v>
      </c>
      <c r="W144" s="18"/>
      <c r="X144" s="15">
        <v>86.0</v>
      </c>
      <c r="Y144" s="15" t="s">
        <v>2795</v>
      </c>
      <c r="Z144" s="15">
        <v>8.13</v>
      </c>
      <c r="AA144" s="15">
        <v>7.05</v>
      </c>
      <c r="AB144" s="15" t="s">
        <v>2796</v>
      </c>
      <c r="AC144" s="15" t="s">
        <v>2796</v>
      </c>
      <c r="AD144" s="15" t="s">
        <v>2796</v>
      </c>
      <c r="AE144" s="15" t="s">
        <v>2796</v>
      </c>
      <c r="AF144" s="15">
        <v>7.05</v>
      </c>
      <c r="AG144" s="15">
        <v>7.05</v>
      </c>
      <c r="AH144" s="15">
        <v>76.0</v>
      </c>
      <c r="AI144" s="18"/>
      <c r="AJ144" s="15" t="s">
        <v>2797</v>
      </c>
      <c r="AK144" s="15" t="s">
        <v>2787</v>
      </c>
      <c r="AL144" s="18"/>
      <c r="AM144" s="15">
        <v>531.0</v>
      </c>
      <c r="AN144" s="15" t="s">
        <v>2797</v>
      </c>
      <c r="AO144" s="18"/>
      <c r="AP144" s="18"/>
      <c r="AQ144" s="15" t="s">
        <v>6299</v>
      </c>
      <c r="AR144" s="15" t="s">
        <v>6300</v>
      </c>
      <c r="AS144" s="15" t="s">
        <v>6301</v>
      </c>
      <c r="AT144" s="18"/>
      <c r="AU144" s="15" t="s">
        <v>6300</v>
      </c>
      <c r="AV144" s="15" t="s">
        <v>6302</v>
      </c>
      <c r="AW144" s="15" t="s">
        <v>6303</v>
      </c>
      <c r="AX144" s="18"/>
      <c r="AY144" s="15" t="s">
        <v>6304</v>
      </c>
      <c r="AZ144" s="15" t="s">
        <v>5287</v>
      </c>
      <c r="BA144" s="15" t="s">
        <v>5552</v>
      </c>
      <c r="BB144" s="15" t="s">
        <v>6305</v>
      </c>
      <c r="BC144" s="15" t="s">
        <v>4241</v>
      </c>
      <c r="BD144" s="15" t="s">
        <v>2807</v>
      </c>
      <c r="BE144" s="15" t="s">
        <v>6306</v>
      </c>
      <c r="BF144" s="18"/>
      <c r="BG144" s="18"/>
      <c r="BH144" s="18"/>
      <c r="BI144" s="18"/>
      <c r="BJ144" s="19" t="s">
        <v>6307</v>
      </c>
      <c r="BK144" s="19" t="s">
        <v>6308</v>
      </c>
      <c r="BL144" s="18"/>
      <c r="BM144" s="19" t="s">
        <v>6309</v>
      </c>
      <c r="BN144" s="19" t="s">
        <v>6310</v>
      </c>
      <c r="BO144" s="19" t="s">
        <v>6311</v>
      </c>
      <c r="BP144" s="19" t="s">
        <v>6312</v>
      </c>
      <c r="BQ144" s="15" t="s">
        <v>364</v>
      </c>
      <c r="BR144" s="26"/>
      <c r="BS144" s="26"/>
      <c r="BT144" s="19" t="s">
        <v>6313</v>
      </c>
      <c r="BU144" s="26"/>
      <c r="BV144" s="19" t="s">
        <v>6314</v>
      </c>
      <c r="BW144" s="15" t="s">
        <v>6315</v>
      </c>
      <c r="BX144" s="26"/>
      <c r="BY144" s="18" t="str">
        <f t="shared" si="102"/>
        <v>COMP</v>
      </c>
      <c r="BZ144" s="18" t="str">
        <f t="shared" si="100"/>
        <v/>
      </c>
      <c r="CA144" s="24" t="str">
        <f t="shared" si="101"/>
        <v>https://drive.google.com/open?id=1DX7_lkCh5QlZi9aIlzeyzXykBl9IGCaR</v>
      </c>
      <c r="CB144" s="15" t="s">
        <v>2908</v>
      </c>
      <c r="CC144" s="15" t="s">
        <v>2821</v>
      </c>
      <c r="CD144" s="25" t="s">
        <v>2797</v>
      </c>
      <c r="CE144" s="18"/>
      <c r="CF144" s="18"/>
      <c r="CG144" s="18"/>
    </row>
    <row r="145" ht="18.75" customHeight="1">
      <c r="A145" s="14">
        <v>44742.56912880787</v>
      </c>
      <c r="B145" s="15" t="s">
        <v>660</v>
      </c>
      <c r="C145" s="16" t="s">
        <v>6316</v>
      </c>
      <c r="D145" s="15" t="str">
        <f>IFERROR(__xludf.DUMMYFUNCTION("QUERY(TY_ALL_2023_Batch!$A$1:$E$824, ""SELECT E WHERE C='""&amp;B145&amp;""'"", 0)"),"COMP")</f>
        <v>COMP</v>
      </c>
      <c r="E145" s="15" t="s">
        <v>6317</v>
      </c>
      <c r="F145" s="15" t="s">
        <v>6318</v>
      </c>
      <c r="G145" s="15" t="s">
        <v>6319</v>
      </c>
      <c r="H145" s="15" t="s">
        <v>2785</v>
      </c>
      <c r="I145" s="17">
        <v>36884.0</v>
      </c>
      <c r="J145" s="15">
        <v>2019.0</v>
      </c>
      <c r="K145" s="15" t="s">
        <v>2786</v>
      </c>
      <c r="L145" s="15" t="s">
        <v>2787</v>
      </c>
      <c r="M145" s="18"/>
      <c r="N145" s="15" t="s">
        <v>6320</v>
      </c>
      <c r="O145" s="15" t="s">
        <v>6321</v>
      </c>
      <c r="P145" s="19" t="s">
        <v>6322</v>
      </c>
      <c r="Q145" s="15">
        <v>8.766952314E9</v>
      </c>
      <c r="R145" s="15">
        <v>8.766952314E9</v>
      </c>
      <c r="S145" s="15">
        <v>9.604597006E9</v>
      </c>
      <c r="T145" s="15" t="s">
        <v>6323</v>
      </c>
      <c r="U145" s="15" t="s">
        <v>6324</v>
      </c>
      <c r="V145" s="15" t="s">
        <v>6325</v>
      </c>
      <c r="W145" s="15" t="s">
        <v>6326</v>
      </c>
      <c r="X145" s="15">
        <v>97.2</v>
      </c>
      <c r="Y145" s="15" t="s">
        <v>2795</v>
      </c>
      <c r="Z145" s="15">
        <v>9.76</v>
      </c>
      <c r="AA145" s="15">
        <v>9.38</v>
      </c>
      <c r="AB145" s="15" t="s">
        <v>2796</v>
      </c>
      <c r="AC145" s="15" t="s">
        <v>2796</v>
      </c>
      <c r="AD145" s="15" t="s">
        <v>2796</v>
      </c>
      <c r="AE145" s="15" t="s">
        <v>2796</v>
      </c>
      <c r="AF145" s="15">
        <v>8.63</v>
      </c>
      <c r="AG145" s="15">
        <v>9.0</v>
      </c>
      <c r="AH145" s="15">
        <v>83.38</v>
      </c>
      <c r="AI145" s="18"/>
      <c r="AJ145" s="15" t="s">
        <v>2787</v>
      </c>
      <c r="AK145" s="15" t="s">
        <v>2787</v>
      </c>
      <c r="AL145" s="15">
        <v>676.66</v>
      </c>
      <c r="AM145" s="15">
        <v>603.33</v>
      </c>
      <c r="AN145" s="15" t="s">
        <v>2797</v>
      </c>
      <c r="AO145" s="15">
        <v>0.0</v>
      </c>
      <c r="AP145" s="15">
        <v>0.0</v>
      </c>
      <c r="AQ145" s="15" t="s">
        <v>5356</v>
      </c>
      <c r="AR145" s="15" t="s">
        <v>5699</v>
      </c>
      <c r="AS145" s="15" t="s">
        <v>6327</v>
      </c>
      <c r="AT145" s="15">
        <v>0.0</v>
      </c>
      <c r="AU145" s="15" t="s">
        <v>6328</v>
      </c>
      <c r="AV145" s="15" t="s">
        <v>6329</v>
      </c>
      <c r="AW145" s="15" t="s">
        <v>6330</v>
      </c>
      <c r="AX145" s="18"/>
      <c r="AY145" s="15" t="s">
        <v>6331</v>
      </c>
      <c r="AZ145" s="15" t="s">
        <v>5335</v>
      </c>
      <c r="BA145" s="15" t="s">
        <v>5522</v>
      </c>
      <c r="BB145" s="15" t="s">
        <v>6332</v>
      </c>
      <c r="BC145" s="15" t="s">
        <v>6333</v>
      </c>
      <c r="BD145" s="15" t="s">
        <v>2807</v>
      </c>
      <c r="BE145" s="15" t="s">
        <v>6334</v>
      </c>
      <c r="BF145" s="15" t="s">
        <v>6335</v>
      </c>
      <c r="BG145" s="18"/>
      <c r="BH145" s="15" t="s">
        <v>6336</v>
      </c>
      <c r="BI145" s="15" t="s">
        <v>6337</v>
      </c>
      <c r="BJ145" s="19" t="s">
        <v>6338</v>
      </c>
      <c r="BK145" s="19" t="s">
        <v>6339</v>
      </c>
      <c r="BL145" s="19" t="s">
        <v>6340</v>
      </c>
      <c r="BM145" s="20" t="s">
        <v>6341</v>
      </c>
      <c r="BN145" s="20" t="s">
        <v>6342</v>
      </c>
      <c r="BO145" s="19" t="s">
        <v>6343</v>
      </c>
      <c r="BP145" s="19" t="s">
        <v>6344</v>
      </c>
      <c r="BQ145" s="15" t="s">
        <v>364</v>
      </c>
      <c r="BR145" s="26"/>
      <c r="BS145" s="26"/>
      <c r="BT145" s="19" t="s">
        <v>6345</v>
      </c>
      <c r="BU145" s="26"/>
      <c r="BV145" s="26"/>
      <c r="BW145" s="15" t="s">
        <v>6346</v>
      </c>
      <c r="BX145" s="26"/>
      <c r="BY145" s="18" t="str">
        <f t="shared" si="102"/>
        <v>COMP</v>
      </c>
      <c r="BZ145" s="24" t="str">
        <f t="shared" si="100"/>
        <v>https://drive.google.com/open?id=1egS6VTgVObnEQtBAInfC17AaJTgLF5Dk</v>
      </c>
      <c r="CA145" s="24" t="str">
        <f t="shared" si="101"/>
        <v>https://drive.google.com/open?id=1h-PhMW0b71dVVgcE73B88lWt1WAd_Nlc</v>
      </c>
      <c r="CB145" s="15" t="s">
        <v>2821</v>
      </c>
      <c r="CC145" s="15" t="s">
        <v>2821</v>
      </c>
      <c r="CD145" s="25" t="s">
        <v>2909</v>
      </c>
      <c r="CE145" s="18"/>
      <c r="CF145" s="18"/>
      <c r="CG145" s="18"/>
    </row>
    <row r="146" ht="18.75" customHeight="1">
      <c r="A146" s="14">
        <v>44735.55207931713</v>
      </c>
      <c r="B146" s="15" t="s">
        <v>879</v>
      </c>
      <c r="C146" s="16" t="s">
        <v>6347</v>
      </c>
      <c r="D146" s="15" t="str">
        <f>IFERROR(__xludf.DUMMYFUNCTION("QUERY(TY_ALL_2023_Batch!$A$1:$E$824, ""SELECT E WHERE C='""&amp;B146&amp;""'"", 0)"),"COMP")</f>
        <v>COMP</v>
      </c>
      <c r="E146" s="15" t="s">
        <v>6348</v>
      </c>
      <c r="F146" s="15" t="s">
        <v>6349</v>
      </c>
      <c r="G146" s="15" t="s">
        <v>6350</v>
      </c>
      <c r="H146" s="15" t="s">
        <v>2785</v>
      </c>
      <c r="I146" s="17">
        <v>36523.0</v>
      </c>
      <c r="J146" s="15">
        <v>2019.0</v>
      </c>
      <c r="K146" s="15" t="s">
        <v>2786</v>
      </c>
      <c r="L146" s="15" t="s">
        <v>2787</v>
      </c>
      <c r="M146" s="18"/>
      <c r="N146" s="15" t="s">
        <v>6351</v>
      </c>
      <c r="O146" s="15" t="s">
        <v>879</v>
      </c>
      <c r="P146" s="19" t="s">
        <v>6352</v>
      </c>
      <c r="Q146" s="15">
        <v>8.850197889E9</v>
      </c>
      <c r="R146" s="15">
        <v>8.850197889E9</v>
      </c>
      <c r="S146" s="15">
        <v>9.320025024E9</v>
      </c>
      <c r="T146" s="15" t="s">
        <v>6353</v>
      </c>
      <c r="U146" s="15" t="s">
        <v>6354</v>
      </c>
      <c r="V146" s="15" t="s">
        <v>6355</v>
      </c>
      <c r="W146" s="15" t="s">
        <v>6356</v>
      </c>
      <c r="X146" s="15">
        <v>91.38</v>
      </c>
      <c r="Y146" s="15" t="s">
        <v>2795</v>
      </c>
      <c r="Z146" s="15">
        <v>10.0</v>
      </c>
      <c r="AA146" s="15">
        <v>9.9</v>
      </c>
      <c r="AB146" s="15">
        <v>9.67</v>
      </c>
      <c r="AC146" s="15">
        <v>9.57</v>
      </c>
      <c r="AD146" s="15" t="s">
        <v>2796</v>
      </c>
      <c r="AE146" s="15" t="s">
        <v>2796</v>
      </c>
      <c r="AF146" s="15">
        <v>9.79</v>
      </c>
      <c r="AG146" s="15">
        <v>9.86</v>
      </c>
      <c r="AH146" s="15">
        <v>91.4</v>
      </c>
      <c r="AI146" s="18"/>
      <c r="AJ146" s="15" t="s">
        <v>2787</v>
      </c>
      <c r="AK146" s="15" t="s">
        <v>2787</v>
      </c>
      <c r="AL146" s="15">
        <v>736.0</v>
      </c>
      <c r="AM146" s="15">
        <v>726.0</v>
      </c>
      <c r="AN146" s="15" t="s">
        <v>2797</v>
      </c>
      <c r="AO146" s="18"/>
      <c r="AP146" s="18"/>
      <c r="AQ146" s="15" t="s">
        <v>5356</v>
      </c>
      <c r="AR146" s="15" t="s">
        <v>6357</v>
      </c>
      <c r="AS146" s="18"/>
      <c r="AT146" s="18"/>
      <c r="AU146" s="15" t="s">
        <v>6358</v>
      </c>
      <c r="AV146" s="15" t="s">
        <v>6359</v>
      </c>
      <c r="AW146" s="15" t="s">
        <v>6360</v>
      </c>
      <c r="AX146" s="18"/>
      <c r="AY146" s="15" t="s">
        <v>6361</v>
      </c>
      <c r="AZ146" s="15" t="s">
        <v>5335</v>
      </c>
      <c r="BA146" s="15" t="s">
        <v>5951</v>
      </c>
      <c r="BB146" s="15" t="s">
        <v>5803</v>
      </c>
      <c r="BC146" s="15" t="s">
        <v>3686</v>
      </c>
      <c r="BD146" s="15" t="s">
        <v>3393</v>
      </c>
      <c r="BE146" s="15" t="s">
        <v>6362</v>
      </c>
      <c r="BF146" s="18"/>
      <c r="BG146" s="18"/>
      <c r="BH146" s="18"/>
      <c r="BI146" s="15" t="s">
        <v>6363</v>
      </c>
      <c r="BJ146" s="19" t="s">
        <v>6364</v>
      </c>
      <c r="BK146" s="19" t="s">
        <v>6365</v>
      </c>
      <c r="BL146" s="19" t="s">
        <v>6366</v>
      </c>
      <c r="BM146" s="20" t="s">
        <v>6367</v>
      </c>
      <c r="BN146" s="19" t="s">
        <v>6368</v>
      </c>
      <c r="BO146" s="19" t="s">
        <v>6369</v>
      </c>
      <c r="BP146" s="19" t="s">
        <v>6370</v>
      </c>
      <c r="BQ146" s="15" t="s">
        <v>364</v>
      </c>
      <c r="BR146" s="26"/>
      <c r="BS146" s="26"/>
      <c r="BT146" s="26"/>
      <c r="BU146" s="26"/>
      <c r="BV146" s="26"/>
      <c r="BW146" s="26"/>
      <c r="BX146" s="26"/>
      <c r="BY146" s="18" t="str">
        <f t="shared" si="102"/>
        <v>COMP</v>
      </c>
      <c r="BZ146" s="24" t="str">
        <f t="shared" si="100"/>
        <v>https://drive.google.com/open?id=18dzjsM4CXT9VXwBIfaY_O_1Sbp_9uobG</v>
      </c>
      <c r="CA146" s="24" t="str">
        <f t="shared" si="101"/>
        <v>https://drive.google.com/open?id=1MeZ0AI82Y3h-qfeR33jsesSRd6eDBcfI</v>
      </c>
      <c r="CB146" s="15" t="s">
        <v>2821</v>
      </c>
      <c r="CC146" s="15" t="s">
        <v>2821</v>
      </c>
      <c r="CD146" s="25" t="s">
        <v>2797</v>
      </c>
      <c r="CE146" s="18"/>
      <c r="CF146" s="18"/>
      <c r="CG146" s="18"/>
    </row>
    <row r="147" ht="18.75" customHeight="1">
      <c r="A147" s="14">
        <v>44736.48170453704</v>
      </c>
      <c r="B147" s="15" t="s">
        <v>696</v>
      </c>
      <c r="C147" s="16" t="s">
        <v>6371</v>
      </c>
      <c r="D147" s="15" t="str">
        <f>IFERROR(__xludf.DUMMYFUNCTION("QUERY(TY_ALL_2023_Batch!$A$1:$E$824, ""SELECT E WHERE C='""&amp;B147&amp;""'"", 0)"),"COMP")</f>
        <v>COMP</v>
      </c>
      <c r="E147" s="15" t="s">
        <v>6372</v>
      </c>
      <c r="F147" s="15" t="s">
        <v>6373</v>
      </c>
      <c r="G147" s="15" t="s">
        <v>6374</v>
      </c>
      <c r="H147" s="15" t="s">
        <v>2785</v>
      </c>
      <c r="I147" s="17">
        <v>37093.0</v>
      </c>
      <c r="J147" s="15">
        <v>2019.0</v>
      </c>
      <c r="K147" s="15" t="s">
        <v>2786</v>
      </c>
      <c r="L147" s="15" t="s">
        <v>2787</v>
      </c>
      <c r="M147" s="18"/>
      <c r="N147" s="15" t="s">
        <v>6375</v>
      </c>
      <c r="O147" s="15" t="s">
        <v>696</v>
      </c>
      <c r="P147" s="19" t="s">
        <v>6376</v>
      </c>
      <c r="Q147" s="15">
        <v>7.66617407E9</v>
      </c>
      <c r="R147" s="15">
        <v>7.66617407E9</v>
      </c>
      <c r="S147" s="15">
        <v>7.038383398E9</v>
      </c>
      <c r="T147" s="15" t="s">
        <v>6377</v>
      </c>
      <c r="U147" s="15" t="s">
        <v>6378</v>
      </c>
      <c r="V147" s="15" t="s">
        <v>6379</v>
      </c>
      <c r="W147" s="15" t="s">
        <v>6380</v>
      </c>
      <c r="X147" s="15">
        <v>91.4</v>
      </c>
      <c r="Y147" s="15" t="s">
        <v>2795</v>
      </c>
      <c r="Z147" s="15">
        <v>9.67</v>
      </c>
      <c r="AA147" s="15">
        <v>9.48</v>
      </c>
      <c r="AB147" s="15" t="s">
        <v>2796</v>
      </c>
      <c r="AC147" s="15" t="s">
        <v>2796</v>
      </c>
      <c r="AD147" s="15" t="s">
        <v>2796</v>
      </c>
      <c r="AE147" s="15" t="s">
        <v>2796</v>
      </c>
      <c r="AF147" s="15">
        <v>7.79</v>
      </c>
      <c r="AG147" s="15">
        <v>8.33</v>
      </c>
      <c r="AH147" s="15">
        <v>72.15</v>
      </c>
      <c r="AI147" s="18"/>
      <c r="AJ147" s="15" t="s">
        <v>2787</v>
      </c>
      <c r="AK147" s="15" t="s">
        <v>2787</v>
      </c>
      <c r="AL147" s="15">
        <v>96.0</v>
      </c>
      <c r="AM147" s="15">
        <v>95.66</v>
      </c>
      <c r="AN147" s="15" t="s">
        <v>2797</v>
      </c>
      <c r="AO147" s="18"/>
      <c r="AP147" s="18"/>
      <c r="AQ147" s="15" t="s">
        <v>6381</v>
      </c>
      <c r="AR147" s="18"/>
      <c r="AS147" s="15" t="s">
        <v>6382</v>
      </c>
      <c r="AT147" s="18"/>
      <c r="AU147" s="15" t="s">
        <v>6383</v>
      </c>
      <c r="AV147" s="15" t="s">
        <v>6384</v>
      </c>
      <c r="AW147" s="15" t="s">
        <v>6385</v>
      </c>
      <c r="AX147" s="15" t="s">
        <v>6386</v>
      </c>
      <c r="AY147" s="15" t="s">
        <v>6387</v>
      </c>
      <c r="AZ147" s="15" t="s">
        <v>5287</v>
      </c>
      <c r="BA147" s="15" t="s">
        <v>6388</v>
      </c>
      <c r="BB147" s="15" t="s">
        <v>6389</v>
      </c>
      <c r="BC147" s="15" t="s">
        <v>6390</v>
      </c>
      <c r="BD147" s="15" t="s">
        <v>2807</v>
      </c>
      <c r="BE147" s="15" t="s">
        <v>6391</v>
      </c>
      <c r="BF147" s="18"/>
      <c r="BG147" s="18"/>
      <c r="BH147" s="18"/>
      <c r="BI147" s="15" t="s">
        <v>6392</v>
      </c>
      <c r="BJ147" s="19" t="s">
        <v>6393</v>
      </c>
      <c r="BK147" s="19" t="s">
        <v>6394</v>
      </c>
      <c r="BL147" s="19" t="s">
        <v>6395</v>
      </c>
      <c r="BM147" s="19" t="s">
        <v>6396</v>
      </c>
      <c r="BN147" s="19" t="s">
        <v>6397</v>
      </c>
      <c r="BO147" s="19" t="s">
        <v>6398</v>
      </c>
      <c r="BP147" s="19" t="s">
        <v>6399</v>
      </c>
      <c r="BQ147" s="15" t="s">
        <v>364</v>
      </c>
      <c r="BR147" s="26"/>
      <c r="BS147" s="26"/>
      <c r="BT147" s="26"/>
      <c r="BU147" s="26"/>
      <c r="BV147" s="26"/>
      <c r="BW147" s="26"/>
      <c r="BX147" s="26"/>
      <c r="BY147" s="18" t="str">
        <f t="shared" si="102"/>
        <v>COMP</v>
      </c>
      <c r="BZ147" s="24" t="str">
        <f t="shared" si="100"/>
        <v>https://drive.google.com/open?id=1gZhkxkVGfZifwR8rDdK72Gc3bQ3V7aGi</v>
      </c>
      <c r="CA147" s="24" t="str">
        <f t="shared" si="101"/>
        <v>https://drive.google.com/open?id=1aX9taxo3TKdMnV-bDLBODvTRmAQAvFJR</v>
      </c>
      <c r="CB147" s="15" t="s">
        <v>2821</v>
      </c>
      <c r="CC147" s="15" t="s">
        <v>2821</v>
      </c>
      <c r="CD147" s="25" t="s">
        <v>2797</v>
      </c>
      <c r="CE147" s="18"/>
      <c r="CF147" s="18"/>
      <c r="CG147" s="18"/>
    </row>
    <row r="148" ht="18.75" customHeight="1">
      <c r="A148" s="14">
        <v>44734.4701387963</v>
      </c>
      <c r="B148" s="15" t="s">
        <v>858</v>
      </c>
      <c r="C148" s="16" t="s">
        <v>6400</v>
      </c>
      <c r="D148" s="15" t="str">
        <f>IFERROR(__xludf.DUMMYFUNCTION("QUERY(TY_ALL_2023_Batch!$A$1:$E$824, ""SELECT E WHERE C='""&amp;B148&amp;""'"", 0)"),"COMP")</f>
        <v>COMP</v>
      </c>
      <c r="E148" s="15" t="s">
        <v>2782</v>
      </c>
      <c r="F148" s="15" t="s">
        <v>6401</v>
      </c>
      <c r="G148" s="15" t="s">
        <v>6402</v>
      </c>
      <c r="H148" s="15" t="s">
        <v>2785</v>
      </c>
      <c r="I148" s="17">
        <v>36990.0</v>
      </c>
      <c r="J148" s="15">
        <v>2019.0</v>
      </c>
      <c r="K148" s="15" t="s">
        <v>2786</v>
      </c>
      <c r="L148" s="15" t="s">
        <v>2787</v>
      </c>
      <c r="M148" s="18"/>
      <c r="N148" s="15" t="s">
        <v>6403</v>
      </c>
      <c r="O148" s="15" t="s">
        <v>858</v>
      </c>
      <c r="P148" s="19" t="s">
        <v>6404</v>
      </c>
      <c r="Q148" s="15">
        <v>7.263035579E9</v>
      </c>
      <c r="R148" s="15">
        <v>7.263035579E9</v>
      </c>
      <c r="S148" s="15">
        <v>9.822427597E9</v>
      </c>
      <c r="T148" s="15" t="s">
        <v>6401</v>
      </c>
      <c r="U148" s="15" t="s">
        <v>3677</v>
      </c>
      <c r="V148" s="15" t="s">
        <v>6405</v>
      </c>
      <c r="W148" s="18"/>
      <c r="X148" s="15">
        <v>68.0</v>
      </c>
      <c r="Y148" s="15" t="s">
        <v>2795</v>
      </c>
      <c r="Z148" s="15">
        <v>9.38</v>
      </c>
      <c r="AA148" s="15">
        <v>9.0</v>
      </c>
      <c r="AB148" s="15" t="s">
        <v>2796</v>
      </c>
      <c r="AC148" s="15" t="s">
        <v>3005</v>
      </c>
      <c r="AD148" s="15" t="s">
        <v>2796</v>
      </c>
      <c r="AE148" s="15" t="s">
        <v>2796</v>
      </c>
      <c r="AF148" s="15">
        <v>7.05</v>
      </c>
      <c r="AG148" s="15">
        <v>8.14</v>
      </c>
      <c r="AH148" s="15">
        <v>60.0</v>
      </c>
      <c r="AI148" s="18"/>
      <c r="AJ148" s="15" t="s">
        <v>2787</v>
      </c>
      <c r="AK148" s="15" t="s">
        <v>2787</v>
      </c>
      <c r="AL148" s="15" t="s">
        <v>6406</v>
      </c>
      <c r="AM148" s="15" t="s">
        <v>6407</v>
      </c>
      <c r="AN148" s="15" t="s">
        <v>2797</v>
      </c>
      <c r="AO148" s="15" t="s">
        <v>2796</v>
      </c>
      <c r="AP148" s="15" t="s">
        <v>2796</v>
      </c>
      <c r="AQ148" s="15" t="s">
        <v>6408</v>
      </c>
      <c r="AR148" s="15" t="s">
        <v>2796</v>
      </c>
      <c r="AS148" s="15" t="s">
        <v>6409</v>
      </c>
      <c r="AT148" s="15" t="s">
        <v>2796</v>
      </c>
      <c r="AU148" s="15" t="s">
        <v>6410</v>
      </c>
      <c r="AV148" s="15" t="s">
        <v>6411</v>
      </c>
      <c r="AW148" s="15" t="s">
        <v>6412</v>
      </c>
      <c r="AX148" s="15" t="s">
        <v>6413</v>
      </c>
      <c r="AY148" s="15" t="s">
        <v>6414</v>
      </c>
      <c r="AZ148" s="15" t="s">
        <v>5260</v>
      </c>
      <c r="BA148" s="15" t="s">
        <v>6415</v>
      </c>
      <c r="BB148" s="15" t="s">
        <v>6416</v>
      </c>
      <c r="BC148" s="15" t="s">
        <v>4702</v>
      </c>
      <c r="BD148" s="15" t="s">
        <v>4556</v>
      </c>
      <c r="BE148" s="15" t="s">
        <v>6417</v>
      </c>
      <c r="BF148" s="15" t="s">
        <v>6418</v>
      </c>
      <c r="BG148" s="18"/>
      <c r="BH148" s="15" t="s">
        <v>6419</v>
      </c>
      <c r="BI148" s="15" t="s">
        <v>6420</v>
      </c>
      <c r="BJ148" s="19" t="s">
        <v>6421</v>
      </c>
      <c r="BK148" s="19" t="s">
        <v>6422</v>
      </c>
      <c r="BL148" s="19" t="s">
        <v>6423</v>
      </c>
      <c r="BM148" s="19" t="s">
        <v>6424</v>
      </c>
      <c r="BN148" s="19" t="s">
        <v>6425</v>
      </c>
      <c r="BO148" s="19" t="s">
        <v>6426</v>
      </c>
      <c r="BP148" s="19" t="s">
        <v>6427</v>
      </c>
      <c r="BQ148" s="15" t="s">
        <v>364</v>
      </c>
      <c r="BR148" s="26"/>
      <c r="BS148" s="26"/>
      <c r="BT148" s="26"/>
      <c r="BU148" s="26"/>
      <c r="BV148" s="26"/>
      <c r="BW148" s="26"/>
      <c r="BX148" s="26"/>
      <c r="BY148" s="18" t="str">
        <f t="shared" si="102"/>
        <v>COMP</v>
      </c>
      <c r="BZ148" s="24" t="str">
        <f t="shared" si="100"/>
        <v>https://drive.google.com/open?id=1y0IYNPYyGfWEJVFjaHpM-IUvEIvSx-XB</v>
      </c>
      <c r="CA148" s="24" t="str">
        <f t="shared" si="101"/>
        <v>https://drive.google.com/open?id=1bNuGNs8yIdIqTCSrRpSyM1W006cNd6fL</v>
      </c>
      <c r="CB148" s="15" t="s">
        <v>2821</v>
      </c>
      <c r="CC148" s="15" t="s">
        <v>2821</v>
      </c>
      <c r="CD148" s="25" t="s">
        <v>2797</v>
      </c>
      <c r="CE148" s="18"/>
      <c r="CF148" s="18"/>
      <c r="CG148" s="18"/>
    </row>
    <row r="149" ht="18.75" customHeight="1">
      <c r="A149" s="14">
        <v>44749.86139377315</v>
      </c>
      <c r="B149" s="15" t="s">
        <v>585</v>
      </c>
      <c r="C149" s="16" t="s">
        <v>6428</v>
      </c>
      <c r="D149" s="15" t="str">
        <f>IFERROR(__xludf.DUMMYFUNCTION("QUERY(TY_ALL_2023_Batch!$A$1:$E$824, ""SELECT E WHERE C='""&amp;B149&amp;""'"", 0)"),"COMP")</f>
        <v>COMP</v>
      </c>
      <c r="E149" s="15" t="s">
        <v>6429</v>
      </c>
      <c r="F149" s="18"/>
      <c r="G149" s="15" t="s">
        <v>6430</v>
      </c>
      <c r="H149" s="15" t="s">
        <v>2785</v>
      </c>
      <c r="I149" s="17">
        <v>36964.0</v>
      </c>
      <c r="J149" s="15">
        <v>2019.0</v>
      </c>
      <c r="K149" s="15" t="s">
        <v>2786</v>
      </c>
      <c r="L149" s="15" t="s">
        <v>2787</v>
      </c>
      <c r="M149" s="18"/>
      <c r="N149" s="15" t="s">
        <v>6431</v>
      </c>
      <c r="O149" s="15" t="s">
        <v>585</v>
      </c>
      <c r="P149" s="19" t="s">
        <v>6432</v>
      </c>
      <c r="Q149" s="15">
        <v>8.82406405E9</v>
      </c>
      <c r="R149" s="15">
        <v>8.107228146E9</v>
      </c>
      <c r="S149" s="15">
        <v>8.107228146E9</v>
      </c>
      <c r="T149" s="15" t="s">
        <v>6433</v>
      </c>
      <c r="U149" s="15" t="s">
        <v>6434</v>
      </c>
      <c r="V149" s="15" t="s">
        <v>6435</v>
      </c>
      <c r="W149" s="15" t="s">
        <v>6436</v>
      </c>
      <c r="X149" s="15">
        <v>89.3</v>
      </c>
      <c r="Y149" s="15" t="s">
        <v>2795</v>
      </c>
      <c r="Z149" s="15">
        <v>9.52</v>
      </c>
      <c r="AA149" s="15">
        <v>9.29</v>
      </c>
      <c r="AB149" s="15" t="s">
        <v>2796</v>
      </c>
      <c r="AC149" s="15" t="s">
        <v>2796</v>
      </c>
      <c r="AD149" s="15" t="s">
        <v>2796</v>
      </c>
      <c r="AE149" s="15" t="s">
        <v>2796</v>
      </c>
      <c r="AF149" s="15">
        <v>8.89</v>
      </c>
      <c r="AG149" s="15">
        <v>8.48</v>
      </c>
      <c r="AH149" s="15">
        <v>81.4</v>
      </c>
      <c r="AI149" s="18"/>
      <c r="AJ149" s="15" t="s">
        <v>2787</v>
      </c>
      <c r="AK149" s="15" t="s">
        <v>2787</v>
      </c>
      <c r="AL149" s="15">
        <v>94.0</v>
      </c>
      <c r="AM149" s="15">
        <v>95.0</v>
      </c>
      <c r="AN149" s="15" t="s">
        <v>2787</v>
      </c>
      <c r="AO149" s="15" t="s">
        <v>2796</v>
      </c>
      <c r="AP149" s="15" t="s">
        <v>6437</v>
      </c>
      <c r="AQ149" s="15" t="s">
        <v>6438</v>
      </c>
      <c r="AR149" s="15" t="s">
        <v>6439</v>
      </c>
      <c r="AS149" s="15" t="s">
        <v>2796</v>
      </c>
      <c r="AT149" s="15" t="s">
        <v>2796</v>
      </c>
      <c r="AU149" s="15" t="s">
        <v>6440</v>
      </c>
      <c r="AV149" s="15" t="s">
        <v>6441</v>
      </c>
      <c r="AW149" s="15" t="s">
        <v>6442</v>
      </c>
      <c r="AX149" s="15" t="s">
        <v>2796</v>
      </c>
      <c r="AY149" s="15" t="s">
        <v>6443</v>
      </c>
      <c r="AZ149" s="15" t="s">
        <v>5625</v>
      </c>
      <c r="BA149" s="15" t="s">
        <v>5552</v>
      </c>
      <c r="BB149" s="15" t="s">
        <v>5803</v>
      </c>
      <c r="BC149" s="15" t="s">
        <v>6444</v>
      </c>
      <c r="BD149" s="15" t="s">
        <v>2807</v>
      </c>
      <c r="BE149" s="15" t="s">
        <v>6445</v>
      </c>
      <c r="BF149" s="15" t="s">
        <v>2796</v>
      </c>
      <c r="BG149" s="15" t="s">
        <v>2796</v>
      </c>
      <c r="BH149" s="15" t="s">
        <v>2796</v>
      </c>
      <c r="BI149" s="15" t="s">
        <v>6446</v>
      </c>
      <c r="BJ149" s="19" t="s">
        <v>6447</v>
      </c>
      <c r="BK149" s="19" t="s">
        <v>6448</v>
      </c>
      <c r="BL149" s="18"/>
      <c r="BM149" s="18"/>
      <c r="BN149" s="19" t="s">
        <v>6449</v>
      </c>
      <c r="BO149" s="19" t="s">
        <v>6450</v>
      </c>
      <c r="BP149" s="18"/>
      <c r="BQ149" s="15" t="s">
        <v>364</v>
      </c>
      <c r="BR149" s="26"/>
      <c r="BS149" s="19" t="s">
        <v>6451</v>
      </c>
      <c r="BT149" s="26"/>
      <c r="BU149" s="26"/>
      <c r="BV149" s="26"/>
      <c r="BW149" s="15" t="s">
        <v>6452</v>
      </c>
      <c r="BX149" s="26"/>
      <c r="BY149" s="18" t="str">
        <f t="shared" si="102"/>
        <v>COMP</v>
      </c>
      <c r="BZ149" s="18" t="str">
        <f t="shared" si="100"/>
        <v/>
      </c>
      <c r="CA149" s="18" t="str">
        <f t="shared" si="101"/>
        <v/>
      </c>
      <c r="CB149" s="15" t="s">
        <v>2908</v>
      </c>
      <c r="CC149" s="15" t="s">
        <v>2908</v>
      </c>
      <c r="CD149" s="25" t="s">
        <v>2787</v>
      </c>
      <c r="CE149" s="18"/>
      <c r="CF149" s="18"/>
      <c r="CG149" s="18"/>
    </row>
    <row r="150" ht="18.75" customHeight="1">
      <c r="A150" s="14">
        <v>44742.93771100695</v>
      </c>
      <c r="B150" s="15" t="s">
        <v>786</v>
      </c>
      <c r="C150" s="16" t="s">
        <v>6453</v>
      </c>
      <c r="D150" s="15" t="str">
        <f>IFERROR(__xludf.DUMMYFUNCTION("QUERY(TY_ALL_2023_Batch!$A$1:$E$824, ""SELECT E WHERE C='""&amp;B150&amp;""'"", 0)"),"COMP")</f>
        <v>COMP</v>
      </c>
      <c r="E150" s="15" t="s">
        <v>6454</v>
      </c>
      <c r="F150" s="15" t="s">
        <v>4978</v>
      </c>
      <c r="G150" s="15" t="s">
        <v>6455</v>
      </c>
      <c r="H150" s="15" t="s">
        <v>2785</v>
      </c>
      <c r="I150" s="17">
        <v>36881.0</v>
      </c>
      <c r="J150" s="15">
        <v>2019.0</v>
      </c>
      <c r="K150" s="15" t="s">
        <v>2786</v>
      </c>
      <c r="L150" s="15" t="s">
        <v>2787</v>
      </c>
      <c r="M150" s="18"/>
      <c r="N150" s="15" t="s">
        <v>6456</v>
      </c>
      <c r="O150" s="15" t="s">
        <v>786</v>
      </c>
      <c r="P150" s="19" t="s">
        <v>6457</v>
      </c>
      <c r="Q150" s="15">
        <v>8.600317308E9</v>
      </c>
      <c r="R150" s="15">
        <v>8.600317308E9</v>
      </c>
      <c r="S150" s="18"/>
      <c r="T150" s="15" t="s">
        <v>6458</v>
      </c>
      <c r="U150" s="15" t="s">
        <v>5109</v>
      </c>
      <c r="V150" s="15" t="s">
        <v>6459</v>
      </c>
      <c r="W150" s="18"/>
      <c r="X150" s="15">
        <v>95.0</v>
      </c>
      <c r="Y150" s="15" t="s">
        <v>2795</v>
      </c>
      <c r="Z150" s="15">
        <v>9.75</v>
      </c>
      <c r="AA150" s="15">
        <v>8.48</v>
      </c>
      <c r="AB150" s="15" t="s">
        <v>2796</v>
      </c>
      <c r="AC150" s="15" t="s">
        <v>2796</v>
      </c>
      <c r="AD150" s="15" t="s">
        <v>2796</v>
      </c>
      <c r="AE150" s="15" t="s">
        <v>2796</v>
      </c>
      <c r="AF150" s="15">
        <v>7.0</v>
      </c>
      <c r="AG150" s="15">
        <v>8.14</v>
      </c>
      <c r="AH150" s="15">
        <v>65.69</v>
      </c>
      <c r="AI150" s="18"/>
      <c r="AJ150" s="15" t="s">
        <v>2787</v>
      </c>
      <c r="AK150" s="15" t="s">
        <v>2787</v>
      </c>
      <c r="AL150" s="15">
        <v>551.0</v>
      </c>
      <c r="AM150" s="15">
        <v>615.0</v>
      </c>
      <c r="AN150" s="15" t="s">
        <v>2797</v>
      </c>
      <c r="AO150" s="18"/>
      <c r="AP150" s="18"/>
      <c r="AQ150" s="15" t="s">
        <v>6460</v>
      </c>
      <c r="AR150" s="18"/>
      <c r="AS150" s="15" t="s">
        <v>6461</v>
      </c>
      <c r="AT150" s="18"/>
      <c r="AU150" s="18"/>
      <c r="AV150" s="15" t="s">
        <v>6462</v>
      </c>
      <c r="AW150" s="15" t="s">
        <v>6463</v>
      </c>
      <c r="AX150" s="18"/>
      <c r="AY150" s="15" t="s">
        <v>6464</v>
      </c>
      <c r="AZ150" s="15" t="s">
        <v>5625</v>
      </c>
      <c r="BA150" s="15" t="s">
        <v>5552</v>
      </c>
      <c r="BB150" s="15" t="s">
        <v>3514</v>
      </c>
      <c r="BC150" s="15" t="s">
        <v>6465</v>
      </c>
      <c r="BD150" s="15" t="s">
        <v>2842</v>
      </c>
      <c r="BE150" s="15" t="s">
        <v>6466</v>
      </c>
      <c r="BF150" s="18"/>
      <c r="BG150" s="18"/>
      <c r="BH150" s="18"/>
      <c r="BI150" s="18"/>
      <c r="BJ150" s="19" t="s">
        <v>6467</v>
      </c>
      <c r="BK150" s="19" t="s">
        <v>6468</v>
      </c>
      <c r="BL150" s="19" t="s">
        <v>6469</v>
      </c>
      <c r="BM150" s="20" t="s">
        <v>6470</v>
      </c>
      <c r="BN150" s="18"/>
      <c r="BO150" s="19" t="s">
        <v>6471</v>
      </c>
      <c r="BP150" s="18"/>
      <c r="BQ150" s="15" t="s">
        <v>364</v>
      </c>
      <c r="BR150" s="26"/>
      <c r="BS150" s="26"/>
      <c r="BT150" s="19" t="s">
        <v>6472</v>
      </c>
      <c r="BU150" s="26"/>
      <c r="BV150" s="26"/>
      <c r="BW150" s="15" t="s">
        <v>6473</v>
      </c>
      <c r="BX150" s="26"/>
      <c r="BY150" s="18" t="str">
        <f t="shared" si="102"/>
        <v>COMP</v>
      </c>
      <c r="BZ150" s="24" t="str">
        <f t="shared" si="100"/>
        <v>https://drive.google.com/open?id=1ZIZDR3uVn_nSD_USydwg96f9kKJgkToU</v>
      </c>
      <c r="CA150" s="24" t="str">
        <f t="shared" si="101"/>
        <v>https://drive.google.com/open?id=1e4poGIAb8sSJbEaR2unIyNX1LlLtBRVW</v>
      </c>
      <c r="CB150" s="15" t="s">
        <v>2821</v>
      </c>
      <c r="CC150" s="15" t="s">
        <v>2821</v>
      </c>
      <c r="CD150" s="25" t="s">
        <v>2787</v>
      </c>
      <c r="CE150" s="18"/>
      <c r="CF150" s="18"/>
      <c r="CG150" s="18"/>
    </row>
    <row r="151" ht="18.75" customHeight="1">
      <c r="A151" s="14">
        <v>44735.83279424769</v>
      </c>
      <c r="B151" s="15" t="s">
        <v>579</v>
      </c>
      <c r="C151" s="16" t="s">
        <v>6474</v>
      </c>
      <c r="D151" s="15" t="str">
        <f>IFERROR(__xludf.DUMMYFUNCTION("QUERY(TY_ALL_2023_Batch!$A$1:$E$824, ""SELECT E WHERE C='""&amp;B151&amp;""'"", 0)"),"COMP")</f>
        <v>COMP</v>
      </c>
      <c r="E151" s="15" t="s">
        <v>6475</v>
      </c>
      <c r="F151" s="15" t="s">
        <v>6476</v>
      </c>
      <c r="G151" s="15" t="s">
        <v>6477</v>
      </c>
      <c r="H151" s="15" t="s">
        <v>2826</v>
      </c>
      <c r="I151" s="17">
        <v>36860.0</v>
      </c>
      <c r="J151" s="15">
        <v>2019.0</v>
      </c>
      <c r="K151" s="15" t="s">
        <v>2786</v>
      </c>
      <c r="L151" s="15" t="s">
        <v>2787</v>
      </c>
      <c r="M151" s="18"/>
      <c r="N151" s="15" t="s">
        <v>6478</v>
      </c>
      <c r="O151" s="15" t="s">
        <v>579</v>
      </c>
      <c r="P151" s="19" t="s">
        <v>6479</v>
      </c>
      <c r="Q151" s="15">
        <v>7.397958194E9</v>
      </c>
      <c r="R151" s="15">
        <v>7.397958194E9</v>
      </c>
      <c r="S151" s="15">
        <v>9.42188387E9</v>
      </c>
      <c r="T151" s="15" t="s">
        <v>6480</v>
      </c>
      <c r="U151" s="15" t="s">
        <v>6481</v>
      </c>
      <c r="V151" s="15" t="s">
        <v>6482</v>
      </c>
      <c r="W151" s="15" t="s">
        <v>4325</v>
      </c>
      <c r="X151" s="15">
        <v>95.4</v>
      </c>
      <c r="Y151" s="15" t="s">
        <v>2795</v>
      </c>
      <c r="Z151" s="15">
        <v>9.67</v>
      </c>
      <c r="AA151" s="15">
        <v>9.14</v>
      </c>
      <c r="AB151" s="15" t="s">
        <v>2796</v>
      </c>
      <c r="AC151" s="15" t="s">
        <v>2796</v>
      </c>
      <c r="AD151" s="15" t="s">
        <v>2796</v>
      </c>
      <c r="AE151" s="15" t="s">
        <v>2796</v>
      </c>
      <c r="AF151" s="15">
        <v>8.47</v>
      </c>
      <c r="AG151" s="15">
        <v>8.71</v>
      </c>
      <c r="AH151" s="15">
        <v>68.4</v>
      </c>
      <c r="AI151" s="18"/>
      <c r="AJ151" s="15" t="s">
        <v>2787</v>
      </c>
      <c r="AK151" s="15" t="s">
        <v>2787</v>
      </c>
      <c r="AL151" s="15">
        <v>611.66</v>
      </c>
      <c r="AM151" s="15">
        <v>656.66</v>
      </c>
      <c r="AN151" s="15" t="s">
        <v>2797</v>
      </c>
      <c r="AO151" s="18"/>
      <c r="AP151" s="18"/>
      <c r="AQ151" s="15" t="s">
        <v>6483</v>
      </c>
      <c r="AR151" s="15" t="s">
        <v>6484</v>
      </c>
      <c r="AS151" s="15" t="s">
        <v>5356</v>
      </c>
      <c r="AT151" s="18"/>
      <c r="AU151" s="18"/>
      <c r="AV151" s="15" t="s">
        <v>6485</v>
      </c>
      <c r="AW151" s="15" t="s">
        <v>6486</v>
      </c>
      <c r="AX151" s="18"/>
      <c r="AY151" s="15" t="s">
        <v>6487</v>
      </c>
      <c r="AZ151" s="15" t="s">
        <v>5287</v>
      </c>
      <c r="BA151" s="15" t="s">
        <v>6488</v>
      </c>
      <c r="BB151" s="15" t="s">
        <v>6489</v>
      </c>
      <c r="BC151" s="15" t="s">
        <v>6490</v>
      </c>
      <c r="BD151" s="15" t="s">
        <v>2842</v>
      </c>
      <c r="BE151" s="15" t="s">
        <v>6491</v>
      </c>
      <c r="BF151" s="18"/>
      <c r="BG151" s="18"/>
      <c r="BH151" s="18"/>
      <c r="BI151" s="15" t="s">
        <v>6492</v>
      </c>
      <c r="BJ151" s="19" t="s">
        <v>6493</v>
      </c>
      <c r="BK151" s="19" t="s">
        <v>6494</v>
      </c>
      <c r="BL151" s="20" t="s">
        <v>6495</v>
      </c>
      <c r="BM151" s="19" t="s">
        <v>6496</v>
      </c>
      <c r="BN151" s="20" t="s">
        <v>6497</v>
      </c>
      <c r="BO151" s="19" t="s">
        <v>6498</v>
      </c>
      <c r="BP151" s="19" t="s">
        <v>6499</v>
      </c>
      <c r="BQ151" s="15" t="s">
        <v>364</v>
      </c>
      <c r="BR151" s="26"/>
      <c r="BS151" s="26"/>
      <c r="BT151" s="26"/>
      <c r="BU151" s="26"/>
      <c r="BV151" s="26"/>
      <c r="BW151" s="26"/>
      <c r="BX151" s="26"/>
      <c r="BY151" s="18" t="str">
        <f t="shared" si="102"/>
        <v>COMP</v>
      </c>
      <c r="BZ151" s="24" t="str">
        <f t="shared" si="100"/>
        <v>https://drive.google.com/open?id=1-UqA1Q_6ZxUo6Di7M0RrdIz3UMd5-fAA</v>
      </c>
      <c r="CA151" s="24" t="str">
        <f t="shared" si="101"/>
        <v>https://drive.google.com/open?id=1_LFgIPMgYuWmGvxkRnkt_QGexOx9Qzxu</v>
      </c>
      <c r="CB151" s="15" t="s">
        <v>2821</v>
      </c>
      <c r="CC151" s="15" t="s">
        <v>2821</v>
      </c>
      <c r="CD151" s="25" t="s">
        <v>2787</v>
      </c>
      <c r="CE151" s="18"/>
      <c r="CF151" s="18"/>
      <c r="CG151" s="18"/>
    </row>
    <row r="152" ht="18.75" customHeight="1">
      <c r="A152" s="14">
        <v>44736.449486006946</v>
      </c>
      <c r="B152" s="15" t="s">
        <v>882</v>
      </c>
      <c r="C152" s="16" t="s">
        <v>6500</v>
      </c>
      <c r="D152" s="15" t="str">
        <f>IFERROR(__xludf.DUMMYFUNCTION("QUERY(TY_ALL_2023_Batch!$A$1:$E$824, ""SELECT E WHERE C='""&amp;B152&amp;""'"", 0)"),"COMP")</f>
        <v>COMP</v>
      </c>
      <c r="E152" s="15" t="s">
        <v>5131</v>
      </c>
      <c r="F152" s="15" t="s">
        <v>5988</v>
      </c>
      <c r="G152" s="15" t="s">
        <v>6501</v>
      </c>
      <c r="H152" s="15" t="s">
        <v>2785</v>
      </c>
      <c r="I152" s="17">
        <v>37334.0</v>
      </c>
      <c r="J152" s="15">
        <v>2019.0</v>
      </c>
      <c r="K152" s="15" t="s">
        <v>2786</v>
      </c>
      <c r="L152" s="15" t="s">
        <v>2787</v>
      </c>
      <c r="M152" s="18"/>
      <c r="N152" s="15" t="s">
        <v>6502</v>
      </c>
      <c r="O152" s="15" t="s">
        <v>882</v>
      </c>
      <c r="P152" s="19" t="s">
        <v>6503</v>
      </c>
      <c r="Q152" s="15">
        <v>8.080015113E9</v>
      </c>
      <c r="R152" s="15">
        <v>8.080015113E9</v>
      </c>
      <c r="S152" s="15">
        <v>9.970825319E9</v>
      </c>
      <c r="T152" s="15" t="s">
        <v>6504</v>
      </c>
      <c r="U152" s="15" t="s">
        <v>6505</v>
      </c>
      <c r="V152" s="15" t="s">
        <v>6506</v>
      </c>
      <c r="W152" s="15" t="s">
        <v>6507</v>
      </c>
      <c r="X152" s="15">
        <v>89.2</v>
      </c>
      <c r="Y152" s="15" t="s">
        <v>2795</v>
      </c>
      <c r="Z152" s="15">
        <v>8.3</v>
      </c>
      <c r="AA152" s="15">
        <v>8.95</v>
      </c>
      <c r="AB152" s="15" t="s">
        <v>2796</v>
      </c>
      <c r="AC152" s="15" t="s">
        <v>2796</v>
      </c>
      <c r="AD152" s="15" t="s">
        <v>2796</v>
      </c>
      <c r="AE152" s="15" t="s">
        <v>2796</v>
      </c>
      <c r="AF152" s="15">
        <v>8.37</v>
      </c>
      <c r="AG152" s="15">
        <v>7.67</v>
      </c>
      <c r="AH152" s="15">
        <v>62.46</v>
      </c>
      <c r="AI152" s="18"/>
      <c r="AJ152" s="15" t="s">
        <v>2787</v>
      </c>
      <c r="AK152" s="15" t="s">
        <v>2787</v>
      </c>
      <c r="AL152" s="15">
        <v>601.66</v>
      </c>
      <c r="AM152" s="15">
        <v>578.33</v>
      </c>
      <c r="AN152" s="15" t="s">
        <v>2797</v>
      </c>
      <c r="AO152" s="15">
        <v>0.0</v>
      </c>
      <c r="AP152" s="15" t="s">
        <v>6508</v>
      </c>
      <c r="AQ152" s="15" t="s">
        <v>5547</v>
      </c>
      <c r="AR152" s="15" t="s">
        <v>6509</v>
      </c>
      <c r="AS152" s="15" t="s">
        <v>6510</v>
      </c>
      <c r="AT152" s="18"/>
      <c r="AU152" s="18"/>
      <c r="AV152" s="18"/>
      <c r="AW152" s="15" t="s">
        <v>6511</v>
      </c>
      <c r="AX152" s="18"/>
      <c r="AY152" s="15" t="s">
        <v>6512</v>
      </c>
      <c r="AZ152" s="15" t="s">
        <v>5260</v>
      </c>
      <c r="BA152" s="15" t="s">
        <v>6513</v>
      </c>
      <c r="BB152" s="15" t="s">
        <v>5649</v>
      </c>
      <c r="BC152" s="15" t="s">
        <v>5394</v>
      </c>
      <c r="BD152" s="15" t="s">
        <v>2807</v>
      </c>
      <c r="BE152" s="15" t="s">
        <v>2796</v>
      </c>
      <c r="BF152" s="18"/>
      <c r="BG152" s="18"/>
      <c r="BH152" s="15" t="s">
        <v>6514</v>
      </c>
      <c r="BI152" s="18"/>
      <c r="BJ152" s="19" t="s">
        <v>6515</v>
      </c>
      <c r="BK152" s="19" t="s">
        <v>6516</v>
      </c>
      <c r="BL152" s="18"/>
      <c r="BM152" s="18"/>
      <c r="BN152" s="18"/>
      <c r="BO152" s="19" t="s">
        <v>6517</v>
      </c>
      <c r="BP152" s="18"/>
      <c r="BQ152" s="15" t="s">
        <v>364</v>
      </c>
      <c r="BR152" s="26"/>
      <c r="BS152" s="26"/>
      <c r="BT152" s="26"/>
      <c r="BU152" s="26"/>
      <c r="BV152" s="26"/>
      <c r="BW152" s="26"/>
      <c r="BX152" s="26"/>
      <c r="BY152" s="18" t="str">
        <f t="shared" si="102"/>
        <v>COMP</v>
      </c>
      <c r="BZ152" s="18" t="str">
        <f t="shared" si="100"/>
        <v/>
      </c>
      <c r="CA152" s="18" t="str">
        <f t="shared" si="101"/>
        <v/>
      </c>
      <c r="CB152" s="15" t="s">
        <v>2908</v>
      </c>
      <c r="CC152" s="15" t="s">
        <v>2908</v>
      </c>
      <c r="CD152" s="25" t="s">
        <v>2797</v>
      </c>
      <c r="CE152" s="18"/>
      <c r="CF152" s="18"/>
      <c r="CG152" s="18"/>
    </row>
    <row r="153" ht="18.75" customHeight="1">
      <c r="A153" s="14">
        <v>44735.3994915625</v>
      </c>
      <c r="B153" s="15" t="s">
        <v>819</v>
      </c>
      <c r="C153" s="16" t="s">
        <v>6518</v>
      </c>
      <c r="D153" s="15" t="str">
        <f>IFERROR(__xludf.DUMMYFUNCTION("QUERY(TY_ALL_2023_Batch!$A$1:$E$824, ""SELECT E WHERE C='""&amp;B153&amp;""'"", 0)"),"COMP")</f>
        <v>COMP</v>
      </c>
      <c r="E153" s="15" t="s">
        <v>6519</v>
      </c>
      <c r="F153" s="15" t="s">
        <v>3499</v>
      </c>
      <c r="G153" s="15" t="s">
        <v>6086</v>
      </c>
      <c r="H153" s="15" t="s">
        <v>2826</v>
      </c>
      <c r="I153" s="17">
        <v>37439.0</v>
      </c>
      <c r="J153" s="15">
        <v>2019.0</v>
      </c>
      <c r="K153" s="15" t="s">
        <v>2786</v>
      </c>
      <c r="L153" s="15" t="s">
        <v>2787</v>
      </c>
      <c r="M153" s="18"/>
      <c r="N153" s="15" t="s">
        <v>6520</v>
      </c>
      <c r="O153" s="15" t="s">
        <v>819</v>
      </c>
      <c r="P153" s="19" t="s">
        <v>6521</v>
      </c>
      <c r="Q153" s="15">
        <v>7.058377913E9</v>
      </c>
      <c r="R153" s="15">
        <v>7.058377913E9</v>
      </c>
      <c r="S153" s="15">
        <v>9.403235085E9</v>
      </c>
      <c r="T153" s="15" t="s">
        <v>6522</v>
      </c>
      <c r="U153" s="15" t="s">
        <v>6523</v>
      </c>
      <c r="V153" s="15" t="s">
        <v>6524</v>
      </c>
      <c r="W153" s="15" t="s">
        <v>6525</v>
      </c>
      <c r="X153" s="15">
        <v>91.6</v>
      </c>
      <c r="Y153" s="15" t="s">
        <v>2795</v>
      </c>
      <c r="Z153" s="15">
        <v>9.93</v>
      </c>
      <c r="AA153" s="15">
        <v>8.81</v>
      </c>
      <c r="AB153" s="15" t="s">
        <v>2796</v>
      </c>
      <c r="AC153" s="15" t="s">
        <v>2796</v>
      </c>
      <c r="AD153" s="15" t="s">
        <v>2796</v>
      </c>
      <c r="AE153" s="15" t="s">
        <v>2796</v>
      </c>
      <c r="AF153" s="15">
        <v>8.57</v>
      </c>
      <c r="AG153" s="15">
        <v>8.0</v>
      </c>
      <c r="AH153" s="15">
        <v>84.31</v>
      </c>
      <c r="AI153" s="18"/>
      <c r="AJ153" s="15" t="s">
        <v>2787</v>
      </c>
      <c r="AK153" s="15" t="s">
        <v>2787</v>
      </c>
      <c r="AL153" s="15">
        <v>66.0</v>
      </c>
      <c r="AM153" s="15">
        <v>88.33</v>
      </c>
      <c r="AN153" s="15" t="s">
        <v>2797</v>
      </c>
      <c r="AO153" s="15"/>
      <c r="AP153" s="18"/>
      <c r="AQ153" s="15" t="s">
        <v>2796</v>
      </c>
      <c r="AR153" s="18"/>
      <c r="AS153" s="15" t="s">
        <v>6526</v>
      </c>
      <c r="AT153" s="18"/>
      <c r="AU153" s="15" t="s">
        <v>6527</v>
      </c>
      <c r="AV153" s="15" t="s">
        <v>6528</v>
      </c>
      <c r="AW153" s="15" t="s">
        <v>6529</v>
      </c>
      <c r="AX153" s="18"/>
      <c r="AY153" s="15" t="s">
        <v>6530</v>
      </c>
      <c r="AZ153" s="15" t="s">
        <v>5335</v>
      </c>
      <c r="BA153" s="15" t="s">
        <v>6531</v>
      </c>
      <c r="BB153" s="15" t="s">
        <v>5649</v>
      </c>
      <c r="BC153" s="15" t="s">
        <v>4217</v>
      </c>
      <c r="BD153" s="15" t="s">
        <v>6532</v>
      </c>
      <c r="BE153" s="15" t="s">
        <v>6533</v>
      </c>
      <c r="BF153" s="18"/>
      <c r="BG153" s="18"/>
      <c r="BH153" s="18"/>
      <c r="BI153" s="18"/>
      <c r="BJ153" s="19" t="s">
        <v>6534</v>
      </c>
      <c r="BK153" s="19" t="s">
        <v>6535</v>
      </c>
      <c r="BL153" s="19" t="s">
        <v>6536</v>
      </c>
      <c r="BM153" s="19" t="s">
        <v>6537</v>
      </c>
      <c r="BN153" s="18"/>
      <c r="BO153" s="19" t="s">
        <v>6538</v>
      </c>
      <c r="BP153" s="19" t="s">
        <v>6539</v>
      </c>
      <c r="BQ153" s="15" t="s">
        <v>364</v>
      </c>
      <c r="BR153" s="26"/>
      <c r="BS153" s="26"/>
      <c r="BT153" s="26"/>
      <c r="BU153" s="26"/>
      <c r="BV153" s="26"/>
      <c r="BW153" s="26"/>
      <c r="BX153" s="26"/>
      <c r="BY153" s="18" t="str">
        <f t="shared" si="102"/>
        <v>COMP</v>
      </c>
      <c r="BZ153" s="24" t="str">
        <f t="shared" si="100"/>
        <v>https://drive.google.com/open?id=1LEKFFVsPlEv33CaWo4Dd7dL09fp8WHz5</v>
      </c>
      <c r="CA153" s="24" t="str">
        <f t="shared" si="101"/>
        <v>https://drive.google.com/open?id=1_FE_JxOpAUXaUTcN86kTuZL9_ic7kQEZ</v>
      </c>
      <c r="CB153" s="15" t="s">
        <v>2821</v>
      </c>
      <c r="CC153" s="15" t="s">
        <v>2821</v>
      </c>
      <c r="CD153" s="25" t="s">
        <v>2797</v>
      </c>
      <c r="CE153" s="18"/>
      <c r="CF153" s="18"/>
      <c r="CG153" s="18"/>
    </row>
    <row r="154" ht="18.75" customHeight="1">
      <c r="A154" s="14">
        <v>44742.78723255787</v>
      </c>
      <c r="B154" s="15" t="s">
        <v>684</v>
      </c>
      <c r="C154" s="16" t="s">
        <v>6540</v>
      </c>
      <c r="D154" s="15" t="str">
        <f>IFERROR(__xludf.DUMMYFUNCTION("QUERY(TY_ALL_2023_Batch!$A$1:$E$824, ""SELECT E WHERE C='""&amp;B154&amp;""'"", 0)"),"COMP")</f>
        <v>COMP</v>
      </c>
      <c r="E154" s="15" t="s">
        <v>6541</v>
      </c>
      <c r="F154" s="15" t="s">
        <v>6542</v>
      </c>
      <c r="G154" s="15" t="s">
        <v>6543</v>
      </c>
      <c r="H154" s="15" t="s">
        <v>2785</v>
      </c>
      <c r="I154" s="17">
        <v>37330.0</v>
      </c>
      <c r="J154" s="15">
        <v>2019.0</v>
      </c>
      <c r="K154" s="15" t="s">
        <v>2786</v>
      </c>
      <c r="L154" s="15" t="s">
        <v>2787</v>
      </c>
      <c r="M154" s="18"/>
      <c r="N154" s="15" t="s">
        <v>6544</v>
      </c>
      <c r="O154" s="15" t="s">
        <v>684</v>
      </c>
      <c r="P154" s="19" t="s">
        <v>6545</v>
      </c>
      <c r="Q154" s="15">
        <v>8.483923322E9</v>
      </c>
      <c r="R154" s="15">
        <v>8.483923322E9</v>
      </c>
      <c r="S154" s="18"/>
      <c r="T154" s="15" t="s">
        <v>6546</v>
      </c>
      <c r="U154" s="15" t="s">
        <v>6547</v>
      </c>
      <c r="V154" s="15" t="s">
        <v>6548</v>
      </c>
      <c r="W154" s="15" t="s">
        <v>6549</v>
      </c>
      <c r="X154" s="15">
        <v>7.4</v>
      </c>
      <c r="Y154" s="15" t="s">
        <v>2795</v>
      </c>
      <c r="Z154" s="15">
        <v>6.8</v>
      </c>
      <c r="AA154" s="15">
        <v>6.52</v>
      </c>
      <c r="AB154" s="15" t="s">
        <v>2796</v>
      </c>
      <c r="AC154" s="15" t="s">
        <v>2796</v>
      </c>
      <c r="AD154" s="15" t="s">
        <v>2796</v>
      </c>
      <c r="AE154" s="15" t="s">
        <v>2796</v>
      </c>
      <c r="AF154" s="15">
        <v>6.21</v>
      </c>
      <c r="AG154" s="15">
        <v>6.0</v>
      </c>
      <c r="AH154" s="15">
        <v>67.69</v>
      </c>
      <c r="AI154" s="18"/>
      <c r="AJ154" s="15" t="s">
        <v>2797</v>
      </c>
      <c r="AK154" s="15" t="s">
        <v>2787</v>
      </c>
      <c r="AL154" s="18"/>
      <c r="AM154" s="15">
        <v>640.0</v>
      </c>
      <c r="AN154" s="15" t="s">
        <v>2787</v>
      </c>
      <c r="AO154" s="15" t="s">
        <v>6550</v>
      </c>
      <c r="AP154" s="15" t="s">
        <v>6551</v>
      </c>
      <c r="AQ154" s="15" t="s">
        <v>6552</v>
      </c>
      <c r="AR154" s="15" t="s">
        <v>6553</v>
      </c>
      <c r="AS154" s="15" t="s">
        <v>6554</v>
      </c>
      <c r="AT154" s="18"/>
      <c r="AU154" s="18"/>
      <c r="AV154" s="15" t="s">
        <v>6555</v>
      </c>
      <c r="AW154" s="15" t="s">
        <v>6556</v>
      </c>
      <c r="AX154" s="18"/>
      <c r="AY154" s="15" t="s">
        <v>6557</v>
      </c>
      <c r="AZ154" s="15" t="s">
        <v>5260</v>
      </c>
      <c r="BA154" s="15" t="s">
        <v>5844</v>
      </c>
      <c r="BB154" s="15" t="s">
        <v>6558</v>
      </c>
      <c r="BC154" s="15" t="s">
        <v>6559</v>
      </c>
      <c r="BD154" s="15" t="s">
        <v>2807</v>
      </c>
      <c r="BE154" s="15" t="s">
        <v>2796</v>
      </c>
      <c r="BF154" s="18"/>
      <c r="BG154" s="18"/>
      <c r="BH154" s="18"/>
      <c r="BI154" s="18"/>
      <c r="BJ154" s="19" t="s">
        <v>6560</v>
      </c>
      <c r="BK154" s="19" t="s">
        <v>6561</v>
      </c>
      <c r="BL154" s="18"/>
      <c r="BM154" s="19" t="s">
        <v>6562</v>
      </c>
      <c r="BN154" s="20" t="s">
        <v>6563</v>
      </c>
      <c r="BO154" s="19" t="s">
        <v>6564</v>
      </c>
      <c r="BP154" s="18"/>
      <c r="BQ154" s="15" t="s">
        <v>364</v>
      </c>
      <c r="BR154" s="26"/>
      <c r="BS154" s="26"/>
      <c r="BT154" s="19" t="s">
        <v>6565</v>
      </c>
      <c r="BU154" s="26"/>
      <c r="BV154" s="26"/>
      <c r="BW154" s="15" t="s">
        <v>6566</v>
      </c>
      <c r="BX154" s="26"/>
      <c r="BY154" s="18" t="str">
        <f t="shared" si="102"/>
        <v>COMP</v>
      </c>
      <c r="BZ154" s="18" t="str">
        <f t="shared" si="100"/>
        <v/>
      </c>
      <c r="CA154" s="24" t="str">
        <f t="shared" si="101"/>
        <v>https://drive.google.com/open?id=1odvmUM-Op_11dScdJjrHr-ogVqUabSoN</v>
      </c>
      <c r="CB154" s="15" t="s">
        <v>2908</v>
      </c>
      <c r="CC154" s="15" t="s">
        <v>2821</v>
      </c>
      <c r="CD154" s="25" t="s">
        <v>2787</v>
      </c>
      <c r="CE154" s="18"/>
      <c r="CF154" s="18"/>
      <c r="CG154" s="18"/>
    </row>
    <row r="155" ht="18.75" customHeight="1">
      <c r="A155" s="14">
        <v>44736.95836064815</v>
      </c>
      <c r="B155" s="15" t="s">
        <v>600</v>
      </c>
      <c r="C155" s="16" t="s">
        <v>6567</v>
      </c>
      <c r="D155" s="15" t="str">
        <f>IFERROR(__xludf.DUMMYFUNCTION("QUERY(TY_ALL_2023_Batch!$A$1:$E$824, ""SELECT E WHERE C='""&amp;B155&amp;""'"", 0)"),"COMP")</f>
        <v>COMP</v>
      </c>
      <c r="E155" s="15" t="s">
        <v>6568</v>
      </c>
      <c r="F155" s="15" t="s">
        <v>6569</v>
      </c>
      <c r="G155" s="15" t="s">
        <v>6570</v>
      </c>
      <c r="H155" s="15" t="s">
        <v>2826</v>
      </c>
      <c r="I155" s="17">
        <v>37160.0</v>
      </c>
      <c r="J155" s="15">
        <v>2019.0</v>
      </c>
      <c r="K155" s="15" t="s">
        <v>2786</v>
      </c>
      <c r="L155" s="15" t="s">
        <v>2787</v>
      </c>
      <c r="M155" s="18"/>
      <c r="N155" s="15" t="s">
        <v>6571</v>
      </c>
      <c r="O155" s="15" t="s">
        <v>600</v>
      </c>
      <c r="P155" s="19" t="s">
        <v>6572</v>
      </c>
      <c r="Q155" s="15">
        <v>7.498282988E9</v>
      </c>
      <c r="R155" s="15">
        <v>7.498282988E9</v>
      </c>
      <c r="S155" s="15">
        <v>9.404996411E9</v>
      </c>
      <c r="T155" s="15" t="s">
        <v>6569</v>
      </c>
      <c r="U155" s="15" t="s">
        <v>6573</v>
      </c>
      <c r="V155" s="15" t="s">
        <v>6574</v>
      </c>
      <c r="W155" s="15" t="s">
        <v>6575</v>
      </c>
      <c r="X155" s="15">
        <v>92.0</v>
      </c>
      <c r="Y155" s="15" t="s">
        <v>2795</v>
      </c>
      <c r="Z155" s="15">
        <v>9.62</v>
      </c>
      <c r="AA155" s="15">
        <v>9.14</v>
      </c>
      <c r="AB155" s="15">
        <v>8.7</v>
      </c>
      <c r="AC155" s="15" t="s">
        <v>2796</v>
      </c>
      <c r="AD155" s="15" t="s">
        <v>2796</v>
      </c>
      <c r="AE155" s="15" t="s">
        <v>2796</v>
      </c>
      <c r="AF155" s="15">
        <v>7.42</v>
      </c>
      <c r="AG155" s="15">
        <v>7.81</v>
      </c>
      <c r="AH155" s="15">
        <v>73.0</v>
      </c>
      <c r="AI155" s="18"/>
      <c r="AJ155" s="15" t="s">
        <v>2787</v>
      </c>
      <c r="AK155" s="15" t="s">
        <v>2787</v>
      </c>
      <c r="AL155" s="15">
        <v>598.0</v>
      </c>
      <c r="AM155" s="15">
        <v>643.0</v>
      </c>
      <c r="AN155" s="15" t="s">
        <v>2797</v>
      </c>
      <c r="AO155" s="15" t="s">
        <v>2796</v>
      </c>
      <c r="AP155" s="15" t="s">
        <v>2796</v>
      </c>
      <c r="AQ155" s="15" t="s">
        <v>6576</v>
      </c>
      <c r="AR155" s="18"/>
      <c r="AS155" s="15" t="s">
        <v>6577</v>
      </c>
      <c r="AT155" s="18"/>
      <c r="AU155" s="15" t="s">
        <v>6578</v>
      </c>
      <c r="AV155" s="15" t="s">
        <v>6579</v>
      </c>
      <c r="AW155" s="15" t="s">
        <v>6580</v>
      </c>
      <c r="AX155" s="15" t="s">
        <v>2796</v>
      </c>
      <c r="AY155" s="15" t="s">
        <v>2796</v>
      </c>
      <c r="AZ155" s="15" t="s">
        <v>5287</v>
      </c>
      <c r="BA155" s="15" t="s">
        <v>6581</v>
      </c>
      <c r="BB155" s="15" t="s">
        <v>6582</v>
      </c>
      <c r="BC155" s="15" t="s">
        <v>5604</v>
      </c>
      <c r="BD155" s="15" t="s">
        <v>2807</v>
      </c>
      <c r="BE155" s="15" t="s">
        <v>6583</v>
      </c>
      <c r="BF155" s="15" t="s">
        <v>2796</v>
      </c>
      <c r="BG155" s="15" t="s">
        <v>2796</v>
      </c>
      <c r="BH155" s="15" t="s">
        <v>6584</v>
      </c>
      <c r="BI155" s="15" t="s">
        <v>6585</v>
      </c>
      <c r="BJ155" s="19" t="s">
        <v>6586</v>
      </c>
      <c r="BK155" s="19" t="s">
        <v>6587</v>
      </c>
      <c r="BL155" s="19" t="s">
        <v>6588</v>
      </c>
      <c r="BM155" s="19" t="s">
        <v>6589</v>
      </c>
      <c r="BN155" s="19" t="s">
        <v>6590</v>
      </c>
      <c r="BO155" s="19" t="s">
        <v>6591</v>
      </c>
      <c r="BP155" s="19" t="s">
        <v>6592</v>
      </c>
      <c r="BQ155" s="15" t="s">
        <v>364</v>
      </c>
      <c r="BR155" s="19" t="s">
        <v>6593</v>
      </c>
      <c r="BS155" s="19" t="s">
        <v>6594</v>
      </c>
      <c r="BT155" s="26"/>
      <c r="BU155" s="19" t="s">
        <v>6595</v>
      </c>
      <c r="BV155" s="19" t="s">
        <v>6596</v>
      </c>
      <c r="BW155" s="15" t="s">
        <v>6597</v>
      </c>
      <c r="BX155" s="26"/>
      <c r="BY155" s="18" t="str">
        <f t="shared" si="102"/>
        <v>COMP</v>
      </c>
      <c r="BZ155" s="24" t="str">
        <f t="shared" si="100"/>
        <v>https://drive.google.com/open?id=1UHJbDKD51N520aYt5vsXlh-yq3DsQ-R_</v>
      </c>
      <c r="CA155" s="24" t="str">
        <f t="shared" si="101"/>
        <v>https://drive.google.com/open?id=1x1OrEJjZL3syrchpdZh0Oez9gbN4p-Sr</v>
      </c>
      <c r="CB155" s="15" t="s">
        <v>2821</v>
      </c>
      <c r="CC155" s="15" t="s">
        <v>2821</v>
      </c>
      <c r="CD155" s="25" t="s">
        <v>2797</v>
      </c>
      <c r="CE155" s="18"/>
      <c r="CF155" s="18"/>
      <c r="CG155" s="18"/>
    </row>
    <row r="156" ht="18.75" customHeight="1">
      <c r="A156" s="14">
        <v>44743.40425421296</v>
      </c>
      <c r="B156" s="15" t="s">
        <v>735</v>
      </c>
      <c r="C156" s="16" t="s">
        <v>6598</v>
      </c>
      <c r="D156" s="15" t="str">
        <f>IFERROR(__xludf.DUMMYFUNCTION("QUERY(TY_ALL_2023_Batch!$A$1:$E$824, ""SELECT E WHERE C='""&amp;B156&amp;""'"", 0)"),"COMP")</f>
        <v>COMP</v>
      </c>
      <c r="E156" s="15" t="s">
        <v>5991</v>
      </c>
      <c r="F156" s="15" t="s">
        <v>6599</v>
      </c>
      <c r="G156" s="15" t="s">
        <v>5325</v>
      </c>
      <c r="H156" s="15" t="s">
        <v>2826</v>
      </c>
      <c r="I156" s="17">
        <v>37082.0</v>
      </c>
      <c r="J156" s="15">
        <v>2019.0</v>
      </c>
      <c r="K156" s="15" t="s">
        <v>2786</v>
      </c>
      <c r="L156" s="15" t="s">
        <v>2787</v>
      </c>
      <c r="M156" s="18"/>
      <c r="N156" s="15" t="s">
        <v>6600</v>
      </c>
      <c r="O156" s="15" t="s">
        <v>735</v>
      </c>
      <c r="P156" s="19" t="s">
        <v>6601</v>
      </c>
      <c r="Q156" s="15">
        <v>9.307733037E9</v>
      </c>
      <c r="R156" s="15">
        <v>9.307733037E9</v>
      </c>
      <c r="S156" s="15">
        <v>9.307733037E9</v>
      </c>
      <c r="T156" s="15" t="s">
        <v>6599</v>
      </c>
      <c r="U156" s="15" t="s">
        <v>6602</v>
      </c>
      <c r="V156" s="15" t="s">
        <v>6603</v>
      </c>
      <c r="W156" s="15" t="s">
        <v>6604</v>
      </c>
      <c r="X156" s="15">
        <v>84.7</v>
      </c>
      <c r="Y156" s="15" t="s">
        <v>2795</v>
      </c>
      <c r="Z156" s="15">
        <v>9.38</v>
      </c>
      <c r="AA156" s="15">
        <v>8.0</v>
      </c>
      <c r="AB156" s="15" t="s">
        <v>2796</v>
      </c>
      <c r="AC156" s="15" t="s">
        <v>2796</v>
      </c>
      <c r="AD156" s="15" t="s">
        <v>2796</v>
      </c>
      <c r="AE156" s="15" t="s">
        <v>2796</v>
      </c>
      <c r="AF156" s="15">
        <v>8.16</v>
      </c>
      <c r="AG156" s="15">
        <v>7.62</v>
      </c>
      <c r="AH156" s="15">
        <v>72.0</v>
      </c>
      <c r="AI156" s="18"/>
      <c r="AJ156" s="15" t="s">
        <v>2787</v>
      </c>
      <c r="AK156" s="15" t="s">
        <v>2787</v>
      </c>
      <c r="AL156" s="15">
        <v>620.0</v>
      </c>
      <c r="AM156" s="15" t="s">
        <v>2796</v>
      </c>
      <c r="AN156" s="15" t="s">
        <v>2797</v>
      </c>
      <c r="AO156" s="15" t="s">
        <v>2796</v>
      </c>
      <c r="AP156" s="15" t="s">
        <v>6605</v>
      </c>
      <c r="AQ156" s="15" t="s">
        <v>6606</v>
      </c>
      <c r="AR156" s="18"/>
      <c r="AS156" s="15" t="s">
        <v>6607</v>
      </c>
      <c r="AT156" s="18"/>
      <c r="AU156" s="15" t="s">
        <v>2796</v>
      </c>
      <c r="AV156" s="15" t="s">
        <v>6608</v>
      </c>
      <c r="AW156" s="15" t="s">
        <v>6609</v>
      </c>
      <c r="AX156" s="15" t="s">
        <v>2796</v>
      </c>
      <c r="AY156" s="15" t="s">
        <v>6610</v>
      </c>
      <c r="AZ156" s="15" t="s">
        <v>5260</v>
      </c>
      <c r="BA156" s="15" t="s">
        <v>6611</v>
      </c>
      <c r="BB156" s="15" t="s">
        <v>2807</v>
      </c>
      <c r="BC156" s="15" t="s">
        <v>6612</v>
      </c>
      <c r="BD156" s="15" t="s">
        <v>2807</v>
      </c>
      <c r="BE156" s="15" t="s">
        <v>2796</v>
      </c>
      <c r="BF156" s="15" t="s">
        <v>2796</v>
      </c>
      <c r="BG156" s="15" t="s">
        <v>2796</v>
      </c>
      <c r="BH156" s="15" t="s">
        <v>2796</v>
      </c>
      <c r="BI156" s="15" t="s">
        <v>6613</v>
      </c>
      <c r="BJ156" s="19" t="s">
        <v>6614</v>
      </c>
      <c r="BK156" s="19" t="s">
        <v>6615</v>
      </c>
      <c r="BL156" s="18"/>
      <c r="BM156" s="18"/>
      <c r="BN156" s="18"/>
      <c r="BO156" s="19" t="s">
        <v>6616</v>
      </c>
      <c r="BP156" s="19" t="s">
        <v>6617</v>
      </c>
      <c r="BQ156" s="15" t="s">
        <v>364</v>
      </c>
      <c r="BR156" s="26"/>
      <c r="BS156" s="26"/>
      <c r="BT156" s="19" t="s">
        <v>6618</v>
      </c>
      <c r="BU156" s="26"/>
      <c r="BV156" s="26"/>
      <c r="BW156" s="15" t="s">
        <v>6619</v>
      </c>
      <c r="BX156" s="26"/>
      <c r="BY156" s="18" t="str">
        <f t="shared" si="102"/>
        <v>COMP</v>
      </c>
      <c r="BZ156" s="18" t="str">
        <f t="shared" si="100"/>
        <v/>
      </c>
      <c r="CA156" s="18" t="str">
        <f t="shared" si="101"/>
        <v/>
      </c>
      <c r="CB156" s="15" t="s">
        <v>2908</v>
      </c>
      <c r="CC156" s="15" t="s">
        <v>2908</v>
      </c>
      <c r="CD156" s="25" t="s">
        <v>2787</v>
      </c>
      <c r="CE156" s="18"/>
      <c r="CF156" s="18"/>
      <c r="CG156" s="18"/>
    </row>
    <row r="157" ht="18.75" customHeight="1">
      <c r="A157" s="14">
        <v>44741.82518784722</v>
      </c>
      <c r="B157" s="15" t="s">
        <v>567</v>
      </c>
      <c r="C157" s="16" t="s">
        <v>6620</v>
      </c>
      <c r="D157" s="15" t="str">
        <f>IFERROR(__xludf.DUMMYFUNCTION("QUERY(TY_ALL_2023_Batch!$A$1:$E$824, ""SELECT E WHERE C='""&amp;B157&amp;""'"", 0)"),"COMP")</f>
        <v>COMP</v>
      </c>
      <c r="E157" s="15" t="s">
        <v>6621</v>
      </c>
      <c r="F157" s="18"/>
      <c r="G157" s="15" t="s">
        <v>6622</v>
      </c>
      <c r="H157" s="15" t="s">
        <v>2785</v>
      </c>
      <c r="I157" s="17">
        <v>37085.0</v>
      </c>
      <c r="J157" s="15">
        <v>2019.0</v>
      </c>
      <c r="K157" s="15" t="s">
        <v>2786</v>
      </c>
      <c r="L157" s="15" t="s">
        <v>2787</v>
      </c>
      <c r="M157" s="18"/>
      <c r="N157" s="15" t="s">
        <v>6623</v>
      </c>
      <c r="O157" s="15" t="s">
        <v>6624</v>
      </c>
      <c r="P157" s="19" t="s">
        <v>6625</v>
      </c>
      <c r="Q157" s="15">
        <v>7.607434317E9</v>
      </c>
      <c r="R157" s="15">
        <v>7.607434317E9</v>
      </c>
      <c r="S157" s="18"/>
      <c r="T157" s="15" t="s">
        <v>6626</v>
      </c>
      <c r="U157" s="15" t="s">
        <v>6627</v>
      </c>
      <c r="V157" s="15" t="s">
        <v>6628</v>
      </c>
      <c r="W157" s="18"/>
      <c r="X157" s="15">
        <v>87.4</v>
      </c>
      <c r="Y157" s="15" t="s">
        <v>2795</v>
      </c>
      <c r="Z157" s="15">
        <v>9.1</v>
      </c>
      <c r="AA157" s="15">
        <v>8.38</v>
      </c>
      <c r="AB157" s="15" t="s">
        <v>2796</v>
      </c>
      <c r="AC157" s="15" t="s">
        <v>2796</v>
      </c>
      <c r="AD157" s="15" t="s">
        <v>2796</v>
      </c>
      <c r="AE157" s="15" t="s">
        <v>2796</v>
      </c>
      <c r="AF157" s="15">
        <v>8.53</v>
      </c>
      <c r="AG157" s="15">
        <v>8.0</v>
      </c>
      <c r="AH157" s="15">
        <v>81.2</v>
      </c>
      <c r="AI157" s="18"/>
      <c r="AJ157" s="15" t="s">
        <v>2787</v>
      </c>
      <c r="AK157" s="15" t="s">
        <v>2787</v>
      </c>
      <c r="AL157" s="15">
        <v>681.66</v>
      </c>
      <c r="AM157" s="15">
        <v>620.0</v>
      </c>
      <c r="AN157" s="15" t="s">
        <v>2797</v>
      </c>
      <c r="AO157" s="18"/>
      <c r="AP157" s="18"/>
      <c r="AQ157" s="15" t="s">
        <v>6629</v>
      </c>
      <c r="AR157" s="15" t="s">
        <v>6630</v>
      </c>
      <c r="AS157" s="18"/>
      <c r="AT157" s="18"/>
      <c r="AU157" s="15" t="s">
        <v>2796</v>
      </c>
      <c r="AV157" s="15" t="s">
        <v>6631</v>
      </c>
      <c r="AW157" s="15" t="s">
        <v>6632</v>
      </c>
      <c r="AX157" s="18"/>
      <c r="AY157" s="15" t="s">
        <v>6633</v>
      </c>
      <c r="AZ157" s="15" t="s">
        <v>5625</v>
      </c>
      <c r="BA157" s="15" t="s">
        <v>6634</v>
      </c>
      <c r="BB157" s="15" t="s">
        <v>6635</v>
      </c>
      <c r="BC157" s="15" t="s">
        <v>3686</v>
      </c>
      <c r="BD157" s="15" t="s">
        <v>2807</v>
      </c>
      <c r="BE157" s="15" t="s">
        <v>6636</v>
      </c>
      <c r="BF157" s="18"/>
      <c r="BG157" s="18"/>
      <c r="BH157" s="15" t="s">
        <v>6637</v>
      </c>
      <c r="BI157" s="18"/>
      <c r="BJ157" s="19" t="s">
        <v>6638</v>
      </c>
      <c r="BK157" s="19" t="s">
        <v>6639</v>
      </c>
      <c r="BL157" s="19" t="s">
        <v>6640</v>
      </c>
      <c r="BM157" s="19" t="s">
        <v>6641</v>
      </c>
      <c r="BN157" s="18"/>
      <c r="BO157" s="19" t="s">
        <v>6642</v>
      </c>
      <c r="BP157" s="18"/>
      <c r="BQ157" s="15" t="s">
        <v>364</v>
      </c>
      <c r="BR157" s="18"/>
      <c r="BS157" s="18"/>
      <c r="BT157" s="19" t="s">
        <v>6643</v>
      </c>
      <c r="BU157" s="18"/>
      <c r="BV157" s="18"/>
      <c r="BW157" s="15" t="s">
        <v>6644</v>
      </c>
      <c r="BX157" s="18"/>
      <c r="BY157" s="18" t="str">
        <f t="shared" si="102"/>
        <v>COMP</v>
      </c>
      <c r="BZ157" s="24" t="str">
        <f t="shared" si="100"/>
        <v>https://drive.google.com/open?id=1Kr2ZDGxwzPqqea6zV-SDxfDb9qJmDoxO</v>
      </c>
      <c r="CA157" s="24" t="str">
        <f t="shared" si="101"/>
        <v>https://drive.google.com/open?id=1cG3eR5ezC1Q3_ZR6fWq3jTDsfZ_zQ1-m</v>
      </c>
      <c r="CB157" s="15" t="s">
        <v>6645</v>
      </c>
      <c r="CC157" s="15" t="s">
        <v>6645</v>
      </c>
      <c r="CD157" s="25" t="s">
        <v>2787</v>
      </c>
      <c r="CE157" s="18"/>
      <c r="CF157" s="18"/>
      <c r="CG157" s="18"/>
    </row>
    <row r="158" ht="18.75" customHeight="1">
      <c r="A158" s="14">
        <v>44736.71976177083</v>
      </c>
      <c r="B158" s="15" t="s">
        <v>876</v>
      </c>
      <c r="C158" s="16" t="s">
        <v>6646</v>
      </c>
      <c r="D158" s="15" t="str">
        <f>IFERROR(__xludf.DUMMYFUNCTION("QUERY(TY_ALL_2023_Batch!$A$1:$E$824, ""SELECT E WHERE C='""&amp;B158&amp;""'"", 0)"),"COMP")</f>
        <v>COMP</v>
      </c>
      <c r="E158" s="15" t="s">
        <v>6647</v>
      </c>
      <c r="F158" s="15" t="s">
        <v>6648</v>
      </c>
      <c r="G158" s="15" t="s">
        <v>6649</v>
      </c>
      <c r="H158" s="15" t="s">
        <v>2826</v>
      </c>
      <c r="I158" s="17">
        <v>37170.0</v>
      </c>
      <c r="J158" s="15">
        <v>2019.0</v>
      </c>
      <c r="K158" s="15" t="s">
        <v>2786</v>
      </c>
      <c r="L158" s="15" t="s">
        <v>2787</v>
      </c>
      <c r="M158" s="18"/>
      <c r="N158" s="15" t="s">
        <v>6650</v>
      </c>
      <c r="O158" s="15" t="s">
        <v>876</v>
      </c>
      <c r="P158" s="19" t="s">
        <v>6651</v>
      </c>
      <c r="Q158" s="15">
        <v>7.666482252E9</v>
      </c>
      <c r="R158" s="15">
        <v>7.666482252E9</v>
      </c>
      <c r="S158" s="15">
        <v>7.666482252E9</v>
      </c>
      <c r="T158" s="15" t="s">
        <v>6652</v>
      </c>
      <c r="U158" s="15" t="s">
        <v>6653</v>
      </c>
      <c r="V158" s="15" t="s">
        <v>6654</v>
      </c>
      <c r="W158" s="15" t="s">
        <v>6654</v>
      </c>
      <c r="X158" s="15">
        <v>86.0</v>
      </c>
      <c r="Y158" s="15" t="s">
        <v>2795</v>
      </c>
      <c r="Z158" s="15">
        <v>8.3</v>
      </c>
      <c r="AA158" s="15">
        <v>8.3</v>
      </c>
      <c r="AB158" s="15" t="s">
        <v>3368</v>
      </c>
      <c r="AC158" s="15" t="s">
        <v>3368</v>
      </c>
      <c r="AD158" s="15" t="s">
        <v>3368</v>
      </c>
      <c r="AE158" s="15" t="s">
        <v>3368</v>
      </c>
      <c r="AF158" s="15">
        <v>7.6</v>
      </c>
      <c r="AG158" s="15">
        <v>8.3</v>
      </c>
      <c r="AH158" s="15">
        <v>70.0</v>
      </c>
      <c r="AI158" s="18"/>
      <c r="AJ158" s="15" t="s">
        <v>2787</v>
      </c>
      <c r="AK158" s="15" t="s">
        <v>2787</v>
      </c>
      <c r="AL158" s="15">
        <v>79.67</v>
      </c>
      <c r="AM158" s="15">
        <v>94.0</v>
      </c>
      <c r="AN158" s="15" t="s">
        <v>2797</v>
      </c>
      <c r="AO158" s="15" t="s">
        <v>3368</v>
      </c>
      <c r="AP158" s="15" t="s">
        <v>3368</v>
      </c>
      <c r="AQ158" s="15" t="s">
        <v>6655</v>
      </c>
      <c r="AR158" s="15" t="s">
        <v>6656</v>
      </c>
      <c r="AS158" s="15" t="s">
        <v>6657</v>
      </c>
      <c r="AT158" s="15" t="s">
        <v>5798</v>
      </c>
      <c r="AU158" s="15" t="s">
        <v>6658</v>
      </c>
      <c r="AV158" s="15" t="s">
        <v>6659</v>
      </c>
      <c r="AW158" s="15" t="s">
        <v>6660</v>
      </c>
      <c r="AX158" s="15" t="s">
        <v>5798</v>
      </c>
      <c r="AY158" s="15" t="s">
        <v>6661</v>
      </c>
      <c r="AZ158" s="15" t="s">
        <v>5260</v>
      </c>
      <c r="BA158" s="15" t="s">
        <v>2899</v>
      </c>
      <c r="BB158" s="15" t="s">
        <v>6612</v>
      </c>
      <c r="BC158" s="15" t="s">
        <v>6612</v>
      </c>
      <c r="BD158" s="15" t="s">
        <v>6662</v>
      </c>
      <c r="BE158" s="15" t="s">
        <v>2796</v>
      </c>
      <c r="BF158" s="15" t="s">
        <v>5798</v>
      </c>
      <c r="BG158" s="15" t="s">
        <v>5798</v>
      </c>
      <c r="BH158" s="15" t="s">
        <v>5798</v>
      </c>
      <c r="BI158" s="15" t="s">
        <v>6663</v>
      </c>
      <c r="BJ158" s="19" t="s">
        <v>6664</v>
      </c>
      <c r="BK158" s="19" t="s">
        <v>6665</v>
      </c>
      <c r="BL158" s="19" t="s">
        <v>6666</v>
      </c>
      <c r="BM158" s="19" t="s">
        <v>6667</v>
      </c>
      <c r="BN158" s="20" t="s">
        <v>6668</v>
      </c>
      <c r="BO158" s="19" t="s">
        <v>6669</v>
      </c>
      <c r="BP158" s="19" t="s">
        <v>6670</v>
      </c>
      <c r="BQ158" s="15" t="s">
        <v>364</v>
      </c>
      <c r="BR158" s="19" t="s">
        <v>6671</v>
      </c>
      <c r="BS158" s="19" t="s">
        <v>6672</v>
      </c>
      <c r="BT158" s="19" t="s">
        <v>6673</v>
      </c>
      <c r="BU158" s="19" t="s">
        <v>6674</v>
      </c>
      <c r="BV158" s="19" t="s">
        <v>6675</v>
      </c>
      <c r="BW158" s="15" t="s">
        <v>6676</v>
      </c>
      <c r="BX158" s="26"/>
      <c r="BY158" s="18" t="str">
        <f t="shared" si="102"/>
        <v>COMP</v>
      </c>
      <c r="BZ158" s="24" t="str">
        <f t="shared" si="100"/>
        <v>https://drive.google.com/open?id=1lJQO6rSTkmeXqSR3bMjP6DtL5ta-TZo4</v>
      </c>
      <c r="CA158" s="24" t="str">
        <f t="shared" si="101"/>
        <v>https://drive.google.com/open?id=1vPCKr-17hW7Lr8oyoNLoi2MokO9OvFrg</v>
      </c>
      <c r="CB158" s="15" t="s">
        <v>2821</v>
      </c>
      <c r="CC158" s="15" t="s">
        <v>2821</v>
      </c>
      <c r="CD158" s="25" t="s">
        <v>2787</v>
      </c>
      <c r="CE158" s="18"/>
      <c r="CF158" s="18"/>
      <c r="CG158" s="18"/>
    </row>
    <row r="159" ht="18.75" customHeight="1">
      <c r="A159" s="14">
        <v>44736.46271984954</v>
      </c>
      <c r="B159" s="15" t="s">
        <v>597</v>
      </c>
      <c r="C159" s="16" t="s">
        <v>6677</v>
      </c>
      <c r="D159" s="15" t="str">
        <f>IFERROR(__xludf.DUMMYFUNCTION("QUERY(TY_ALL_2023_Batch!$A$1:$E$824, ""SELECT E WHERE C='""&amp;B159&amp;""'"", 0)"),"COMP")</f>
        <v>COMP</v>
      </c>
      <c r="E159" s="15" t="s">
        <v>6678</v>
      </c>
      <c r="F159" s="15" t="s">
        <v>3763</v>
      </c>
      <c r="G159" s="15" t="s">
        <v>6679</v>
      </c>
      <c r="H159" s="15" t="s">
        <v>2785</v>
      </c>
      <c r="I159" s="17">
        <v>37315.0</v>
      </c>
      <c r="J159" s="15">
        <v>2019.0</v>
      </c>
      <c r="K159" s="15" t="s">
        <v>2786</v>
      </c>
      <c r="L159" s="15" t="s">
        <v>2787</v>
      </c>
      <c r="M159" s="18"/>
      <c r="N159" s="15" t="s">
        <v>6680</v>
      </c>
      <c r="O159" s="15" t="s">
        <v>597</v>
      </c>
      <c r="P159" s="19" t="s">
        <v>6681</v>
      </c>
      <c r="Q159" s="15">
        <v>9.766984161E9</v>
      </c>
      <c r="R159" s="15">
        <v>9.766984161E9</v>
      </c>
      <c r="S159" s="15">
        <v>9.890406484E9</v>
      </c>
      <c r="T159" s="15" t="s">
        <v>3763</v>
      </c>
      <c r="U159" s="15" t="s">
        <v>6682</v>
      </c>
      <c r="V159" s="15" t="s">
        <v>6683</v>
      </c>
      <c r="W159" s="18"/>
      <c r="X159" s="15">
        <v>88.2</v>
      </c>
      <c r="Y159" s="15" t="s">
        <v>2795</v>
      </c>
      <c r="Z159" s="15">
        <v>9.38</v>
      </c>
      <c r="AA159" s="15">
        <v>9.48</v>
      </c>
      <c r="AB159" s="15" t="s">
        <v>2796</v>
      </c>
      <c r="AC159" s="15" t="s">
        <v>2796</v>
      </c>
      <c r="AD159" s="15" t="s">
        <v>2796</v>
      </c>
      <c r="AE159" s="15" t="s">
        <v>2796</v>
      </c>
      <c r="AF159" s="15">
        <v>8.58</v>
      </c>
      <c r="AG159" s="15">
        <v>9.43</v>
      </c>
      <c r="AH159" s="15">
        <v>82.2</v>
      </c>
      <c r="AI159" s="18"/>
      <c r="AJ159" s="15" t="s">
        <v>2787</v>
      </c>
      <c r="AK159" s="15" t="s">
        <v>2787</v>
      </c>
      <c r="AL159" s="15">
        <v>668.0</v>
      </c>
      <c r="AM159" s="15">
        <v>641.0</v>
      </c>
      <c r="AN159" s="15" t="s">
        <v>2797</v>
      </c>
      <c r="AO159" s="15" t="s">
        <v>2908</v>
      </c>
      <c r="AP159" s="15" t="s">
        <v>2908</v>
      </c>
      <c r="AQ159" s="15" t="s">
        <v>6684</v>
      </c>
      <c r="AR159" s="15" t="s">
        <v>6685</v>
      </c>
      <c r="AS159" s="15" t="s">
        <v>6686</v>
      </c>
      <c r="AT159" s="15" t="s">
        <v>2796</v>
      </c>
      <c r="AU159" s="15" t="s">
        <v>6687</v>
      </c>
      <c r="AV159" s="15" t="s">
        <v>6688</v>
      </c>
      <c r="AW159" s="15" t="s">
        <v>6689</v>
      </c>
      <c r="AX159" s="15" t="s">
        <v>2796</v>
      </c>
      <c r="AY159" s="15" t="s">
        <v>6690</v>
      </c>
      <c r="AZ159" s="15" t="s">
        <v>5260</v>
      </c>
      <c r="BA159" s="15" t="s">
        <v>6193</v>
      </c>
      <c r="BB159" s="15" t="s">
        <v>6691</v>
      </c>
      <c r="BC159" s="15" t="s">
        <v>3686</v>
      </c>
      <c r="BD159" s="15" t="s">
        <v>2807</v>
      </c>
      <c r="BE159" s="15" t="s">
        <v>6692</v>
      </c>
      <c r="BF159" s="15" t="s">
        <v>6693</v>
      </c>
      <c r="BG159" s="18"/>
      <c r="BH159" s="15" t="s">
        <v>6694</v>
      </c>
      <c r="BI159" s="18"/>
      <c r="BJ159" s="19" t="s">
        <v>6695</v>
      </c>
      <c r="BK159" s="19" t="s">
        <v>6696</v>
      </c>
      <c r="BL159" s="19" t="s">
        <v>6697</v>
      </c>
      <c r="BM159" s="19" t="s">
        <v>6698</v>
      </c>
      <c r="BN159" s="19" t="s">
        <v>6699</v>
      </c>
      <c r="BO159" s="19" t="s">
        <v>6700</v>
      </c>
      <c r="BP159" s="19" t="s">
        <v>6701</v>
      </c>
      <c r="BQ159" s="15" t="s">
        <v>364</v>
      </c>
      <c r="BR159" s="26"/>
      <c r="BS159" s="26"/>
      <c r="BT159" s="26"/>
      <c r="BU159" s="26"/>
      <c r="BV159" s="26"/>
      <c r="BW159" s="26"/>
      <c r="BX159" s="26"/>
      <c r="BY159" s="18" t="str">
        <f t="shared" si="102"/>
        <v>COMP</v>
      </c>
      <c r="BZ159" s="24" t="str">
        <f t="shared" si="100"/>
        <v>https://drive.google.com/open?id=1KD-kplVfWkTcnddZtysR000QoTcVJTRq</v>
      </c>
      <c r="CA159" s="24" t="str">
        <f t="shared" si="101"/>
        <v>https://drive.google.com/open?id=1hWWOojTIpmCCXR870bo_YJ_VwU813TmX</v>
      </c>
      <c r="CB159" s="15" t="s">
        <v>2821</v>
      </c>
      <c r="CC159" s="15" t="s">
        <v>2821</v>
      </c>
      <c r="CD159" s="25" t="s">
        <v>2797</v>
      </c>
      <c r="CE159" s="18"/>
      <c r="CF159" s="18"/>
      <c r="CG159" s="18"/>
    </row>
    <row r="160" ht="18.75" customHeight="1">
      <c r="A160" s="14">
        <v>44736.02270428241</v>
      </c>
      <c r="B160" s="15" t="s">
        <v>945</v>
      </c>
      <c r="C160" s="16" t="s">
        <v>6702</v>
      </c>
      <c r="D160" s="15" t="str">
        <f>IFERROR(__xludf.DUMMYFUNCTION("QUERY(TY_ALL_2023_Batch!$A$1:$E$824, ""SELECT E WHERE C='""&amp;B160&amp;""'"", 0)"),"COMP")</f>
        <v>COMP</v>
      </c>
      <c r="E160" s="15" t="s">
        <v>6703</v>
      </c>
      <c r="F160" s="15" t="s">
        <v>6704</v>
      </c>
      <c r="G160" s="15" t="s">
        <v>6705</v>
      </c>
      <c r="H160" s="15" t="s">
        <v>2785</v>
      </c>
      <c r="I160" s="17">
        <v>36563.0</v>
      </c>
      <c r="J160" s="15">
        <v>2019.0</v>
      </c>
      <c r="K160" s="15" t="s">
        <v>2786</v>
      </c>
      <c r="L160" s="15" t="s">
        <v>2787</v>
      </c>
      <c r="M160" s="18"/>
      <c r="N160" s="15" t="s">
        <v>6706</v>
      </c>
      <c r="O160" s="15" t="s">
        <v>945</v>
      </c>
      <c r="P160" s="19" t="s">
        <v>6707</v>
      </c>
      <c r="Q160" s="15">
        <v>8.007024008E9</v>
      </c>
      <c r="R160" s="15">
        <v>8.007024008E9</v>
      </c>
      <c r="S160" s="15">
        <v>8.329764721E9</v>
      </c>
      <c r="T160" s="15" t="s">
        <v>6704</v>
      </c>
      <c r="U160" s="15" t="s">
        <v>6708</v>
      </c>
      <c r="V160" s="15" t="s">
        <v>6709</v>
      </c>
      <c r="W160" s="15" t="s">
        <v>6710</v>
      </c>
      <c r="X160" s="15">
        <v>88.0</v>
      </c>
      <c r="Y160" s="15" t="s">
        <v>2795</v>
      </c>
      <c r="Z160" s="15">
        <v>8.52</v>
      </c>
      <c r="AA160" s="15">
        <v>8.52</v>
      </c>
      <c r="AB160" s="15" t="s">
        <v>2796</v>
      </c>
      <c r="AC160" s="15" t="s">
        <v>2796</v>
      </c>
      <c r="AD160" s="15" t="s">
        <v>2796</v>
      </c>
      <c r="AE160" s="15" t="s">
        <v>2796</v>
      </c>
      <c r="AF160" s="15">
        <v>8.21</v>
      </c>
      <c r="AG160" s="15">
        <v>8.21</v>
      </c>
      <c r="AH160" s="15">
        <v>71.0</v>
      </c>
      <c r="AI160" s="18"/>
      <c r="AJ160" s="15" t="s">
        <v>2787</v>
      </c>
      <c r="AK160" s="15" t="s">
        <v>2787</v>
      </c>
      <c r="AL160" s="18"/>
      <c r="AM160" s="18"/>
      <c r="AN160" s="15" t="s">
        <v>2797</v>
      </c>
      <c r="AO160" s="15" t="s">
        <v>2797</v>
      </c>
      <c r="AP160" s="15" t="s">
        <v>2797</v>
      </c>
      <c r="AQ160" s="15" t="s">
        <v>5331</v>
      </c>
      <c r="AR160" s="18"/>
      <c r="AS160" s="15" t="s">
        <v>6711</v>
      </c>
      <c r="AT160" s="18"/>
      <c r="AU160" s="18"/>
      <c r="AV160" s="18"/>
      <c r="AW160" s="15" t="s">
        <v>6712</v>
      </c>
      <c r="AX160" s="18"/>
      <c r="AY160" s="15" t="s">
        <v>6713</v>
      </c>
      <c r="AZ160" s="15" t="s">
        <v>5335</v>
      </c>
      <c r="BA160" s="15" t="s">
        <v>6193</v>
      </c>
      <c r="BB160" s="15" t="s">
        <v>6714</v>
      </c>
      <c r="BC160" s="15" t="s">
        <v>3686</v>
      </c>
      <c r="BD160" s="15" t="s">
        <v>2807</v>
      </c>
      <c r="BE160" s="15" t="s">
        <v>6715</v>
      </c>
      <c r="BF160" s="18"/>
      <c r="BG160" s="18"/>
      <c r="BH160" s="18"/>
      <c r="BI160" s="18"/>
      <c r="BJ160" s="19" t="s">
        <v>6716</v>
      </c>
      <c r="BK160" s="19" t="s">
        <v>6717</v>
      </c>
      <c r="BL160" s="18"/>
      <c r="BM160" s="18"/>
      <c r="BN160" s="18"/>
      <c r="BO160" s="19" t="s">
        <v>6718</v>
      </c>
      <c r="BP160" s="18"/>
      <c r="BQ160" s="15" t="s">
        <v>364</v>
      </c>
      <c r="BR160" s="26"/>
      <c r="BS160" s="26"/>
      <c r="BT160" s="26"/>
      <c r="BU160" s="26"/>
      <c r="BV160" s="26"/>
      <c r="BW160" s="26"/>
      <c r="BX160" s="26"/>
      <c r="BY160" s="18" t="str">
        <f t="shared" si="102"/>
        <v>COMP</v>
      </c>
      <c r="BZ160" s="18" t="str">
        <f t="shared" si="100"/>
        <v/>
      </c>
      <c r="CA160" s="18" t="str">
        <f t="shared" si="101"/>
        <v/>
      </c>
      <c r="CB160" s="15" t="s">
        <v>2908</v>
      </c>
      <c r="CC160" s="15" t="s">
        <v>2908</v>
      </c>
      <c r="CD160" s="25" t="s">
        <v>2797</v>
      </c>
      <c r="CE160" s="18"/>
      <c r="CF160" s="18"/>
      <c r="CG160" s="18"/>
    </row>
    <row r="161" ht="18.75" customHeight="1">
      <c r="A161" s="14">
        <v>44742.83525913194</v>
      </c>
      <c r="B161" s="15" t="s">
        <v>936</v>
      </c>
      <c r="C161" s="16" t="s">
        <v>6719</v>
      </c>
      <c r="D161" s="15" t="str">
        <f>IFERROR(__xludf.DUMMYFUNCTION("QUERY(TY_ALL_2023_Batch!$A$1:$E$824, ""SELECT E WHERE C='""&amp;B161&amp;""'"", 0)"),"COMP")</f>
        <v>COMP</v>
      </c>
      <c r="E161" s="15" t="s">
        <v>6720</v>
      </c>
      <c r="F161" s="15" t="s">
        <v>6721</v>
      </c>
      <c r="G161" s="15" t="s">
        <v>4542</v>
      </c>
      <c r="H161" s="15" t="s">
        <v>2785</v>
      </c>
      <c r="I161" s="17">
        <v>36948.0</v>
      </c>
      <c r="J161" s="15">
        <v>2019.0</v>
      </c>
      <c r="K161" s="15" t="s">
        <v>2786</v>
      </c>
      <c r="L161" s="15" t="s">
        <v>2787</v>
      </c>
      <c r="M161" s="18"/>
      <c r="N161" s="15" t="s">
        <v>6722</v>
      </c>
      <c r="O161" s="15" t="s">
        <v>936</v>
      </c>
      <c r="P161" s="19" t="s">
        <v>6723</v>
      </c>
      <c r="Q161" s="15">
        <v>7.387751691E9</v>
      </c>
      <c r="R161" s="15">
        <v>7.387751691E9</v>
      </c>
      <c r="S161" s="15">
        <v>9.022349965E9</v>
      </c>
      <c r="T161" s="15" t="s">
        <v>6724</v>
      </c>
      <c r="U161" s="15" t="s">
        <v>6725</v>
      </c>
      <c r="V161" s="15" t="s">
        <v>6726</v>
      </c>
      <c r="W161" s="18"/>
      <c r="X161" s="15">
        <v>89.4</v>
      </c>
      <c r="Y161" s="15" t="s">
        <v>2795</v>
      </c>
      <c r="Z161" s="15">
        <v>8.95</v>
      </c>
      <c r="AA161" s="15">
        <v>8.24</v>
      </c>
      <c r="AB161" s="15" t="s">
        <v>2796</v>
      </c>
      <c r="AC161" s="15" t="s">
        <v>2796</v>
      </c>
      <c r="AD161" s="15" t="s">
        <v>2796</v>
      </c>
      <c r="AE161" s="15" t="s">
        <v>2796</v>
      </c>
      <c r="AF161" s="15">
        <v>7.84</v>
      </c>
      <c r="AG161" s="15">
        <v>7.86</v>
      </c>
      <c r="AH161" s="15">
        <v>74.9</v>
      </c>
      <c r="AI161" s="18"/>
      <c r="AJ161" s="15" t="s">
        <v>2787</v>
      </c>
      <c r="AK161" s="15" t="s">
        <v>2787</v>
      </c>
      <c r="AL161" s="15">
        <v>563.0</v>
      </c>
      <c r="AM161" s="15">
        <v>613.0</v>
      </c>
      <c r="AN161" s="15" t="s">
        <v>2797</v>
      </c>
      <c r="AO161" s="18"/>
      <c r="AP161" s="15" t="s">
        <v>6727</v>
      </c>
      <c r="AQ161" s="15" t="s">
        <v>6728</v>
      </c>
      <c r="AR161" s="18"/>
      <c r="AS161" s="15" t="s">
        <v>6729</v>
      </c>
      <c r="AT161" s="18"/>
      <c r="AU161" s="18"/>
      <c r="AV161" s="15" t="s">
        <v>6730</v>
      </c>
      <c r="AW161" s="15" t="s">
        <v>78</v>
      </c>
      <c r="AX161" s="18"/>
      <c r="AY161" s="15" t="s">
        <v>6731</v>
      </c>
      <c r="AZ161" s="15" t="s">
        <v>5335</v>
      </c>
      <c r="BA161" s="15" t="s">
        <v>2806</v>
      </c>
      <c r="BB161" s="15" t="s">
        <v>6732</v>
      </c>
      <c r="BC161" s="15" t="s">
        <v>3686</v>
      </c>
      <c r="BD161" s="15" t="s">
        <v>2842</v>
      </c>
      <c r="BE161" s="15" t="s">
        <v>2796</v>
      </c>
      <c r="BF161" s="18"/>
      <c r="BG161" s="18"/>
      <c r="BH161" s="18"/>
      <c r="BI161" s="18"/>
      <c r="BJ161" s="19" t="s">
        <v>6733</v>
      </c>
      <c r="BK161" s="19" t="s">
        <v>6734</v>
      </c>
      <c r="BL161" s="19" t="s">
        <v>6735</v>
      </c>
      <c r="BM161" s="19" t="s">
        <v>6736</v>
      </c>
      <c r="BN161" s="20" t="s">
        <v>6737</v>
      </c>
      <c r="BO161" s="19" t="s">
        <v>6738</v>
      </c>
      <c r="BP161" s="18"/>
      <c r="BQ161" s="15" t="s">
        <v>364</v>
      </c>
      <c r="BR161" s="19" t="s">
        <v>6739</v>
      </c>
      <c r="BS161" s="26"/>
      <c r="BT161" s="26"/>
      <c r="BU161" s="26"/>
      <c r="BV161" s="26"/>
      <c r="BW161" s="15" t="s">
        <v>6740</v>
      </c>
      <c r="BX161" s="26"/>
      <c r="BY161" s="18" t="str">
        <f t="shared" si="102"/>
        <v>COMP</v>
      </c>
      <c r="BZ161" s="24" t="str">
        <f t="shared" si="100"/>
        <v>https://drive.google.com/open?id=1zfEvDF859_FA9RQU7VNdwIfdCZPJ_woN</v>
      </c>
      <c r="CA161" s="24" t="str">
        <f t="shared" si="101"/>
        <v>https://drive.google.com/open?id=17nemReMUuw3YWIcBZhSN0jDkfElwDFDA</v>
      </c>
      <c r="CB161" s="15" t="s">
        <v>2821</v>
      </c>
      <c r="CC161" s="15" t="s">
        <v>2821</v>
      </c>
      <c r="CD161" s="25" t="s">
        <v>2797</v>
      </c>
      <c r="CE161" s="18"/>
      <c r="CF161" s="18"/>
      <c r="CG161" s="18"/>
    </row>
    <row r="162" ht="18.75" customHeight="1">
      <c r="A162" s="14">
        <v>44736.44935292824</v>
      </c>
      <c r="B162" s="15" t="s">
        <v>672</v>
      </c>
      <c r="C162" s="16" t="s">
        <v>6741</v>
      </c>
      <c r="D162" s="15" t="str">
        <f>IFERROR(__xludf.DUMMYFUNCTION("QUERY(TY_ALL_2023_Batch!$A$1:$E$824, ""SELECT E WHERE C='""&amp;B162&amp;""'"", 0)"),"COMP")</f>
        <v>COMP</v>
      </c>
      <c r="E162" s="15" t="s">
        <v>6742</v>
      </c>
      <c r="F162" s="15" t="s">
        <v>3142</v>
      </c>
      <c r="G162" s="15" t="s">
        <v>6743</v>
      </c>
      <c r="H162" s="15" t="s">
        <v>2785</v>
      </c>
      <c r="I162" s="17">
        <v>37143.0</v>
      </c>
      <c r="J162" s="15">
        <v>2019.0</v>
      </c>
      <c r="K162" s="15" t="s">
        <v>2786</v>
      </c>
      <c r="L162" s="15" t="s">
        <v>2787</v>
      </c>
      <c r="M162" s="18"/>
      <c r="N162" s="15" t="s">
        <v>6744</v>
      </c>
      <c r="O162" s="15" t="s">
        <v>672</v>
      </c>
      <c r="P162" s="19" t="s">
        <v>6745</v>
      </c>
      <c r="Q162" s="15">
        <v>7.558318551E9</v>
      </c>
      <c r="R162" s="15">
        <v>7.558318551E9</v>
      </c>
      <c r="S162" s="18"/>
      <c r="T162" s="15" t="s">
        <v>3142</v>
      </c>
      <c r="U162" s="15" t="s">
        <v>5991</v>
      </c>
      <c r="V162" s="15" t="s">
        <v>6746</v>
      </c>
      <c r="W162" s="15" t="s">
        <v>6747</v>
      </c>
      <c r="X162" s="15">
        <v>87.0</v>
      </c>
      <c r="Y162" s="15" t="s">
        <v>2795</v>
      </c>
      <c r="Z162" s="15">
        <v>9.66</v>
      </c>
      <c r="AA162" s="15">
        <v>9.52</v>
      </c>
      <c r="AB162" s="15" t="s">
        <v>2796</v>
      </c>
      <c r="AC162" s="15" t="s">
        <v>2796</v>
      </c>
      <c r="AD162" s="15" t="s">
        <v>2796</v>
      </c>
      <c r="AE162" s="15" t="s">
        <v>2796</v>
      </c>
      <c r="AF162" s="15">
        <v>7.74</v>
      </c>
      <c r="AG162" s="15">
        <v>8.76</v>
      </c>
      <c r="AH162" s="15">
        <v>63.69</v>
      </c>
      <c r="AI162" s="18"/>
      <c r="AJ162" s="15" t="s">
        <v>2787</v>
      </c>
      <c r="AK162" s="15" t="s">
        <v>2787</v>
      </c>
      <c r="AL162" s="15">
        <v>600.0</v>
      </c>
      <c r="AM162" s="15">
        <v>605.0</v>
      </c>
      <c r="AN162" s="15" t="s">
        <v>2797</v>
      </c>
      <c r="AO162" s="18"/>
      <c r="AP162" s="18"/>
      <c r="AQ162" s="15" t="s">
        <v>5282</v>
      </c>
      <c r="AR162" s="15" t="s">
        <v>6748</v>
      </c>
      <c r="AS162" s="15" t="s">
        <v>6749</v>
      </c>
      <c r="AT162" s="18"/>
      <c r="AU162" s="18"/>
      <c r="AV162" s="15" t="s">
        <v>6750</v>
      </c>
      <c r="AW162" s="15" t="s">
        <v>6751</v>
      </c>
      <c r="AX162" s="18"/>
      <c r="AY162" s="15" t="s">
        <v>6752</v>
      </c>
      <c r="AZ162" s="15" t="s">
        <v>5287</v>
      </c>
      <c r="BA162" s="15" t="s">
        <v>6753</v>
      </c>
      <c r="BB162" s="15" t="s">
        <v>6754</v>
      </c>
      <c r="BC162" s="15" t="s">
        <v>5604</v>
      </c>
      <c r="BD162" s="15" t="s">
        <v>2842</v>
      </c>
      <c r="BE162" s="15" t="s">
        <v>2796</v>
      </c>
      <c r="BF162" s="18"/>
      <c r="BG162" s="15" t="s">
        <v>6755</v>
      </c>
      <c r="BH162" s="15" t="s">
        <v>6756</v>
      </c>
      <c r="BI162" s="15" t="s">
        <v>6757</v>
      </c>
      <c r="BJ162" s="19" t="s">
        <v>6758</v>
      </c>
      <c r="BK162" s="19" t="s">
        <v>6759</v>
      </c>
      <c r="BL162" s="19" t="s">
        <v>6760</v>
      </c>
      <c r="BM162" s="19" t="s">
        <v>6761</v>
      </c>
      <c r="BN162" s="19" t="s">
        <v>6762</v>
      </c>
      <c r="BO162" s="19" t="s">
        <v>6763</v>
      </c>
      <c r="BP162" s="19" t="s">
        <v>6764</v>
      </c>
      <c r="BQ162" s="15" t="s">
        <v>364</v>
      </c>
      <c r="BR162" s="26"/>
      <c r="BS162" s="26"/>
      <c r="BT162" s="26"/>
      <c r="BU162" s="26"/>
      <c r="BV162" s="26"/>
      <c r="BW162" s="26"/>
      <c r="BX162" s="26"/>
      <c r="BY162" s="18" t="str">
        <f t="shared" si="102"/>
        <v>COMP</v>
      </c>
      <c r="BZ162" s="24" t="str">
        <f t="shared" si="100"/>
        <v>https://drive.google.com/open?id=1PH6asHSewYbGhcRev8jo0JG9tGGFklys</v>
      </c>
      <c r="CA162" s="24" t="str">
        <f t="shared" si="101"/>
        <v>https://drive.google.com/open?id=1lxVvzqhDZc9N5UblD9bX6nwyp2ji10aH</v>
      </c>
      <c r="CB162" s="15" t="s">
        <v>2821</v>
      </c>
      <c r="CC162" s="15" t="s">
        <v>2821</v>
      </c>
      <c r="CD162" s="25" t="s">
        <v>2797</v>
      </c>
      <c r="CE162" s="18"/>
      <c r="CF162" s="18"/>
      <c r="CG162" s="18"/>
    </row>
    <row r="163" ht="18.75" customHeight="1">
      <c r="A163" s="14">
        <v>44735.42194443287</v>
      </c>
      <c r="B163" s="15" t="s">
        <v>681</v>
      </c>
      <c r="C163" s="16" t="s">
        <v>6765</v>
      </c>
      <c r="D163" s="15" t="str">
        <f>IFERROR(__xludf.DUMMYFUNCTION("QUERY(TY_ALL_2023_Batch!$A$1:$E$824, ""SELECT E WHERE C='""&amp;B163&amp;""'"", 0)"),"COMP")</f>
        <v>COMP</v>
      </c>
      <c r="E163" s="15" t="s">
        <v>6766</v>
      </c>
      <c r="F163" s="15" t="s">
        <v>6767</v>
      </c>
      <c r="G163" s="15" t="s">
        <v>6768</v>
      </c>
      <c r="H163" s="15" t="s">
        <v>2785</v>
      </c>
      <c r="I163" s="17">
        <v>37164.0</v>
      </c>
      <c r="J163" s="15">
        <v>2019.0</v>
      </c>
      <c r="K163" s="15" t="s">
        <v>2786</v>
      </c>
      <c r="L163" s="15" t="s">
        <v>2787</v>
      </c>
      <c r="M163" s="18"/>
      <c r="N163" s="15" t="s">
        <v>6769</v>
      </c>
      <c r="O163" s="15" t="s">
        <v>681</v>
      </c>
      <c r="P163" s="19" t="s">
        <v>6770</v>
      </c>
      <c r="Q163" s="15">
        <v>9.307836267E9</v>
      </c>
      <c r="R163" s="15">
        <v>9.307836267E9</v>
      </c>
      <c r="S163" s="15">
        <v>7.218850667E9</v>
      </c>
      <c r="T163" s="15" t="s">
        <v>6767</v>
      </c>
      <c r="U163" s="15" t="s">
        <v>6771</v>
      </c>
      <c r="V163" s="15" t="s">
        <v>6772</v>
      </c>
      <c r="W163" s="15" t="s">
        <v>6773</v>
      </c>
      <c r="X163" s="15">
        <v>92.8</v>
      </c>
      <c r="Y163" s="15" t="s">
        <v>2795</v>
      </c>
      <c r="Z163" s="15">
        <v>9.33</v>
      </c>
      <c r="AA163" s="15">
        <v>9.14</v>
      </c>
      <c r="AB163" s="15" t="s">
        <v>2796</v>
      </c>
      <c r="AC163" s="15" t="s">
        <v>2796</v>
      </c>
      <c r="AD163" s="15" t="s">
        <v>2796</v>
      </c>
      <c r="AE163" s="15" t="s">
        <v>2796</v>
      </c>
      <c r="AF163" s="15">
        <v>8.26</v>
      </c>
      <c r="AG163" s="15">
        <v>7.62</v>
      </c>
      <c r="AH163" s="15">
        <v>85.2</v>
      </c>
      <c r="AI163" s="18"/>
      <c r="AJ163" s="15" t="s">
        <v>2787</v>
      </c>
      <c r="AK163" s="15" t="s">
        <v>2787</v>
      </c>
      <c r="AL163" s="15">
        <v>678.0</v>
      </c>
      <c r="AM163" s="15">
        <v>645.0</v>
      </c>
      <c r="AN163" s="15" t="s">
        <v>2797</v>
      </c>
      <c r="AO163" s="18"/>
      <c r="AP163" s="18"/>
      <c r="AQ163" s="15" t="s">
        <v>6774</v>
      </c>
      <c r="AR163" s="15" t="s">
        <v>6775</v>
      </c>
      <c r="AS163" s="15" t="s">
        <v>6776</v>
      </c>
      <c r="AT163" s="18"/>
      <c r="AU163" s="15" t="s">
        <v>6777</v>
      </c>
      <c r="AV163" s="15" t="s">
        <v>6778</v>
      </c>
      <c r="AW163" s="15" t="s">
        <v>6779</v>
      </c>
      <c r="AX163" s="18"/>
      <c r="AY163" s="15" t="s">
        <v>5602</v>
      </c>
      <c r="AZ163" s="15" t="s">
        <v>5287</v>
      </c>
      <c r="BA163" s="15" t="s">
        <v>6122</v>
      </c>
      <c r="BB163" s="15" t="s">
        <v>5523</v>
      </c>
      <c r="BC163" s="15" t="s">
        <v>6780</v>
      </c>
      <c r="BD163" s="15" t="s">
        <v>2807</v>
      </c>
      <c r="BE163" s="15" t="s">
        <v>6781</v>
      </c>
      <c r="BF163" s="15" t="s">
        <v>6782</v>
      </c>
      <c r="BG163" s="18"/>
      <c r="BH163" s="15" t="s">
        <v>6783</v>
      </c>
      <c r="BI163" s="15" t="s">
        <v>6784</v>
      </c>
      <c r="BJ163" s="19" t="s">
        <v>6785</v>
      </c>
      <c r="BK163" s="19" t="s">
        <v>6786</v>
      </c>
      <c r="BL163" s="19" t="s">
        <v>6787</v>
      </c>
      <c r="BM163" s="19" t="s">
        <v>6788</v>
      </c>
      <c r="BN163" s="19" t="s">
        <v>6789</v>
      </c>
      <c r="BO163" s="19" t="s">
        <v>6790</v>
      </c>
      <c r="BP163" s="19" t="s">
        <v>6791</v>
      </c>
      <c r="BQ163" s="15" t="s">
        <v>364</v>
      </c>
      <c r="BR163" s="26"/>
      <c r="BS163" s="26"/>
      <c r="BT163" s="26"/>
      <c r="BU163" s="26"/>
      <c r="BV163" s="26"/>
      <c r="BW163" s="26"/>
      <c r="BX163" s="26"/>
      <c r="BY163" s="18" t="str">
        <f t="shared" si="102"/>
        <v>COMP</v>
      </c>
      <c r="BZ163" s="24" t="str">
        <f t="shared" si="100"/>
        <v>https://drive.google.com/open?id=1ybqGIOTYjMLZej8NEJqDcGigSZAKtDcm</v>
      </c>
      <c r="CA163" s="24" t="str">
        <f t="shared" si="101"/>
        <v>https://drive.google.com/open?id=1v1fWYJzMn6dQuAJciSTJ5f8XK7sDls4-</v>
      </c>
      <c r="CB163" s="15" t="s">
        <v>2821</v>
      </c>
      <c r="CC163" s="15" t="s">
        <v>2821</v>
      </c>
      <c r="CD163" s="25" t="s">
        <v>2797</v>
      </c>
      <c r="CE163" s="18"/>
      <c r="CF163" s="18"/>
      <c r="CG163" s="18"/>
    </row>
    <row r="164" ht="18.75" customHeight="1">
      <c r="A164" s="14">
        <v>44735.80316589121</v>
      </c>
      <c r="B164" s="15" t="s">
        <v>933</v>
      </c>
      <c r="C164" s="16" t="s">
        <v>6792</v>
      </c>
      <c r="D164" s="15" t="str">
        <f>IFERROR(__xludf.DUMMYFUNCTION("QUERY(TY_ALL_2023_Batch!$A$1:$E$824, ""SELECT E WHERE C='""&amp;B164&amp;""'"", 0)"),"COMP")</f>
        <v>COMP</v>
      </c>
      <c r="E164" s="15" t="s">
        <v>6793</v>
      </c>
      <c r="F164" s="15" t="s">
        <v>6794</v>
      </c>
      <c r="G164" s="15" t="s">
        <v>6795</v>
      </c>
      <c r="H164" s="15" t="s">
        <v>2785</v>
      </c>
      <c r="I164" s="17">
        <v>36752.0</v>
      </c>
      <c r="J164" s="15">
        <v>2019.0</v>
      </c>
      <c r="K164" s="15" t="s">
        <v>2786</v>
      </c>
      <c r="L164" s="15" t="s">
        <v>2787</v>
      </c>
      <c r="M164" s="18"/>
      <c r="N164" s="15" t="s">
        <v>6796</v>
      </c>
      <c r="O164" s="15" t="s">
        <v>933</v>
      </c>
      <c r="P164" s="19" t="s">
        <v>6797</v>
      </c>
      <c r="Q164" s="15">
        <v>7.7418047E9</v>
      </c>
      <c r="R164" s="15">
        <v>7.058786792E9</v>
      </c>
      <c r="S164" s="18"/>
      <c r="T164" s="15" t="s">
        <v>6798</v>
      </c>
      <c r="U164" s="15" t="s">
        <v>6799</v>
      </c>
      <c r="V164" s="15" t="s">
        <v>6800</v>
      </c>
      <c r="W164" s="15" t="s">
        <v>6801</v>
      </c>
      <c r="X164" s="15">
        <v>87.4</v>
      </c>
      <c r="Y164" s="15" t="s">
        <v>2795</v>
      </c>
      <c r="Z164" s="15">
        <v>8.38</v>
      </c>
      <c r="AA164" s="15">
        <v>7.38</v>
      </c>
      <c r="AB164" s="15" t="s">
        <v>2796</v>
      </c>
      <c r="AC164" s="15" t="s">
        <v>2796</v>
      </c>
      <c r="AD164" s="15" t="s">
        <v>2796</v>
      </c>
      <c r="AE164" s="15" t="s">
        <v>2796</v>
      </c>
      <c r="AF164" s="15">
        <v>6.58</v>
      </c>
      <c r="AG164" s="15">
        <v>8.57</v>
      </c>
      <c r="AH164" s="15">
        <v>75.54</v>
      </c>
      <c r="AI164" s="18"/>
      <c r="AJ164" s="15" t="s">
        <v>2787</v>
      </c>
      <c r="AK164" s="15" t="s">
        <v>2787</v>
      </c>
      <c r="AL164" s="15">
        <v>476.0</v>
      </c>
      <c r="AM164" s="15">
        <v>553.0</v>
      </c>
      <c r="AN164" s="15" t="s">
        <v>2797</v>
      </c>
      <c r="AO164" s="18"/>
      <c r="AP164" s="18"/>
      <c r="AQ164" s="15" t="s">
        <v>6802</v>
      </c>
      <c r="AR164" s="18"/>
      <c r="AS164" s="18"/>
      <c r="AT164" s="18"/>
      <c r="AU164" s="18"/>
      <c r="AV164" s="15" t="s">
        <v>6803</v>
      </c>
      <c r="AW164" s="15" t="s">
        <v>6804</v>
      </c>
      <c r="AX164" s="18"/>
      <c r="AY164" s="15" t="s">
        <v>6805</v>
      </c>
      <c r="AZ164" s="15" t="s">
        <v>5625</v>
      </c>
      <c r="BA164" s="15" t="s">
        <v>6806</v>
      </c>
      <c r="BB164" s="15" t="s">
        <v>6807</v>
      </c>
      <c r="BC164" s="15" t="s">
        <v>3686</v>
      </c>
      <c r="BD164" s="15" t="s">
        <v>2807</v>
      </c>
      <c r="BE164" s="15" t="s">
        <v>2796</v>
      </c>
      <c r="BF164" s="18"/>
      <c r="BG164" s="18"/>
      <c r="BH164" s="18"/>
      <c r="BI164" s="15" t="s">
        <v>6808</v>
      </c>
      <c r="BJ164" s="19" t="s">
        <v>6809</v>
      </c>
      <c r="BK164" s="19" t="s">
        <v>6810</v>
      </c>
      <c r="BL164" s="18"/>
      <c r="BM164" s="19" t="s">
        <v>6811</v>
      </c>
      <c r="BN164" s="19" t="s">
        <v>6812</v>
      </c>
      <c r="BO164" s="19" t="s">
        <v>6813</v>
      </c>
      <c r="BP164" s="18"/>
      <c r="BQ164" s="15" t="s">
        <v>364</v>
      </c>
      <c r="BR164" s="26"/>
      <c r="BS164" s="26"/>
      <c r="BT164" s="26"/>
      <c r="BU164" s="26"/>
      <c r="BV164" s="26"/>
      <c r="BW164" s="26"/>
      <c r="BX164" s="26"/>
      <c r="BY164" s="18" t="str">
        <f t="shared" si="102"/>
        <v>COMP</v>
      </c>
      <c r="BZ164" s="18" t="str">
        <f t="shared" si="100"/>
        <v/>
      </c>
      <c r="CA164" s="24" t="str">
        <f t="shared" si="101"/>
        <v>https://drive.google.com/open?id=1CtburNCNrj5DYLJUg-b1Jutcic9arYnx</v>
      </c>
      <c r="CB164" s="15" t="s">
        <v>2908</v>
      </c>
      <c r="CC164" s="15" t="s">
        <v>2821</v>
      </c>
      <c r="CD164" s="25" t="s">
        <v>2797</v>
      </c>
      <c r="CE164" s="18"/>
      <c r="CF164" s="18"/>
      <c r="CG164" s="18"/>
    </row>
    <row r="165" ht="18.75" customHeight="1">
      <c r="A165" s="14">
        <v>44742.849993449076</v>
      </c>
      <c r="B165" s="15" t="s">
        <v>843</v>
      </c>
      <c r="C165" s="16" t="s">
        <v>6814</v>
      </c>
      <c r="D165" s="15" t="str">
        <f>IFERROR(__xludf.DUMMYFUNCTION("QUERY(TY_ALL_2023_Batch!$A$1:$E$824, ""SELECT E WHERE C='""&amp;B165&amp;""'"", 0)"),"COMP")</f>
        <v>COMP</v>
      </c>
      <c r="E165" s="15" t="s">
        <v>6815</v>
      </c>
      <c r="F165" s="15" t="s">
        <v>6816</v>
      </c>
      <c r="G165" s="15" t="s">
        <v>6817</v>
      </c>
      <c r="H165" s="15" t="s">
        <v>2785</v>
      </c>
      <c r="I165" s="17">
        <v>37013.0</v>
      </c>
      <c r="J165" s="15">
        <v>2019.0</v>
      </c>
      <c r="K165" s="15" t="s">
        <v>2786</v>
      </c>
      <c r="L165" s="15" t="s">
        <v>2787</v>
      </c>
      <c r="M165" s="18"/>
      <c r="N165" s="15" t="s">
        <v>6818</v>
      </c>
      <c r="O165" s="15" t="s">
        <v>843</v>
      </c>
      <c r="P165" s="19" t="s">
        <v>6819</v>
      </c>
      <c r="Q165" s="15">
        <v>7.796845665E9</v>
      </c>
      <c r="R165" s="15">
        <v>7.796845665E9</v>
      </c>
      <c r="S165" s="15">
        <v>9.579287737E9</v>
      </c>
      <c r="T165" s="15" t="s">
        <v>6820</v>
      </c>
      <c r="U165" s="15" t="s">
        <v>6821</v>
      </c>
      <c r="V165" s="15" t="s">
        <v>6822</v>
      </c>
      <c r="W165" s="15" t="s">
        <v>6823</v>
      </c>
      <c r="X165" s="15">
        <v>93.4</v>
      </c>
      <c r="Y165" s="15" t="s">
        <v>2795</v>
      </c>
      <c r="Z165" s="15">
        <v>8.66</v>
      </c>
      <c r="AA165" s="15">
        <v>8.43</v>
      </c>
      <c r="AB165" s="15" t="s">
        <v>2796</v>
      </c>
      <c r="AC165" s="15" t="s">
        <v>2796</v>
      </c>
      <c r="AD165" s="15" t="s">
        <v>2796</v>
      </c>
      <c r="AE165" s="15" t="s">
        <v>2796</v>
      </c>
      <c r="AF165" s="15">
        <v>9.14</v>
      </c>
      <c r="AG165" s="15">
        <v>8.37</v>
      </c>
      <c r="AH165" s="15">
        <v>89.6</v>
      </c>
      <c r="AI165" s="18"/>
      <c r="AJ165" s="15" t="s">
        <v>2787</v>
      </c>
      <c r="AK165" s="15" t="s">
        <v>2787</v>
      </c>
      <c r="AL165" s="15">
        <v>695.0</v>
      </c>
      <c r="AM165" s="15">
        <v>655.0</v>
      </c>
      <c r="AN165" s="15" t="s">
        <v>2797</v>
      </c>
      <c r="AO165" s="18"/>
      <c r="AP165" s="18"/>
      <c r="AQ165" s="15" t="s">
        <v>5666</v>
      </c>
      <c r="AR165" s="18"/>
      <c r="AS165" s="15" t="s">
        <v>5415</v>
      </c>
      <c r="AT165" s="18"/>
      <c r="AU165" s="15" t="s">
        <v>6824</v>
      </c>
      <c r="AV165" s="15" t="s">
        <v>6825</v>
      </c>
      <c r="AW165" s="15" t="s">
        <v>6826</v>
      </c>
      <c r="AX165" s="15" t="s">
        <v>6827</v>
      </c>
      <c r="AY165" s="15" t="s">
        <v>6828</v>
      </c>
      <c r="AZ165" s="15" t="s">
        <v>5335</v>
      </c>
      <c r="BA165" s="15" t="s">
        <v>6829</v>
      </c>
      <c r="BB165" s="15" t="s">
        <v>6830</v>
      </c>
      <c r="BC165" s="15" t="s">
        <v>5577</v>
      </c>
      <c r="BD165" s="15" t="s">
        <v>2807</v>
      </c>
      <c r="BE165" s="15" t="s">
        <v>6831</v>
      </c>
      <c r="BF165" s="15" t="s">
        <v>6832</v>
      </c>
      <c r="BG165" s="18"/>
      <c r="BH165" s="18"/>
      <c r="BI165" s="18"/>
      <c r="BJ165" s="19" t="s">
        <v>6833</v>
      </c>
      <c r="BK165" s="19" t="s">
        <v>6834</v>
      </c>
      <c r="BL165" s="19" t="s">
        <v>6835</v>
      </c>
      <c r="BM165" s="19" t="s">
        <v>6836</v>
      </c>
      <c r="BN165" s="19" t="s">
        <v>6837</v>
      </c>
      <c r="BO165" s="19" t="s">
        <v>6838</v>
      </c>
      <c r="BP165" s="19" t="s">
        <v>6839</v>
      </c>
      <c r="BQ165" s="15" t="s">
        <v>364</v>
      </c>
      <c r="BR165" s="19" t="s">
        <v>6840</v>
      </c>
      <c r="BS165" s="19" t="s">
        <v>6841</v>
      </c>
      <c r="BT165" s="19" t="s">
        <v>6842</v>
      </c>
      <c r="BU165" s="19" t="s">
        <v>6843</v>
      </c>
      <c r="BV165" s="19" t="s">
        <v>6844</v>
      </c>
      <c r="BW165" s="15" t="s">
        <v>6845</v>
      </c>
      <c r="BX165" s="26"/>
      <c r="BY165" s="18" t="str">
        <f t="shared" si="102"/>
        <v>COMP</v>
      </c>
      <c r="BZ165" s="24" t="str">
        <f t="shared" si="100"/>
        <v>https://drive.google.com/open?id=15EIjlBMwcNwk3gWlJCFLYlZws2oSWJKn</v>
      </c>
      <c r="CA165" s="24" t="str">
        <f t="shared" si="101"/>
        <v>https://drive.google.com/open?id=1fEF01vJ2h1y4GX_P0Vck4Hr5REEP52hE</v>
      </c>
      <c r="CB165" s="15" t="s">
        <v>2821</v>
      </c>
      <c r="CC165" s="15" t="s">
        <v>2821</v>
      </c>
      <c r="CD165" s="25" t="s">
        <v>2787</v>
      </c>
      <c r="CE165" s="18"/>
      <c r="CF165" s="18"/>
      <c r="CG165" s="18"/>
    </row>
    <row r="166" ht="18.75" customHeight="1">
      <c r="A166" s="14">
        <v>44734.617867824076</v>
      </c>
      <c r="B166" s="15" t="s">
        <v>822</v>
      </c>
      <c r="C166" s="16" t="s">
        <v>6846</v>
      </c>
      <c r="D166" s="15" t="str">
        <f>IFERROR(__xludf.DUMMYFUNCTION("QUERY(TY_ALL_2023_Batch!$A$1:$E$824, ""SELECT E WHERE C='""&amp;B166&amp;""'"", 0)"),"COMP")</f>
        <v>COMP</v>
      </c>
      <c r="E166" s="15" t="s">
        <v>2782</v>
      </c>
      <c r="F166" s="15" t="s">
        <v>6847</v>
      </c>
      <c r="G166" s="15" t="s">
        <v>6086</v>
      </c>
      <c r="H166" s="15" t="s">
        <v>2785</v>
      </c>
      <c r="I166" s="17">
        <v>37029.0</v>
      </c>
      <c r="J166" s="15">
        <v>2019.0</v>
      </c>
      <c r="K166" s="15" t="s">
        <v>2786</v>
      </c>
      <c r="L166" s="15" t="s">
        <v>2787</v>
      </c>
      <c r="M166" s="18"/>
      <c r="N166" s="15" t="s">
        <v>6848</v>
      </c>
      <c r="O166" s="15" t="s">
        <v>822</v>
      </c>
      <c r="P166" s="19" t="s">
        <v>6849</v>
      </c>
      <c r="Q166" s="15">
        <v>7.666965819E9</v>
      </c>
      <c r="R166" s="15">
        <v>7.666965819E9</v>
      </c>
      <c r="S166" s="18"/>
      <c r="T166" s="15" t="s">
        <v>6847</v>
      </c>
      <c r="U166" s="15" t="s">
        <v>6850</v>
      </c>
      <c r="V166" s="15" t="s">
        <v>6851</v>
      </c>
      <c r="W166" s="18"/>
      <c r="X166" s="15">
        <v>91.0</v>
      </c>
      <c r="Y166" s="15" t="s">
        <v>2795</v>
      </c>
      <c r="Z166" s="15">
        <v>9.29</v>
      </c>
      <c r="AA166" s="15">
        <v>8.62</v>
      </c>
      <c r="AB166" s="15" t="s">
        <v>2796</v>
      </c>
      <c r="AC166" s="15" t="s">
        <v>2796</v>
      </c>
      <c r="AD166" s="15" t="s">
        <v>2796</v>
      </c>
      <c r="AE166" s="15" t="s">
        <v>2796</v>
      </c>
      <c r="AF166" s="15">
        <v>8.32</v>
      </c>
      <c r="AG166" s="15">
        <v>8.62</v>
      </c>
      <c r="AH166" s="15">
        <v>77.08</v>
      </c>
      <c r="AI166" s="18"/>
      <c r="AJ166" s="15" t="s">
        <v>2787</v>
      </c>
      <c r="AK166" s="15" t="s">
        <v>2787</v>
      </c>
      <c r="AL166" s="15">
        <v>595.0</v>
      </c>
      <c r="AM166" s="15">
        <v>666.67</v>
      </c>
      <c r="AN166" s="15" t="s">
        <v>2797</v>
      </c>
      <c r="AO166" s="18"/>
      <c r="AP166" s="18"/>
      <c r="AQ166" s="15" t="s">
        <v>6852</v>
      </c>
      <c r="AR166" s="18"/>
      <c r="AS166" s="18"/>
      <c r="AT166" s="18"/>
      <c r="AU166" s="15" t="s">
        <v>6853</v>
      </c>
      <c r="AV166" s="15" t="s">
        <v>6854</v>
      </c>
      <c r="AW166" s="15" t="s">
        <v>6855</v>
      </c>
      <c r="AX166" s="18"/>
      <c r="AY166" s="15" t="s">
        <v>6856</v>
      </c>
      <c r="AZ166" s="15" t="s">
        <v>5625</v>
      </c>
      <c r="BA166" s="15" t="s">
        <v>2806</v>
      </c>
      <c r="BB166" s="15" t="s">
        <v>6857</v>
      </c>
      <c r="BC166" s="15" t="s">
        <v>3686</v>
      </c>
      <c r="BD166" s="15" t="s">
        <v>2807</v>
      </c>
      <c r="BE166" s="15" t="s">
        <v>6858</v>
      </c>
      <c r="BF166" s="18"/>
      <c r="BG166" s="18"/>
      <c r="BH166" s="18"/>
      <c r="BI166" s="15" t="s">
        <v>6859</v>
      </c>
      <c r="BJ166" s="19" t="s">
        <v>6860</v>
      </c>
      <c r="BK166" s="19" t="s">
        <v>6861</v>
      </c>
      <c r="BL166" s="19" t="s">
        <v>6862</v>
      </c>
      <c r="BM166" s="19" t="s">
        <v>6863</v>
      </c>
      <c r="BN166" s="20" t="s">
        <v>6864</v>
      </c>
      <c r="BO166" s="19" t="s">
        <v>6865</v>
      </c>
      <c r="BP166" s="19" t="s">
        <v>6866</v>
      </c>
      <c r="BQ166" s="15" t="s">
        <v>364</v>
      </c>
      <c r="BR166" s="26"/>
      <c r="BS166" s="26"/>
      <c r="BT166" s="26"/>
      <c r="BU166" s="26"/>
      <c r="BV166" s="26"/>
      <c r="BW166" s="26"/>
      <c r="BX166" s="26"/>
      <c r="BY166" s="18" t="str">
        <f t="shared" si="102"/>
        <v>COMP</v>
      </c>
      <c r="BZ166" s="24" t="str">
        <f t="shared" si="100"/>
        <v>https://drive.google.com/open?id=1EPVzzTUY4ymaySzjoHWaElfyNhgF9JK1</v>
      </c>
      <c r="CA166" s="24" t="str">
        <f t="shared" si="101"/>
        <v>https://drive.google.com/open?id=1rmy99AFBxPNHoW5yLEyX5l4FQpH3MeD6</v>
      </c>
      <c r="CB166" s="15" t="s">
        <v>2821</v>
      </c>
      <c r="CC166" s="15" t="s">
        <v>2821</v>
      </c>
      <c r="CD166" s="25" t="s">
        <v>2797</v>
      </c>
      <c r="CE166" s="18"/>
      <c r="CF166" s="18"/>
      <c r="CG166" s="18"/>
    </row>
    <row r="167" ht="18.75" customHeight="1">
      <c r="A167" s="14">
        <v>44736.40745172453</v>
      </c>
      <c r="B167" s="15" t="s">
        <v>693</v>
      </c>
      <c r="C167" s="16" t="s">
        <v>6867</v>
      </c>
      <c r="D167" s="15" t="str">
        <f>IFERROR(__xludf.DUMMYFUNCTION("QUERY(TY_ALL_2023_Batch!$A$1:$E$824, ""SELECT E WHERE C='""&amp;B167&amp;""'"", 0)"),"COMP")</f>
        <v>COMP</v>
      </c>
      <c r="E167" s="15" t="s">
        <v>6294</v>
      </c>
      <c r="F167" s="15" t="s">
        <v>6868</v>
      </c>
      <c r="G167" s="15" t="s">
        <v>6869</v>
      </c>
      <c r="H167" s="15" t="s">
        <v>2785</v>
      </c>
      <c r="I167" s="17">
        <v>37075.0</v>
      </c>
      <c r="J167" s="15">
        <v>2019.0</v>
      </c>
      <c r="K167" s="15" t="s">
        <v>2786</v>
      </c>
      <c r="L167" s="15" t="s">
        <v>2787</v>
      </c>
      <c r="M167" s="18"/>
      <c r="N167" s="15" t="s">
        <v>6870</v>
      </c>
      <c r="O167" s="15" t="s">
        <v>693</v>
      </c>
      <c r="P167" s="19" t="s">
        <v>6871</v>
      </c>
      <c r="Q167" s="15">
        <v>7.757045599E9</v>
      </c>
      <c r="R167" s="15">
        <v>7.757045599E9</v>
      </c>
      <c r="S167" s="15">
        <v>9.503012122E9</v>
      </c>
      <c r="T167" s="15" t="s">
        <v>6872</v>
      </c>
      <c r="U167" s="15" t="s">
        <v>6873</v>
      </c>
      <c r="V167" s="15" t="s">
        <v>6874</v>
      </c>
      <c r="W167" s="18"/>
      <c r="X167" s="15">
        <v>80.6</v>
      </c>
      <c r="Y167" s="15" t="s">
        <v>2795</v>
      </c>
      <c r="Z167" s="15">
        <v>9.8</v>
      </c>
      <c r="AA167" s="15">
        <v>8.95</v>
      </c>
      <c r="AB167" s="15" t="s">
        <v>2796</v>
      </c>
      <c r="AC167" s="15" t="s">
        <v>2796</v>
      </c>
      <c r="AD167" s="15" t="s">
        <v>2796</v>
      </c>
      <c r="AE167" s="15" t="s">
        <v>2796</v>
      </c>
      <c r="AF167" s="15">
        <v>8.37</v>
      </c>
      <c r="AG167" s="15">
        <v>8.67</v>
      </c>
      <c r="AH167" s="15">
        <v>72.92</v>
      </c>
      <c r="AI167" s="18"/>
      <c r="AJ167" s="15" t="s">
        <v>2787</v>
      </c>
      <c r="AK167" s="15" t="s">
        <v>2787</v>
      </c>
      <c r="AL167" s="15">
        <v>666.66</v>
      </c>
      <c r="AM167" s="15">
        <v>711.66</v>
      </c>
      <c r="AN167" s="15" t="s">
        <v>2797</v>
      </c>
      <c r="AO167" s="15" t="s">
        <v>2796</v>
      </c>
      <c r="AP167" s="15" t="s">
        <v>2796</v>
      </c>
      <c r="AQ167" s="15" t="s">
        <v>6875</v>
      </c>
      <c r="AR167" s="15" t="s">
        <v>6876</v>
      </c>
      <c r="AS167" s="15" t="s">
        <v>6877</v>
      </c>
      <c r="AT167" s="18"/>
      <c r="AU167" s="15" t="s">
        <v>2796</v>
      </c>
      <c r="AV167" s="15" t="s">
        <v>6878</v>
      </c>
      <c r="AW167" s="15" t="s">
        <v>6879</v>
      </c>
      <c r="AX167" s="18"/>
      <c r="AY167" s="15" t="s">
        <v>6880</v>
      </c>
      <c r="AZ167" s="15" t="s">
        <v>5335</v>
      </c>
      <c r="BA167" s="15" t="s">
        <v>5552</v>
      </c>
      <c r="BB167" s="15" t="s">
        <v>5626</v>
      </c>
      <c r="BC167" s="15" t="s">
        <v>3686</v>
      </c>
      <c r="BD167" s="15" t="s">
        <v>3393</v>
      </c>
      <c r="BE167" s="15" t="s">
        <v>6881</v>
      </c>
      <c r="BF167" s="18"/>
      <c r="BG167" s="18"/>
      <c r="BH167" s="18"/>
      <c r="BI167" s="15" t="s">
        <v>6882</v>
      </c>
      <c r="BJ167" s="19" t="s">
        <v>6883</v>
      </c>
      <c r="BK167" s="19" t="s">
        <v>6884</v>
      </c>
      <c r="BL167" s="19" t="s">
        <v>6885</v>
      </c>
      <c r="BM167" s="19" t="s">
        <v>6886</v>
      </c>
      <c r="BN167" s="19" t="s">
        <v>6887</v>
      </c>
      <c r="BO167" s="19" t="s">
        <v>6888</v>
      </c>
      <c r="BP167" s="18"/>
      <c r="BQ167" s="15" t="s">
        <v>364</v>
      </c>
      <c r="BR167" s="26"/>
      <c r="BS167" s="26"/>
      <c r="BT167" s="26"/>
      <c r="BU167" s="26"/>
      <c r="BV167" s="26"/>
      <c r="BW167" s="26"/>
      <c r="BX167" s="26"/>
      <c r="BY167" s="18" t="str">
        <f t="shared" si="102"/>
        <v>COMP</v>
      </c>
      <c r="BZ167" s="24" t="str">
        <f t="shared" si="100"/>
        <v>https://drive.google.com/open?id=1wl5nKZKqgZy7j92PjpqvAR9_2iw9ZPcr</v>
      </c>
      <c r="CA167" s="24" t="str">
        <f t="shared" si="101"/>
        <v>https://drive.google.com/open?id=1NgQlzdaKCFK7_Yva-CPFmKMvqK14aVKO</v>
      </c>
      <c r="CB167" s="15" t="s">
        <v>2821</v>
      </c>
      <c r="CC167" s="15" t="s">
        <v>2821</v>
      </c>
      <c r="CD167" s="25" t="s">
        <v>2797</v>
      </c>
      <c r="CE167" s="18"/>
      <c r="CF167" s="18"/>
      <c r="CG167" s="18"/>
    </row>
    <row r="168" ht="18.75" customHeight="1">
      <c r="A168" s="14">
        <v>44736.47785688657</v>
      </c>
      <c r="B168" s="15" t="s">
        <v>918</v>
      </c>
      <c r="C168" s="16" t="s">
        <v>6889</v>
      </c>
      <c r="D168" s="15" t="str">
        <f>IFERROR(__xludf.DUMMYFUNCTION("QUERY(TY_ALL_2023_Batch!$A$1:$E$824, ""SELECT E WHERE C='""&amp;B168&amp;""'"", 0)"),"COMP")</f>
        <v>COMP</v>
      </c>
      <c r="E168" s="15" t="s">
        <v>6890</v>
      </c>
      <c r="F168" s="15" t="s">
        <v>6891</v>
      </c>
      <c r="G168" s="15" t="s">
        <v>6892</v>
      </c>
      <c r="H168" s="15" t="s">
        <v>2785</v>
      </c>
      <c r="I168" s="17">
        <v>36983.0</v>
      </c>
      <c r="J168" s="15">
        <v>2019.0</v>
      </c>
      <c r="K168" s="15" t="s">
        <v>2786</v>
      </c>
      <c r="L168" s="15" t="s">
        <v>2787</v>
      </c>
      <c r="M168" s="18"/>
      <c r="N168" s="15" t="s">
        <v>6893</v>
      </c>
      <c r="O168" s="15" t="s">
        <v>6894</v>
      </c>
      <c r="P168" s="19" t="s">
        <v>6895</v>
      </c>
      <c r="Q168" s="15">
        <v>9.156672819E9</v>
      </c>
      <c r="R168" s="15">
        <v>7.038686953E9</v>
      </c>
      <c r="S168" s="18"/>
      <c r="T168" s="15" t="s">
        <v>6896</v>
      </c>
      <c r="U168" s="15" t="s">
        <v>6897</v>
      </c>
      <c r="V168" s="15" t="s">
        <v>6898</v>
      </c>
      <c r="W168" s="18"/>
      <c r="X168" s="15">
        <v>85.8</v>
      </c>
      <c r="Y168" s="15" t="s">
        <v>2795</v>
      </c>
      <c r="Z168" s="15">
        <v>8.81</v>
      </c>
      <c r="AA168" s="15">
        <v>8.0</v>
      </c>
      <c r="AB168" s="15" t="s">
        <v>2796</v>
      </c>
      <c r="AC168" s="15" t="s">
        <v>2796</v>
      </c>
      <c r="AD168" s="15" t="s">
        <v>2796</v>
      </c>
      <c r="AE168" s="15" t="s">
        <v>2796</v>
      </c>
      <c r="AF168" s="15">
        <v>8.26</v>
      </c>
      <c r="AG168" s="15">
        <v>7.24</v>
      </c>
      <c r="AH168" s="15">
        <v>69.54</v>
      </c>
      <c r="AI168" s="18"/>
      <c r="AJ168" s="15" t="s">
        <v>2787</v>
      </c>
      <c r="AK168" s="15" t="s">
        <v>2787</v>
      </c>
      <c r="AL168" s="15">
        <v>628.33</v>
      </c>
      <c r="AM168" s="15">
        <v>511.66</v>
      </c>
      <c r="AN168" s="15" t="s">
        <v>2797</v>
      </c>
      <c r="AO168" s="15" t="s">
        <v>2796</v>
      </c>
      <c r="AP168" s="15" t="s">
        <v>2796</v>
      </c>
      <c r="AQ168" s="15" t="s">
        <v>5356</v>
      </c>
      <c r="AR168" s="15" t="s">
        <v>6899</v>
      </c>
      <c r="AS168" s="15" t="s">
        <v>6900</v>
      </c>
      <c r="AT168" s="15" t="s">
        <v>6901</v>
      </c>
      <c r="AU168" s="15" t="s">
        <v>2796</v>
      </c>
      <c r="AV168" s="15" t="s">
        <v>2796</v>
      </c>
      <c r="AW168" s="15" t="s">
        <v>6902</v>
      </c>
      <c r="AX168" s="18"/>
      <c r="AY168" s="15" t="s">
        <v>6903</v>
      </c>
      <c r="AZ168" s="15" t="s">
        <v>5335</v>
      </c>
      <c r="BA168" s="15" t="s">
        <v>2806</v>
      </c>
      <c r="BB168" s="15" t="s">
        <v>3514</v>
      </c>
      <c r="BC168" s="15" t="s">
        <v>3893</v>
      </c>
      <c r="BD168" s="15" t="s">
        <v>2807</v>
      </c>
      <c r="BE168" s="15" t="s">
        <v>6904</v>
      </c>
      <c r="BF168" s="15" t="s">
        <v>2796</v>
      </c>
      <c r="BG168" s="18"/>
      <c r="BH168" s="18"/>
      <c r="BI168" s="18"/>
      <c r="BJ168" s="19" t="s">
        <v>6905</v>
      </c>
      <c r="BK168" s="19" t="s">
        <v>6906</v>
      </c>
      <c r="BL168" s="19" t="s">
        <v>6907</v>
      </c>
      <c r="BM168" s="19" t="s">
        <v>6908</v>
      </c>
      <c r="BN168" s="19" t="s">
        <v>6909</v>
      </c>
      <c r="BO168" s="19" t="s">
        <v>6910</v>
      </c>
      <c r="BP168" s="18"/>
      <c r="BQ168" s="15" t="s">
        <v>364</v>
      </c>
      <c r="BR168" s="26"/>
      <c r="BS168" s="26"/>
      <c r="BT168" s="26"/>
      <c r="BU168" s="26"/>
      <c r="BV168" s="26"/>
      <c r="BW168" s="26"/>
      <c r="BX168" s="26"/>
      <c r="BY168" s="18" t="str">
        <f t="shared" si="102"/>
        <v>COMP</v>
      </c>
      <c r="BZ168" s="24" t="str">
        <f t="shared" si="100"/>
        <v>https://drive.google.com/open?id=1pOMB-jURA7WaQP7_PnlDLkOVHiiLTtH8</v>
      </c>
      <c r="CA168" s="24" t="str">
        <f t="shared" si="101"/>
        <v>https://drive.google.com/open?id=1Rt1y9iJDz4en1ju8eDionK7KXjo2HMjf</v>
      </c>
      <c r="CB168" s="15" t="s">
        <v>2821</v>
      </c>
      <c r="CC168" s="15" t="s">
        <v>2821</v>
      </c>
      <c r="CD168" s="25" t="s">
        <v>2797</v>
      </c>
      <c r="CE168" s="18"/>
      <c r="CF168" s="18"/>
      <c r="CG168" s="18"/>
    </row>
    <row r="169" ht="18.75" customHeight="1">
      <c r="A169" s="14">
        <v>44734.9812568287</v>
      </c>
      <c r="B169" s="15" t="s">
        <v>825</v>
      </c>
      <c r="C169" s="16" t="s">
        <v>6911</v>
      </c>
      <c r="D169" s="15" t="str">
        <f>IFERROR(__xludf.DUMMYFUNCTION("QUERY(TY_ALL_2023_Batch!$A$1:$E$824, ""SELECT E WHERE C='""&amp;B169&amp;""'"", 0)"),"COMP")</f>
        <v>COMP</v>
      </c>
      <c r="E169" s="15" t="s">
        <v>6912</v>
      </c>
      <c r="F169" s="15" t="s">
        <v>6913</v>
      </c>
      <c r="G169" s="15" t="s">
        <v>6914</v>
      </c>
      <c r="H169" s="15" t="s">
        <v>2785</v>
      </c>
      <c r="I169" s="17">
        <v>37201.0</v>
      </c>
      <c r="J169" s="15">
        <v>2019.0</v>
      </c>
      <c r="K169" s="15" t="s">
        <v>2786</v>
      </c>
      <c r="L169" s="15" t="s">
        <v>2787</v>
      </c>
      <c r="M169" s="18"/>
      <c r="N169" s="15" t="s">
        <v>6915</v>
      </c>
      <c r="O169" s="15" t="s">
        <v>825</v>
      </c>
      <c r="P169" s="19" t="s">
        <v>6916</v>
      </c>
      <c r="Q169" s="15">
        <v>9.89061165E9</v>
      </c>
      <c r="R169" s="15">
        <v>7.350435214E9</v>
      </c>
      <c r="S169" s="15">
        <v>9.89061165E9</v>
      </c>
      <c r="T169" s="15" t="s">
        <v>6917</v>
      </c>
      <c r="U169" s="15" t="s">
        <v>6918</v>
      </c>
      <c r="V169" s="15" t="s">
        <v>6919</v>
      </c>
      <c r="W169" s="15" t="s">
        <v>6920</v>
      </c>
      <c r="X169" s="15">
        <v>97.0</v>
      </c>
      <c r="Y169" s="15" t="s">
        <v>2795</v>
      </c>
      <c r="Z169" s="15">
        <v>8.86</v>
      </c>
      <c r="AA169" s="15">
        <v>8.19</v>
      </c>
      <c r="AB169" s="15" t="s">
        <v>2796</v>
      </c>
      <c r="AC169" s="15" t="s">
        <v>2796</v>
      </c>
      <c r="AD169" s="15" t="s">
        <v>2796</v>
      </c>
      <c r="AE169" s="15" t="s">
        <v>2796</v>
      </c>
      <c r="AF169" s="15">
        <v>7.68</v>
      </c>
      <c r="AG169" s="15">
        <v>8.38</v>
      </c>
      <c r="AH169" s="15">
        <v>77.0</v>
      </c>
      <c r="AI169" s="18"/>
      <c r="AJ169" s="15" t="s">
        <v>2787</v>
      </c>
      <c r="AK169" s="15" t="s">
        <v>2787</v>
      </c>
      <c r="AL169" s="15">
        <v>552.0</v>
      </c>
      <c r="AM169" s="15">
        <v>663.0</v>
      </c>
      <c r="AN169" s="15" t="s">
        <v>2787</v>
      </c>
      <c r="AO169" s="15" t="s">
        <v>2797</v>
      </c>
      <c r="AP169" s="15" t="s">
        <v>6921</v>
      </c>
      <c r="AQ169" s="15" t="s">
        <v>5254</v>
      </c>
      <c r="AR169" s="15" t="s">
        <v>6922</v>
      </c>
      <c r="AS169" s="18"/>
      <c r="AT169" s="15"/>
      <c r="AU169" s="15" t="s">
        <v>6923</v>
      </c>
      <c r="AV169" s="15" t="s">
        <v>6924</v>
      </c>
      <c r="AW169" s="15" t="s">
        <v>78</v>
      </c>
      <c r="AX169" s="18"/>
      <c r="AY169" s="15" t="s">
        <v>6925</v>
      </c>
      <c r="AZ169" s="15" t="s">
        <v>5335</v>
      </c>
      <c r="BA169" s="15" t="s">
        <v>6926</v>
      </c>
      <c r="BB169" s="15" t="s">
        <v>6927</v>
      </c>
      <c r="BC169" s="15" t="s">
        <v>6928</v>
      </c>
      <c r="BD169" s="15" t="s">
        <v>2807</v>
      </c>
      <c r="BE169" s="15" t="s">
        <v>6929</v>
      </c>
      <c r="BF169" s="15" t="s">
        <v>2796</v>
      </c>
      <c r="BG169" s="15" t="s">
        <v>2796</v>
      </c>
      <c r="BH169" s="15" t="s">
        <v>2796</v>
      </c>
      <c r="BI169" s="15" t="s">
        <v>6930</v>
      </c>
      <c r="BJ169" s="19" t="s">
        <v>6931</v>
      </c>
      <c r="BK169" s="19" t="s">
        <v>6932</v>
      </c>
      <c r="BL169" s="19" t="s">
        <v>6933</v>
      </c>
      <c r="BM169" s="19" t="s">
        <v>6934</v>
      </c>
      <c r="BN169" s="19" t="s">
        <v>6935</v>
      </c>
      <c r="BO169" s="19" t="s">
        <v>6936</v>
      </c>
      <c r="BP169" s="19" t="s">
        <v>6937</v>
      </c>
      <c r="BQ169" s="15" t="s">
        <v>364</v>
      </c>
      <c r="BR169" s="26"/>
      <c r="BS169" s="26"/>
      <c r="BT169" s="26"/>
      <c r="BU169" s="26"/>
      <c r="BV169" s="26"/>
      <c r="BW169" s="26"/>
      <c r="BX169" s="26"/>
      <c r="BY169" s="18" t="str">
        <f t="shared" si="102"/>
        <v>COMP</v>
      </c>
      <c r="BZ169" s="24" t="str">
        <f t="shared" si="100"/>
        <v>https://drive.google.com/open?id=1ybt_7U_EgpgNXrqi0vmUycx57piMcFYI</v>
      </c>
      <c r="CA169" s="24" t="str">
        <f t="shared" si="101"/>
        <v>https://drive.google.com/open?id=1LzPWOHqvcMdQmDwnP57TQeZmnt2u3gtY</v>
      </c>
      <c r="CB169" s="15" t="s">
        <v>2821</v>
      </c>
      <c r="CC169" s="15" t="s">
        <v>2821</v>
      </c>
      <c r="CD169" s="25" t="s">
        <v>2797</v>
      </c>
      <c r="CE169" s="18"/>
      <c r="CF169" s="18"/>
      <c r="CG169" s="18"/>
    </row>
    <row r="170" ht="18.75" customHeight="1">
      <c r="A170" s="14">
        <v>44739.597241967596</v>
      </c>
      <c r="B170" s="15" t="s">
        <v>897</v>
      </c>
      <c r="C170" s="16" t="s">
        <v>6938</v>
      </c>
      <c r="D170" s="15" t="str">
        <f>IFERROR(__xludf.DUMMYFUNCTION("QUERY(TY_ALL_2023_Batch!$A$1:$E$824, ""SELECT E WHERE C='""&amp;B170&amp;""'"", 0)"),"COMP")</f>
        <v>COMP</v>
      </c>
      <c r="E170" s="15" t="s">
        <v>6939</v>
      </c>
      <c r="F170" s="15" t="s">
        <v>2939</v>
      </c>
      <c r="G170" s="15" t="s">
        <v>6940</v>
      </c>
      <c r="H170" s="15" t="s">
        <v>2826</v>
      </c>
      <c r="I170" s="17">
        <v>37371.0</v>
      </c>
      <c r="J170" s="15">
        <v>2019.0</v>
      </c>
      <c r="K170" s="15" t="s">
        <v>2786</v>
      </c>
      <c r="L170" s="15" t="s">
        <v>2787</v>
      </c>
      <c r="M170" s="18"/>
      <c r="N170" s="15" t="s">
        <v>6941</v>
      </c>
      <c r="O170" s="15" t="s">
        <v>897</v>
      </c>
      <c r="P170" s="19" t="s">
        <v>6942</v>
      </c>
      <c r="Q170" s="15">
        <v>7.758991877E9</v>
      </c>
      <c r="R170" s="15">
        <v>7.758991877E9</v>
      </c>
      <c r="S170" s="15">
        <v>7.709542476E9</v>
      </c>
      <c r="T170" s="15" t="s">
        <v>6943</v>
      </c>
      <c r="U170" s="15" t="s">
        <v>6944</v>
      </c>
      <c r="V170" s="15" t="s">
        <v>6945</v>
      </c>
      <c r="W170" s="18"/>
      <c r="X170" s="15">
        <v>95.2</v>
      </c>
      <c r="Y170" s="15" t="s">
        <v>2795</v>
      </c>
      <c r="Z170" s="15">
        <v>9.14</v>
      </c>
      <c r="AA170" s="15">
        <v>9.33</v>
      </c>
      <c r="AB170" s="15" t="s">
        <v>2796</v>
      </c>
      <c r="AC170" s="15" t="s">
        <v>2796</v>
      </c>
      <c r="AD170" s="15" t="s">
        <v>2796</v>
      </c>
      <c r="AE170" s="15" t="s">
        <v>2796</v>
      </c>
      <c r="AF170" s="15">
        <v>9.47</v>
      </c>
      <c r="AG170" s="15">
        <v>9.62</v>
      </c>
      <c r="AH170" s="15">
        <v>84.31</v>
      </c>
      <c r="AI170" s="18"/>
      <c r="AJ170" s="15" t="s">
        <v>2787</v>
      </c>
      <c r="AK170" s="15" t="s">
        <v>2787</v>
      </c>
      <c r="AL170" s="15">
        <v>633.0</v>
      </c>
      <c r="AM170" s="15">
        <v>668.0</v>
      </c>
      <c r="AN170" s="15" t="s">
        <v>2797</v>
      </c>
      <c r="AO170" s="15">
        <v>0.0</v>
      </c>
      <c r="AP170" s="15">
        <v>0.0</v>
      </c>
      <c r="AQ170" s="15" t="s">
        <v>5356</v>
      </c>
      <c r="AR170" s="15" t="s">
        <v>6946</v>
      </c>
      <c r="AS170" s="15" t="s">
        <v>6947</v>
      </c>
      <c r="AT170" s="15">
        <v>0.0</v>
      </c>
      <c r="AU170" s="15" t="s">
        <v>6948</v>
      </c>
      <c r="AV170" s="15" t="s">
        <v>6949</v>
      </c>
      <c r="AW170" s="15" t="s">
        <v>6950</v>
      </c>
      <c r="AX170" s="15" t="s">
        <v>6951</v>
      </c>
      <c r="AY170" s="15" t="s">
        <v>6952</v>
      </c>
      <c r="AZ170" s="15" t="s">
        <v>5335</v>
      </c>
      <c r="BA170" s="15" t="s">
        <v>6193</v>
      </c>
      <c r="BB170" s="15" t="s">
        <v>5626</v>
      </c>
      <c r="BC170" s="15" t="s">
        <v>5554</v>
      </c>
      <c r="BD170" s="15" t="s">
        <v>3393</v>
      </c>
      <c r="BE170" s="15" t="s">
        <v>6953</v>
      </c>
      <c r="BF170" s="15" t="s">
        <v>6951</v>
      </c>
      <c r="BG170" s="15" t="s">
        <v>6951</v>
      </c>
      <c r="BH170" s="15" t="s">
        <v>6954</v>
      </c>
      <c r="BI170" s="15" t="s">
        <v>6955</v>
      </c>
      <c r="BJ170" s="19" t="s">
        <v>6956</v>
      </c>
      <c r="BK170" s="19" t="s">
        <v>6957</v>
      </c>
      <c r="BL170" s="19" t="s">
        <v>6958</v>
      </c>
      <c r="BM170" s="19" t="s">
        <v>6959</v>
      </c>
      <c r="BN170" s="20" t="s">
        <v>6960</v>
      </c>
      <c r="BO170" s="19" t="s">
        <v>6961</v>
      </c>
      <c r="BP170" s="20" t="s">
        <v>6962</v>
      </c>
      <c r="BQ170" s="15" t="s">
        <v>364</v>
      </c>
      <c r="BR170" s="26"/>
      <c r="BS170" s="26"/>
      <c r="BT170" s="19" t="s">
        <v>6963</v>
      </c>
      <c r="BU170" s="19" t="s">
        <v>6964</v>
      </c>
      <c r="BV170" s="26"/>
      <c r="BW170" s="15" t="s">
        <v>6965</v>
      </c>
      <c r="BX170" s="26"/>
      <c r="BY170" s="18" t="str">
        <f t="shared" si="102"/>
        <v>COMP</v>
      </c>
      <c r="BZ170" s="24" t="str">
        <f t="shared" si="100"/>
        <v>https://drive.google.com/open?id=1tRO4QbVHNbDcV8frp3JP7HwT2FfM8oOq</v>
      </c>
      <c r="CA170" s="24" t="str">
        <f t="shared" si="101"/>
        <v>https://drive.google.com/open?id=1YAznBikHIwxslRQEkQlEnLxHo1T7c_B7</v>
      </c>
      <c r="CB170" s="15" t="s">
        <v>2821</v>
      </c>
      <c r="CC170" s="15" t="s">
        <v>2821</v>
      </c>
      <c r="CD170" s="25" t="s">
        <v>2787</v>
      </c>
      <c r="CE170" s="18"/>
      <c r="CF170" s="18"/>
      <c r="CG170" s="18"/>
    </row>
    <row r="171" ht="18.75" customHeight="1">
      <c r="A171" s="14">
        <v>44749.78507041666</v>
      </c>
      <c r="B171" s="15" t="s">
        <v>675</v>
      </c>
      <c r="C171" s="16" t="s">
        <v>6966</v>
      </c>
      <c r="D171" s="15" t="str">
        <f>IFERROR(__xludf.DUMMYFUNCTION("QUERY(TY_ALL_2023_Batch!$A$1:$E$824, ""SELECT E WHERE C='""&amp;B171&amp;""'"", 0)"),"COMP")</f>
        <v>COMP</v>
      </c>
      <c r="E171" s="15" t="s">
        <v>6967</v>
      </c>
      <c r="F171" s="18"/>
      <c r="G171" s="15" t="s">
        <v>4418</v>
      </c>
      <c r="H171" s="15" t="s">
        <v>2785</v>
      </c>
      <c r="I171" s="17">
        <v>36502.0</v>
      </c>
      <c r="J171" s="15">
        <v>2019.0</v>
      </c>
      <c r="K171" s="15" t="s">
        <v>2786</v>
      </c>
      <c r="L171" s="15" t="s">
        <v>2787</v>
      </c>
      <c r="M171" s="18"/>
      <c r="N171" s="15" t="s">
        <v>6968</v>
      </c>
      <c r="O171" s="15" t="s">
        <v>675</v>
      </c>
      <c r="P171" s="19" t="s">
        <v>6969</v>
      </c>
      <c r="Q171" s="15">
        <v>8.080074787E9</v>
      </c>
      <c r="R171" s="15">
        <v>7.426827047E9</v>
      </c>
      <c r="S171" s="15">
        <v>7.426827047E9</v>
      </c>
      <c r="T171" s="15" t="s">
        <v>6970</v>
      </c>
      <c r="U171" s="15" t="s">
        <v>6971</v>
      </c>
      <c r="V171" s="15" t="s">
        <v>6972</v>
      </c>
      <c r="W171" s="15" t="s">
        <v>6973</v>
      </c>
      <c r="X171" s="15">
        <v>90.0</v>
      </c>
      <c r="Y171" s="15" t="s">
        <v>2795</v>
      </c>
      <c r="Z171" s="15">
        <v>9.67</v>
      </c>
      <c r="AA171" s="15">
        <v>9.33</v>
      </c>
      <c r="AB171" s="15" t="s">
        <v>2796</v>
      </c>
      <c r="AC171" s="15" t="s">
        <v>2796</v>
      </c>
      <c r="AD171" s="15" t="s">
        <v>2796</v>
      </c>
      <c r="AE171" s="15" t="s">
        <v>2796</v>
      </c>
      <c r="AF171" s="15">
        <v>9.58</v>
      </c>
      <c r="AG171" s="15">
        <v>9.19</v>
      </c>
      <c r="AH171" s="15">
        <v>81.0</v>
      </c>
      <c r="AI171" s="18"/>
      <c r="AJ171" s="15" t="s">
        <v>2787</v>
      </c>
      <c r="AK171" s="15" t="s">
        <v>2787</v>
      </c>
      <c r="AL171" s="15">
        <v>95.0</v>
      </c>
      <c r="AM171" s="15">
        <v>96.0</v>
      </c>
      <c r="AN171" s="15" t="s">
        <v>2797</v>
      </c>
      <c r="AO171" s="15" t="s">
        <v>2796</v>
      </c>
      <c r="AP171" s="15" t="s">
        <v>2796</v>
      </c>
      <c r="AQ171" s="15" t="s">
        <v>5356</v>
      </c>
      <c r="AR171" s="15" t="s">
        <v>6143</v>
      </c>
      <c r="AS171" s="15" t="s">
        <v>2796</v>
      </c>
      <c r="AT171" s="15" t="s">
        <v>2796</v>
      </c>
      <c r="AU171" s="15" t="s">
        <v>6974</v>
      </c>
      <c r="AV171" s="15" t="s">
        <v>6975</v>
      </c>
      <c r="AW171" s="15" t="s">
        <v>6976</v>
      </c>
      <c r="AX171" s="15" t="s">
        <v>2796</v>
      </c>
      <c r="AY171" s="15" t="s">
        <v>6977</v>
      </c>
      <c r="AZ171" s="15" t="s">
        <v>5335</v>
      </c>
      <c r="BA171" s="15" t="s">
        <v>6978</v>
      </c>
      <c r="BB171" s="15" t="s">
        <v>6979</v>
      </c>
      <c r="BC171" s="15" t="s">
        <v>6980</v>
      </c>
      <c r="BD171" s="15" t="s">
        <v>3393</v>
      </c>
      <c r="BE171" s="15" t="s">
        <v>6981</v>
      </c>
      <c r="BF171" s="15" t="s">
        <v>2796</v>
      </c>
      <c r="BG171" s="15" t="s">
        <v>2796</v>
      </c>
      <c r="BH171" s="15" t="s">
        <v>6982</v>
      </c>
      <c r="BI171" s="15" t="s">
        <v>6983</v>
      </c>
      <c r="BJ171" s="19" t="s">
        <v>6984</v>
      </c>
      <c r="BK171" s="19" t="s">
        <v>6985</v>
      </c>
      <c r="BL171" s="18"/>
      <c r="BM171" s="18"/>
      <c r="BN171" s="19" t="s">
        <v>6986</v>
      </c>
      <c r="BO171" s="19" t="s">
        <v>6987</v>
      </c>
      <c r="BP171" s="18"/>
      <c r="BQ171" s="15" t="s">
        <v>364</v>
      </c>
      <c r="BR171" s="26"/>
      <c r="BS171" s="26"/>
      <c r="BT171" s="26"/>
      <c r="BU171" s="26"/>
      <c r="BV171" s="26"/>
      <c r="BW171" s="15" t="s">
        <v>6988</v>
      </c>
      <c r="BX171" s="26"/>
      <c r="BY171" s="18" t="str">
        <f t="shared" si="102"/>
        <v>COMP</v>
      </c>
      <c r="BZ171" s="18" t="str">
        <f t="shared" si="100"/>
        <v/>
      </c>
      <c r="CA171" s="18" t="str">
        <f t="shared" si="101"/>
        <v/>
      </c>
      <c r="CB171" s="15" t="s">
        <v>4032</v>
      </c>
      <c r="CC171" s="15" t="s">
        <v>2908</v>
      </c>
      <c r="CD171" s="25" t="s">
        <v>2797</v>
      </c>
      <c r="CE171" s="18"/>
      <c r="CF171" s="18"/>
      <c r="CG171" s="18"/>
    </row>
    <row r="172" ht="18.75" customHeight="1">
      <c r="A172" s="14">
        <v>44735.483606064816</v>
      </c>
      <c r="B172" s="15" t="s">
        <v>570</v>
      </c>
      <c r="C172" s="16" t="s">
        <v>6989</v>
      </c>
      <c r="D172" s="15" t="str">
        <f>IFERROR(__xludf.DUMMYFUNCTION("QUERY(TY_ALL_2023_Batch!$A$1:$E$824, ""SELECT E WHERE C='""&amp;B172&amp;""'"", 0)"),"COMP")</f>
        <v>COMP</v>
      </c>
      <c r="E172" s="15" t="s">
        <v>6294</v>
      </c>
      <c r="F172" s="15" t="s">
        <v>3763</v>
      </c>
      <c r="G172" s="15" t="s">
        <v>6622</v>
      </c>
      <c r="H172" s="15" t="s">
        <v>2785</v>
      </c>
      <c r="I172" s="17">
        <v>37343.0</v>
      </c>
      <c r="J172" s="15">
        <v>2019.0</v>
      </c>
      <c r="K172" s="15" t="s">
        <v>2786</v>
      </c>
      <c r="L172" s="15" t="s">
        <v>2787</v>
      </c>
      <c r="M172" s="18"/>
      <c r="N172" s="15" t="s">
        <v>6990</v>
      </c>
      <c r="O172" s="15" t="s">
        <v>570</v>
      </c>
      <c r="P172" s="19" t="s">
        <v>6991</v>
      </c>
      <c r="Q172" s="15">
        <v>9.822945017E9</v>
      </c>
      <c r="R172" s="15">
        <v>9.822945017E9</v>
      </c>
      <c r="S172" s="15">
        <v>9.822945018E9</v>
      </c>
      <c r="T172" s="15" t="s">
        <v>3763</v>
      </c>
      <c r="U172" s="15" t="s">
        <v>4073</v>
      </c>
      <c r="V172" s="15" t="s">
        <v>6992</v>
      </c>
      <c r="W172" s="15" t="s">
        <v>6993</v>
      </c>
      <c r="X172" s="15">
        <v>91.2</v>
      </c>
      <c r="Y172" s="15" t="s">
        <v>2795</v>
      </c>
      <c r="Z172" s="15">
        <v>9.33</v>
      </c>
      <c r="AA172" s="15">
        <v>8.71</v>
      </c>
      <c r="AB172" s="15" t="s">
        <v>2796</v>
      </c>
      <c r="AC172" s="15" t="s">
        <v>2796</v>
      </c>
      <c r="AD172" s="15" t="s">
        <v>2796</v>
      </c>
      <c r="AE172" s="15" t="s">
        <v>2796</v>
      </c>
      <c r="AF172" s="15">
        <v>8.67</v>
      </c>
      <c r="AG172" s="15">
        <v>8.95</v>
      </c>
      <c r="AH172" s="15">
        <v>69.85</v>
      </c>
      <c r="AI172" s="18"/>
      <c r="AJ172" s="15" t="s">
        <v>2787</v>
      </c>
      <c r="AK172" s="15" t="s">
        <v>2787</v>
      </c>
      <c r="AL172" s="15">
        <v>1948.0</v>
      </c>
      <c r="AM172" s="15">
        <v>1925.0</v>
      </c>
      <c r="AN172" s="15" t="s">
        <v>2797</v>
      </c>
      <c r="AO172" s="18"/>
      <c r="AP172" s="18"/>
      <c r="AQ172" s="15" t="s">
        <v>5356</v>
      </c>
      <c r="AR172" s="15" t="s">
        <v>6994</v>
      </c>
      <c r="AS172" s="18"/>
      <c r="AT172" s="18"/>
      <c r="AU172" s="15" t="s">
        <v>6995</v>
      </c>
      <c r="AV172" s="15" t="s">
        <v>6996</v>
      </c>
      <c r="AW172" s="15" t="s">
        <v>6997</v>
      </c>
      <c r="AX172" s="18"/>
      <c r="AY172" s="15" t="s">
        <v>6998</v>
      </c>
      <c r="AZ172" s="15" t="s">
        <v>5287</v>
      </c>
      <c r="BA172" s="15" t="s">
        <v>6999</v>
      </c>
      <c r="BB172" s="15" t="s">
        <v>7000</v>
      </c>
      <c r="BC172" s="15" t="s">
        <v>3686</v>
      </c>
      <c r="BD172" s="15" t="s">
        <v>2807</v>
      </c>
      <c r="BE172" s="15" t="s">
        <v>7001</v>
      </c>
      <c r="BF172" s="18"/>
      <c r="BG172" s="18"/>
      <c r="BH172" s="15" t="s">
        <v>7002</v>
      </c>
      <c r="BI172" s="15" t="s">
        <v>7003</v>
      </c>
      <c r="BJ172" s="19" t="s">
        <v>7004</v>
      </c>
      <c r="BK172" s="19" t="s">
        <v>7005</v>
      </c>
      <c r="BL172" s="19" t="s">
        <v>7006</v>
      </c>
      <c r="BM172" s="19" t="s">
        <v>7007</v>
      </c>
      <c r="BN172" s="20" t="s">
        <v>7008</v>
      </c>
      <c r="BO172" s="19" t="s">
        <v>7009</v>
      </c>
      <c r="BP172" s="19" t="s">
        <v>7010</v>
      </c>
      <c r="BQ172" s="15" t="s">
        <v>364</v>
      </c>
      <c r="BR172" s="26"/>
      <c r="BS172" s="26"/>
      <c r="BT172" s="26"/>
      <c r="BU172" s="26"/>
      <c r="BV172" s="26"/>
      <c r="BW172" s="26"/>
      <c r="BX172" s="26"/>
      <c r="BY172" s="18" t="str">
        <f t="shared" si="102"/>
        <v>COMP</v>
      </c>
      <c r="BZ172" s="24" t="str">
        <f t="shared" si="100"/>
        <v>https://drive.google.com/open?id=1W1AED5nUKt4AQXsUEqZPpLcUIGTycSQz</v>
      </c>
      <c r="CA172" s="24" t="str">
        <f t="shared" si="101"/>
        <v>https://drive.google.com/open?id=1rv37TP8dqt5zt7euXRSi9mOzGNOWThdg</v>
      </c>
      <c r="CB172" s="15" t="s">
        <v>2821</v>
      </c>
      <c r="CC172" s="15" t="s">
        <v>2821</v>
      </c>
      <c r="CD172" s="25" t="s">
        <v>2797</v>
      </c>
      <c r="CE172" s="18"/>
      <c r="CF172" s="18"/>
      <c r="CG172" s="18"/>
    </row>
    <row r="173" ht="18.75" customHeight="1">
      <c r="A173" s="14">
        <v>44741.647840833335</v>
      </c>
      <c r="B173" s="15" t="s">
        <v>774</v>
      </c>
      <c r="C173" s="16" t="s">
        <v>7011</v>
      </c>
      <c r="D173" s="15" t="str">
        <f>IFERROR(__xludf.DUMMYFUNCTION("QUERY(TY_ALL_2023_Batch!$A$1:$E$824, ""SELECT E WHERE C='""&amp;B173&amp;""'"", 0)"),"COMP")</f>
        <v>COMP</v>
      </c>
      <c r="E173" s="15" t="s">
        <v>4298</v>
      </c>
      <c r="F173" s="15" t="s">
        <v>4133</v>
      </c>
      <c r="G173" s="15" t="s">
        <v>7012</v>
      </c>
      <c r="H173" s="15" t="s">
        <v>2785</v>
      </c>
      <c r="I173" s="17">
        <v>37249.0</v>
      </c>
      <c r="J173" s="15">
        <v>2019.0</v>
      </c>
      <c r="K173" s="15" t="s">
        <v>2786</v>
      </c>
      <c r="L173" s="15" t="s">
        <v>2787</v>
      </c>
      <c r="M173" s="18"/>
      <c r="N173" s="15" t="s">
        <v>7013</v>
      </c>
      <c r="O173" s="15" t="s">
        <v>774</v>
      </c>
      <c r="P173" s="19" t="s">
        <v>7014</v>
      </c>
      <c r="Q173" s="15">
        <v>9.30796925E9</v>
      </c>
      <c r="R173" s="15">
        <v>8.108509757E9</v>
      </c>
      <c r="S173" s="18"/>
      <c r="T173" s="15" t="s">
        <v>4133</v>
      </c>
      <c r="U173" s="15" t="s">
        <v>3885</v>
      </c>
      <c r="V173" s="15" t="s">
        <v>7015</v>
      </c>
      <c r="W173" s="18"/>
      <c r="X173" s="15">
        <v>91.6</v>
      </c>
      <c r="Y173" s="15" t="s">
        <v>2795</v>
      </c>
      <c r="Z173" s="15">
        <v>9.29</v>
      </c>
      <c r="AA173" s="15">
        <v>8.67</v>
      </c>
      <c r="AB173" s="15" t="s">
        <v>2796</v>
      </c>
      <c r="AC173" s="15" t="s">
        <v>2796</v>
      </c>
      <c r="AD173" s="15" t="s">
        <v>2796</v>
      </c>
      <c r="AE173" s="15" t="s">
        <v>2796</v>
      </c>
      <c r="AF173" s="15">
        <v>9.05</v>
      </c>
      <c r="AG173" s="15">
        <v>8.9</v>
      </c>
      <c r="AH173" s="15">
        <v>84.92</v>
      </c>
      <c r="AI173" s="18"/>
      <c r="AJ173" s="15" t="s">
        <v>2787</v>
      </c>
      <c r="AK173" s="15" t="s">
        <v>2787</v>
      </c>
      <c r="AL173" s="15">
        <v>634.0</v>
      </c>
      <c r="AM173" s="15">
        <v>548.0</v>
      </c>
      <c r="AN173" s="15" t="s">
        <v>2797</v>
      </c>
      <c r="AO173" s="18"/>
      <c r="AP173" s="18"/>
      <c r="AQ173" s="15" t="s">
        <v>7016</v>
      </c>
      <c r="AR173" s="18"/>
      <c r="AS173" s="15" t="s">
        <v>5415</v>
      </c>
      <c r="AT173" s="18"/>
      <c r="AU173" s="15" t="s">
        <v>7017</v>
      </c>
      <c r="AV173" s="15" t="s">
        <v>7018</v>
      </c>
      <c r="AW173" s="15" t="s">
        <v>7019</v>
      </c>
      <c r="AX173" s="18"/>
      <c r="AY173" s="15" t="s">
        <v>7020</v>
      </c>
      <c r="AZ173" s="15" t="s">
        <v>5260</v>
      </c>
      <c r="BA173" s="15" t="s">
        <v>6216</v>
      </c>
      <c r="BB173" s="15" t="s">
        <v>4554</v>
      </c>
      <c r="BC173" s="15" t="s">
        <v>4217</v>
      </c>
      <c r="BD173" s="15" t="s">
        <v>2807</v>
      </c>
      <c r="BE173" s="15" t="s">
        <v>7021</v>
      </c>
      <c r="BF173" s="18"/>
      <c r="BG173" s="18"/>
      <c r="BH173" s="18"/>
      <c r="BI173" s="15" t="s">
        <v>7022</v>
      </c>
      <c r="BJ173" s="19" t="s">
        <v>7023</v>
      </c>
      <c r="BK173" s="19" t="s">
        <v>7024</v>
      </c>
      <c r="BL173" s="19" t="s">
        <v>7025</v>
      </c>
      <c r="BM173" s="19" t="s">
        <v>7026</v>
      </c>
      <c r="BN173" s="19" t="s">
        <v>7027</v>
      </c>
      <c r="BO173" s="19" t="s">
        <v>7028</v>
      </c>
      <c r="BP173" s="19" t="s">
        <v>7029</v>
      </c>
      <c r="BQ173" s="15" t="s">
        <v>364</v>
      </c>
      <c r="BR173" s="26"/>
      <c r="BS173" s="26"/>
      <c r="BT173" s="19" t="s">
        <v>7030</v>
      </c>
      <c r="BU173" s="26"/>
      <c r="BV173" s="26"/>
      <c r="BW173" s="15" t="s">
        <v>7031</v>
      </c>
      <c r="BX173" s="26"/>
      <c r="BY173" s="18" t="str">
        <f t="shared" si="102"/>
        <v>COMP</v>
      </c>
      <c r="BZ173" s="24" t="str">
        <f t="shared" si="100"/>
        <v>https://drive.google.com/open?id=1K4rAcuD1VRdOURb4WojWnRBfcUBp_vFv</v>
      </c>
      <c r="CA173" s="24" t="str">
        <f t="shared" si="101"/>
        <v>https://drive.google.com/open?id=1lv2lDTgBfODvb6q0c7JJxK7EJXU8JJ-9</v>
      </c>
      <c r="CB173" s="15" t="s">
        <v>2821</v>
      </c>
      <c r="CC173" s="15" t="s">
        <v>2821</v>
      </c>
      <c r="CD173" s="25" t="s">
        <v>2787</v>
      </c>
      <c r="CE173" s="18"/>
      <c r="CF173" s="18"/>
      <c r="CG173" s="18"/>
    </row>
    <row r="174" ht="18.75" customHeight="1">
      <c r="A174" s="14">
        <v>44741.58843697917</v>
      </c>
      <c r="B174" s="15" t="s">
        <v>768</v>
      </c>
      <c r="C174" s="16" t="s">
        <v>7032</v>
      </c>
      <c r="D174" s="15" t="str">
        <f>IFERROR(__xludf.DUMMYFUNCTION("QUERY(TY_ALL_2023_Batch!$A$1:$E$824, ""SELECT E WHERE C='""&amp;B174&amp;""'"", 0)"),"COMP")</f>
        <v>COMP</v>
      </c>
      <c r="E174" s="15" t="s">
        <v>4447</v>
      </c>
      <c r="F174" s="15" t="s">
        <v>7033</v>
      </c>
      <c r="G174" s="15" t="s">
        <v>7034</v>
      </c>
      <c r="H174" s="15" t="s">
        <v>2785</v>
      </c>
      <c r="I174" s="17">
        <v>37195.0</v>
      </c>
      <c r="J174" s="15">
        <v>2019.0</v>
      </c>
      <c r="K174" s="15" t="s">
        <v>2786</v>
      </c>
      <c r="L174" s="15" t="s">
        <v>2787</v>
      </c>
      <c r="M174" s="18"/>
      <c r="N174" s="15" t="s">
        <v>7035</v>
      </c>
      <c r="O174" s="15" t="s">
        <v>768</v>
      </c>
      <c r="P174" s="19" t="s">
        <v>7036</v>
      </c>
      <c r="Q174" s="15">
        <v>9.607704644E9</v>
      </c>
      <c r="R174" s="15">
        <v>9.607704644E9</v>
      </c>
      <c r="S174" s="15">
        <v>7.774033145E9</v>
      </c>
      <c r="T174" s="15" t="s">
        <v>7033</v>
      </c>
      <c r="U174" s="15" t="s">
        <v>4073</v>
      </c>
      <c r="V174" s="15" t="s">
        <v>7037</v>
      </c>
      <c r="W174" s="18"/>
      <c r="X174" s="15">
        <v>91.4</v>
      </c>
      <c r="Y174" s="15" t="s">
        <v>2795</v>
      </c>
      <c r="Z174" s="15">
        <v>9.86</v>
      </c>
      <c r="AA174" s="15">
        <v>9.33</v>
      </c>
      <c r="AB174" s="15" t="s">
        <v>2796</v>
      </c>
      <c r="AC174" s="15" t="s">
        <v>2796</v>
      </c>
      <c r="AD174" s="15" t="s">
        <v>2796</v>
      </c>
      <c r="AE174" s="15" t="s">
        <v>2796</v>
      </c>
      <c r="AF174" s="15">
        <v>9.05</v>
      </c>
      <c r="AG174" s="15">
        <v>9.52</v>
      </c>
      <c r="AH174" s="15">
        <v>80.62</v>
      </c>
      <c r="AI174" s="18"/>
      <c r="AJ174" s="15" t="s">
        <v>2787</v>
      </c>
      <c r="AK174" s="15" t="s">
        <v>2787</v>
      </c>
      <c r="AL174" s="18"/>
      <c r="AM174" s="18"/>
      <c r="AN174" s="15" t="s">
        <v>2797</v>
      </c>
      <c r="AO174" s="18"/>
      <c r="AP174" s="18"/>
      <c r="AQ174" s="15" t="s">
        <v>7038</v>
      </c>
      <c r="AR174" s="15" t="s">
        <v>7039</v>
      </c>
      <c r="AS174" s="15" t="s">
        <v>7040</v>
      </c>
      <c r="AT174" s="18"/>
      <c r="AU174" s="18"/>
      <c r="AV174" s="15" t="s">
        <v>7041</v>
      </c>
      <c r="AW174" s="15" t="s">
        <v>7042</v>
      </c>
      <c r="AX174" s="15" t="s">
        <v>7042</v>
      </c>
      <c r="AY174" s="15" t="s">
        <v>7043</v>
      </c>
      <c r="AZ174" s="15" t="s">
        <v>5625</v>
      </c>
      <c r="BA174" s="15" t="s">
        <v>7044</v>
      </c>
      <c r="BB174" s="15" t="s">
        <v>7045</v>
      </c>
      <c r="BC174" s="15" t="s">
        <v>3686</v>
      </c>
      <c r="BD174" s="15" t="s">
        <v>2807</v>
      </c>
      <c r="BE174" s="15" t="s">
        <v>2796</v>
      </c>
      <c r="BF174" s="18"/>
      <c r="BG174" s="18"/>
      <c r="BH174" s="18"/>
      <c r="BI174" s="15" t="s">
        <v>7046</v>
      </c>
      <c r="BJ174" s="19" t="s">
        <v>7047</v>
      </c>
      <c r="BK174" s="19" t="s">
        <v>7048</v>
      </c>
      <c r="BL174" s="19" t="s">
        <v>7049</v>
      </c>
      <c r="BM174" s="19" t="s">
        <v>7050</v>
      </c>
      <c r="BN174" s="19" t="s">
        <v>7051</v>
      </c>
      <c r="BO174" s="19" t="s">
        <v>7052</v>
      </c>
      <c r="BP174" s="18"/>
      <c r="BQ174" s="15" t="s">
        <v>364</v>
      </c>
      <c r="BR174" s="18"/>
      <c r="BS174" s="18"/>
      <c r="BT174" s="19" t="s">
        <v>7053</v>
      </c>
      <c r="BU174" s="18"/>
      <c r="BV174" s="18"/>
      <c r="BW174" s="15" t="s">
        <v>7054</v>
      </c>
      <c r="BX174" s="18"/>
      <c r="BY174" s="18" t="str">
        <f t="shared" si="102"/>
        <v>COMP</v>
      </c>
      <c r="BZ174" s="24" t="str">
        <f t="shared" si="100"/>
        <v>https://drive.google.com/open?id=18eYdkaGoCqlnBCPOGrLB1r5vhY2ZKWw3</v>
      </c>
      <c r="CA174" s="24" t="str">
        <f t="shared" si="101"/>
        <v>https://drive.google.com/open?id=1ZW3x6HdddWo6FyVbfPvyF8c-pWAczQ21</v>
      </c>
      <c r="CB174" s="15" t="s">
        <v>2821</v>
      </c>
      <c r="CC174" s="15" t="s">
        <v>2821</v>
      </c>
      <c r="CD174" s="25" t="s">
        <v>2787</v>
      </c>
      <c r="CE174" s="18"/>
      <c r="CF174" s="18"/>
      <c r="CG174" s="18"/>
    </row>
    <row r="175" ht="18.75" customHeight="1">
      <c r="A175" s="14">
        <v>44739.489813831024</v>
      </c>
      <c r="B175" s="15" t="s">
        <v>552</v>
      </c>
      <c r="C175" s="16" t="s">
        <v>7055</v>
      </c>
      <c r="D175" s="15" t="str">
        <f>IFERROR(__xludf.DUMMYFUNCTION("QUERY(TY_ALL_2023_Batch!$A$1:$E$824, ""SELECT E WHERE C='""&amp;B175&amp;""'"", 0)"),"COMP")</f>
        <v>COMP</v>
      </c>
      <c r="E175" s="15" t="s">
        <v>7056</v>
      </c>
      <c r="F175" s="15" t="s">
        <v>7057</v>
      </c>
      <c r="G175" s="15" t="s">
        <v>7058</v>
      </c>
      <c r="H175" s="15" t="s">
        <v>2785</v>
      </c>
      <c r="I175" s="17">
        <v>37167.0</v>
      </c>
      <c r="J175" s="15">
        <v>2019.0</v>
      </c>
      <c r="K175" s="15" t="s">
        <v>2786</v>
      </c>
      <c r="L175" s="15" t="s">
        <v>2787</v>
      </c>
      <c r="M175" s="18"/>
      <c r="N175" s="15" t="s">
        <v>7059</v>
      </c>
      <c r="O175" s="15" t="s">
        <v>552</v>
      </c>
      <c r="P175" s="19" t="s">
        <v>7060</v>
      </c>
      <c r="Q175" s="15">
        <v>8.669807739E9</v>
      </c>
      <c r="R175" s="15">
        <v>8.669807739E9</v>
      </c>
      <c r="S175" s="15">
        <v>9.421783928E9</v>
      </c>
      <c r="T175" s="15" t="s">
        <v>7061</v>
      </c>
      <c r="U175" s="15" t="s">
        <v>7062</v>
      </c>
      <c r="V175" s="15" t="s">
        <v>7063</v>
      </c>
      <c r="W175" s="18"/>
      <c r="X175" s="15">
        <v>93.8</v>
      </c>
      <c r="Y175" s="15" t="s">
        <v>2795</v>
      </c>
      <c r="Z175" s="15">
        <v>9.38</v>
      </c>
      <c r="AA175" s="15">
        <v>9.1</v>
      </c>
      <c r="AB175" s="15" t="s">
        <v>2796</v>
      </c>
      <c r="AC175" s="15" t="s">
        <v>2796</v>
      </c>
      <c r="AD175" s="15" t="s">
        <v>2796</v>
      </c>
      <c r="AE175" s="15" t="s">
        <v>2796</v>
      </c>
      <c r="AF175" s="15">
        <v>8.32</v>
      </c>
      <c r="AG175" s="15">
        <v>9.05</v>
      </c>
      <c r="AH175" s="15">
        <v>84.0</v>
      </c>
      <c r="AI175" s="18"/>
      <c r="AJ175" s="15" t="s">
        <v>2787</v>
      </c>
      <c r="AK175" s="15" t="s">
        <v>2787</v>
      </c>
      <c r="AL175" s="18"/>
      <c r="AM175" s="18"/>
      <c r="AN175" s="15" t="s">
        <v>2797</v>
      </c>
      <c r="AO175" s="18"/>
      <c r="AP175" s="18"/>
      <c r="AQ175" s="15" t="s">
        <v>7064</v>
      </c>
      <c r="AR175" s="18"/>
      <c r="AS175" s="15" t="s">
        <v>6408</v>
      </c>
      <c r="AT175" s="15" t="s">
        <v>7065</v>
      </c>
      <c r="AU175" s="15" t="s">
        <v>2796</v>
      </c>
      <c r="AV175" s="15" t="s">
        <v>7066</v>
      </c>
      <c r="AW175" s="15" t="s">
        <v>7067</v>
      </c>
      <c r="AX175" s="18"/>
      <c r="AY175" s="15" t="s">
        <v>7068</v>
      </c>
      <c r="AZ175" s="15" t="s">
        <v>5260</v>
      </c>
      <c r="BA175" s="15" t="s">
        <v>5468</v>
      </c>
      <c r="BB175" s="15" t="s">
        <v>5649</v>
      </c>
      <c r="BC175" s="15" t="s">
        <v>4217</v>
      </c>
      <c r="BD175" s="15" t="s">
        <v>2807</v>
      </c>
      <c r="BE175" s="15" t="s">
        <v>7069</v>
      </c>
      <c r="BF175" s="18"/>
      <c r="BG175" s="18"/>
      <c r="BH175" s="18"/>
      <c r="BI175" s="15" t="s">
        <v>7070</v>
      </c>
      <c r="BJ175" s="19" t="s">
        <v>7071</v>
      </c>
      <c r="BK175" s="19" t="s">
        <v>7072</v>
      </c>
      <c r="BL175" s="19" t="s">
        <v>7073</v>
      </c>
      <c r="BM175" s="19" t="s">
        <v>7074</v>
      </c>
      <c r="BN175" s="18"/>
      <c r="BO175" s="19" t="s">
        <v>7075</v>
      </c>
      <c r="BP175" s="19" t="s">
        <v>7076</v>
      </c>
      <c r="BQ175" s="15" t="s">
        <v>364</v>
      </c>
      <c r="BR175" s="26"/>
      <c r="BS175" s="26"/>
      <c r="BT175" s="19" t="s">
        <v>7077</v>
      </c>
      <c r="BU175" s="26"/>
      <c r="BV175" s="26"/>
      <c r="BW175" s="15" t="s">
        <v>7078</v>
      </c>
      <c r="BX175" s="26"/>
      <c r="BY175" s="18" t="str">
        <f t="shared" si="102"/>
        <v>COMP</v>
      </c>
      <c r="BZ175" s="24" t="str">
        <f t="shared" si="100"/>
        <v>https://drive.google.com/open?id=1kayOuN7SEKmRfoI5-KMMi1YoOdG0ueLH</v>
      </c>
      <c r="CA175" s="24" t="str">
        <f t="shared" si="101"/>
        <v>https://drive.google.com/open?id=1Xt7EVRYyv3FQNNo0QB-HCTfZIVoHETx8</v>
      </c>
      <c r="CB175" s="15" t="s">
        <v>2821</v>
      </c>
      <c r="CC175" s="15" t="s">
        <v>2821</v>
      </c>
      <c r="CD175" s="25" t="s">
        <v>2787</v>
      </c>
      <c r="CE175" s="18"/>
      <c r="CF175" s="18"/>
      <c r="CG175" s="18"/>
    </row>
    <row r="176" ht="18.75" customHeight="1">
      <c r="A176" s="14">
        <v>44736.480036493056</v>
      </c>
      <c r="B176" s="15" t="s">
        <v>753</v>
      </c>
      <c r="C176" s="16" t="s">
        <v>7079</v>
      </c>
      <c r="D176" s="15" t="str">
        <f>IFERROR(__xludf.DUMMYFUNCTION("QUERY(TY_ALL_2023_Batch!$A$1:$E$824, ""SELECT E WHERE C='""&amp;B176&amp;""'"", 0)"),"COMP")</f>
        <v>COMP</v>
      </c>
      <c r="E176" s="15" t="s">
        <v>7080</v>
      </c>
      <c r="F176" s="18"/>
      <c r="G176" s="15" t="s">
        <v>7081</v>
      </c>
      <c r="H176" s="15" t="s">
        <v>2785</v>
      </c>
      <c r="I176" s="17">
        <v>37620.0</v>
      </c>
      <c r="J176" s="15">
        <v>2019.0</v>
      </c>
      <c r="K176" s="15" t="s">
        <v>2786</v>
      </c>
      <c r="L176" s="15" t="s">
        <v>2787</v>
      </c>
      <c r="M176" s="18"/>
      <c r="N176" s="15" t="s">
        <v>7082</v>
      </c>
      <c r="O176" s="15" t="s">
        <v>753</v>
      </c>
      <c r="P176" s="19" t="s">
        <v>7083</v>
      </c>
      <c r="Q176" s="15">
        <v>9.352853412E9</v>
      </c>
      <c r="R176" s="15">
        <v>9.352853412E9</v>
      </c>
      <c r="S176" s="15">
        <v>9.950946414E9</v>
      </c>
      <c r="T176" s="15" t="s">
        <v>7084</v>
      </c>
      <c r="U176" s="15" t="s">
        <v>7085</v>
      </c>
      <c r="V176" s="15" t="s">
        <v>7086</v>
      </c>
      <c r="W176" s="15" t="s">
        <v>7086</v>
      </c>
      <c r="X176" s="15">
        <v>91.2</v>
      </c>
      <c r="Y176" s="15" t="s">
        <v>2795</v>
      </c>
      <c r="Z176" s="15">
        <v>9.48</v>
      </c>
      <c r="AA176" s="15">
        <v>9.33</v>
      </c>
      <c r="AB176" s="15" t="s">
        <v>2796</v>
      </c>
      <c r="AC176" s="15" t="s">
        <v>2796</v>
      </c>
      <c r="AD176" s="15" t="s">
        <v>2796</v>
      </c>
      <c r="AE176" s="15" t="s">
        <v>2796</v>
      </c>
      <c r="AF176" s="15">
        <v>8.47</v>
      </c>
      <c r="AG176" s="15">
        <v>8.86</v>
      </c>
      <c r="AH176" s="15">
        <v>85.6</v>
      </c>
      <c r="AI176" s="18"/>
      <c r="AJ176" s="15" t="s">
        <v>2787</v>
      </c>
      <c r="AK176" s="15" t="s">
        <v>2787</v>
      </c>
      <c r="AL176" s="15" t="s">
        <v>7087</v>
      </c>
      <c r="AM176" s="15" t="s">
        <v>7088</v>
      </c>
      <c r="AN176" s="15" t="s">
        <v>2797</v>
      </c>
      <c r="AO176" s="15" t="s">
        <v>2796</v>
      </c>
      <c r="AP176" s="15" t="s">
        <v>2796</v>
      </c>
      <c r="AQ176" s="15" t="s">
        <v>5255</v>
      </c>
      <c r="AR176" s="15" t="s">
        <v>7089</v>
      </c>
      <c r="AS176" s="18"/>
      <c r="AT176" s="18"/>
      <c r="AU176" s="15" t="s">
        <v>7090</v>
      </c>
      <c r="AV176" s="15" t="s">
        <v>7091</v>
      </c>
      <c r="AW176" s="15" t="s">
        <v>7092</v>
      </c>
      <c r="AX176" s="18"/>
      <c r="AY176" s="15" t="s">
        <v>7093</v>
      </c>
      <c r="AZ176" s="15" t="s">
        <v>5260</v>
      </c>
      <c r="BA176" s="15" t="s">
        <v>7044</v>
      </c>
      <c r="BB176" s="15" t="s">
        <v>3462</v>
      </c>
      <c r="BC176" s="15" t="s">
        <v>3686</v>
      </c>
      <c r="BD176" s="15" t="s">
        <v>2807</v>
      </c>
      <c r="BE176" s="15" t="s">
        <v>2796</v>
      </c>
      <c r="BF176" s="18"/>
      <c r="BG176" s="18"/>
      <c r="BH176" s="18"/>
      <c r="BI176" s="15" t="s">
        <v>7094</v>
      </c>
      <c r="BJ176" s="19" t="s">
        <v>7095</v>
      </c>
      <c r="BK176" s="19" t="s">
        <v>7096</v>
      </c>
      <c r="BL176" s="19" t="s">
        <v>7097</v>
      </c>
      <c r="BM176" s="19" t="s">
        <v>7098</v>
      </c>
      <c r="BN176" s="19" t="s">
        <v>7099</v>
      </c>
      <c r="BO176" s="19" t="s">
        <v>7100</v>
      </c>
      <c r="BP176" s="19" t="s">
        <v>7101</v>
      </c>
      <c r="BQ176" s="15" t="s">
        <v>364</v>
      </c>
      <c r="BR176" s="26"/>
      <c r="BS176" s="26"/>
      <c r="BT176" s="26"/>
      <c r="BU176" s="26"/>
      <c r="BV176" s="26"/>
      <c r="BW176" s="26"/>
      <c r="BX176" s="26"/>
      <c r="BY176" s="18" t="str">
        <f t="shared" si="102"/>
        <v>COMP</v>
      </c>
      <c r="BZ176" s="24" t="str">
        <f t="shared" si="100"/>
        <v>https://drive.google.com/open?id=1siBFtzzCZLKzlOXl12OQCUnkHIIiRo10</v>
      </c>
      <c r="CA176" s="24" t="str">
        <f t="shared" si="101"/>
        <v>https://drive.google.com/open?id=1WflT6-3wIvfP9l9_EiG2RJ81KRekrcGr</v>
      </c>
      <c r="CB176" s="15" t="s">
        <v>2821</v>
      </c>
      <c r="CC176" s="15" t="s">
        <v>2821</v>
      </c>
      <c r="CD176" s="25" t="s">
        <v>2797</v>
      </c>
      <c r="CE176" s="18"/>
      <c r="CF176" s="18"/>
      <c r="CG176" s="18"/>
    </row>
    <row r="177" ht="18.75" customHeight="1">
      <c r="A177" s="14">
        <v>44736.499513310184</v>
      </c>
      <c r="B177" s="15" t="s">
        <v>690</v>
      </c>
      <c r="C177" s="16" t="s">
        <v>7102</v>
      </c>
      <c r="D177" s="15" t="str">
        <f>IFERROR(__xludf.DUMMYFUNCTION("QUERY(TY_ALL_2023_Batch!$A$1:$E$824, ""SELECT E WHERE C='""&amp;B177&amp;""'"", 0)"),"COMP")</f>
        <v>COMP</v>
      </c>
      <c r="E177" s="15" t="s">
        <v>4616</v>
      </c>
      <c r="F177" s="15" t="s">
        <v>7103</v>
      </c>
      <c r="G177" s="15" t="s">
        <v>7104</v>
      </c>
      <c r="H177" s="15" t="s">
        <v>2826</v>
      </c>
      <c r="I177" s="17">
        <v>37134.0</v>
      </c>
      <c r="J177" s="15">
        <v>2019.0</v>
      </c>
      <c r="K177" s="15" t="s">
        <v>2786</v>
      </c>
      <c r="L177" s="15" t="s">
        <v>2787</v>
      </c>
      <c r="M177" s="18"/>
      <c r="N177" s="15" t="s">
        <v>7105</v>
      </c>
      <c r="O177" s="15" t="s">
        <v>690</v>
      </c>
      <c r="P177" s="15" t="s">
        <v>7106</v>
      </c>
      <c r="Q177" s="15">
        <v>9.011919446E9</v>
      </c>
      <c r="R177" s="15">
        <v>9.011919446E9</v>
      </c>
      <c r="S177" s="18"/>
      <c r="T177" s="15" t="s">
        <v>7103</v>
      </c>
      <c r="U177" s="15" t="s">
        <v>3950</v>
      </c>
      <c r="V177" s="15" t="s">
        <v>7107</v>
      </c>
      <c r="W177" s="18"/>
      <c r="X177" s="15">
        <v>90.6</v>
      </c>
      <c r="Y177" s="15" t="s">
        <v>2795</v>
      </c>
      <c r="Z177" s="15">
        <v>9.48</v>
      </c>
      <c r="AA177" s="15">
        <v>9.05</v>
      </c>
      <c r="AB177" s="15" t="s">
        <v>2796</v>
      </c>
      <c r="AC177" s="15" t="s">
        <v>2796</v>
      </c>
      <c r="AD177" s="15" t="s">
        <v>2796</v>
      </c>
      <c r="AE177" s="15" t="s">
        <v>2796</v>
      </c>
      <c r="AF177" s="15">
        <v>8.37</v>
      </c>
      <c r="AG177" s="15">
        <v>8.33</v>
      </c>
      <c r="AH177" s="15">
        <v>64.0</v>
      </c>
      <c r="AI177" s="18"/>
      <c r="AJ177" s="15" t="s">
        <v>2787</v>
      </c>
      <c r="AK177" s="15" t="s">
        <v>2787</v>
      </c>
      <c r="AL177" s="15" t="s">
        <v>7108</v>
      </c>
      <c r="AM177" s="15" t="s">
        <v>7109</v>
      </c>
      <c r="AN177" s="15" t="s">
        <v>2797</v>
      </c>
      <c r="AO177" s="15" t="s">
        <v>6951</v>
      </c>
      <c r="AP177" s="15" t="s">
        <v>6951</v>
      </c>
      <c r="AQ177" s="15" t="s">
        <v>7110</v>
      </c>
      <c r="AR177" s="18"/>
      <c r="AS177" s="18"/>
      <c r="AT177" s="18"/>
      <c r="AU177" s="15" t="s">
        <v>4040</v>
      </c>
      <c r="AV177" s="15" t="s">
        <v>7111</v>
      </c>
      <c r="AW177" s="15" t="s">
        <v>7112</v>
      </c>
      <c r="AX177" s="18"/>
      <c r="AY177" s="15" t="s">
        <v>7113</v>
      </c>
      <c r="AZ177" s="15" t="s">
        <v>5287</v>
      </c>
      <c r="BA177" s="15" t="s">
        <v>5552</v>
      </c>
      <c r="BB177" s="15" t="s">
        <v>5673</v>
      </c>
      <c r="BC177" s="15" t="s">
        <v>4485</v>
      </c>
      <c r="BD177" s="15" t="s">
        <v>2807</v>
      </c>
      <c r="BE177" s="15" t="s">
        <v>2796</v>
      </c>
      <c r="BF177" s="18"/>
      <c r="BG177" s="18"/>
      <c r="BH177" s="18"/>
      <c r="BI177" s="15" t="s">
        <v>7114</v>
      </c>
      <c r="BJ177" s="19" t="s">
        <v>7115</v>
      </c>
      <c r="BK177" s="19" t="s">
        <v>7116</v>
      </c>
      <c r="BL177" s="18"/>
      <c r="BM177" s="19" t="s">
        <v>7117</v>
      </c>
      <c r="BN177" s="20" t="s">
        <v>7118</v>
      </c>
      <c r="BO177" s="19" t="s">
        <v>7119</v>
      </c>
      <c r="BP177" s="19" t="s">
        <v>7120</v>
      </c>
      <c r="BQ177" s="15" t="s">
        <v>364</v>
      </c>
      <c r="BR177" s="26"/>
      <c r="BS177" s="26"/>
      <c r="BT177" s="26"/>
      <c r="BU177" s="26"/>
      <c r="BV177" s="26"/>
      <c r="BW177" s="26"/>
      <c r="BX177" s="26"/>
      <c r="BY177" s="18" t="str">
        <f t="shared" si="102"/>
        <v>COMP</v>
      </c>
      <c r="BZ177" s="18" t="str">
        <f t="shared" si="100"/>
        <v/>
      </c>
      <c r="CA177" s="24" t="str">
        <f t="shared" si="101"/>
        <v>https://drive.google.com/open?id=1_mNCtfh2XIAJ1oV4cBp3yfXNX1i1C0Pq</v>
      </c>
      <c r="CB177" s="15" t="s">
        <v>2908</v>
      </c>
      <c r="CC177" s="15" t="s">
        <v>2821</v>
      </c>
      <c r="CD177" s="25" t="s">
        <v>2797</v>
      </c>
      <c r="CE177" s="18"/>
      <c r="CF177" s="18"/>
      <c r="CG177" s="18"/>
    </row>
    <row r="178" ht="18.75" customHeight="1">
      <c r="A178" s="14">
        <v>44736.98124820602</v>
      </c>
      <c r="B178" s="15" t="s">
        <v>810</v>
      </c>
      <c r="C178" s="16" t="s">
        <v>7121</v>
      </c>
      <c r="D178" s="15" t="str">
        <f>IFERROR(__xludf.DUMMYFUNCTION("QUERY(TY_ALL_2023_Batch!$A$1:$E$824, ""SELECT E WHERE C='""&amp;B178&amp;""'"", 0)"),"COMP")</f>
        <v>COMP</v>
      </c>
      <c r="E178" s="15" t="s">
        <v>7122</v>
      </c>
      <c r="F178" s="15" t="s">
        <v>3098</v>
      </c>
      <c r="G178" s="15" t="s">
        <v>7123</v>
      </c>
      <c r="H178" s="15" t="s">
        <v>2785</v>
      </c>
      <c r="I178" s="17">
        <v>37343.0</v>
      </c>
      <c r="J178" s="15">
        <v>2019.0</v>
      </c>
      <c r="K178" s="15" t="s">
        <v>2786</v>
      </c>
      <c r="L178" s="15" t="s">
        <v>2787</v>
      </c>
      <c r="M178" s="18"/>
      <c r="N178" s="15" t="s">
        <v>7124</v>
      </c>
      <c r="O178" s="15" t="s">
        <v>7125</v>
      </c>
      <c r="P178" s="19" t="s">
        <v>7126</v>
      </c>
      <c r="Q178" s="15">
        <v>7.038146259E9</v>
      </c>
      <c r="R178" s="15">
        <v>7.038146259E9</v>
      </c>
      <c r="S178" s="15">
        <v>7.218508716E9</v>
      </c>
      <c r="T178" s="15" t="s">
        <v>7127</v>
      </c>
      <c r="U178" s="15" t="s">
        <v>7128</v>
      </c>
      <c r="V178" s="15" t="s">
        <v>7129</v>
      </c>
      <c r="W178" s="15" t="s">
        <v>7130</v>
      </c>
      <c r="X178" s="15">
        <v>93.4</v>
      </c>
      <c r="Y178" s="15" t="s">
        <v>2795</v>
      </c>
      <c r="Z178" s="15">
        <v>9.9</v>
      </c>
      <c r="AA178" s="15">
        <v>9.52</v>
      </c>
      <c r="AB178" s="15" t="s">
        <v>2796</v>
      </c>
      <c r="AC178" s="15" t="s">
        <v>2796</v>
      </c>
      <c r="AD178" s="15" t="s">
        <v>2796</v>
      </c>
      <c r="AE178" s="15" t="s">
        <v>2796</v>
      </c>
      <c r="AF178" s="15">
        <v>8.42</v>
      </c>
      <c r="AG178" s="15">
        <v>9.43</v>
      </c>
      <c r="AH178" s="15">
        <v>75.54</v>
      </c>
      <c r="AI178" s="18"/>
      <c r="AJ178" s="15" t="s">
        <v>2787</v>
      </c>
      <c r="AK178" s="15" t="s">
        <v>2787</v>
      </c>
      <c r="AL178" s="15">
        <v>640.0</v>
      </c>
      <c r="AM178" s="15">
        <v>648.33</v>
      </c>
      <c r="AN178" s="15" t="s">
        <v>2787</v>
      </c>
      <c r="AO178" s="18"/>
      <c r="AP178" s="15" t="s">
        <v>3201</v>
      </c>
      <c r="AQ178" s="15" t="s">
        <v>5356</v>
      </c>
      <c r="AR178" s="15" t="s">
        <v>7131</v>
      </c>
      <c r="AS178" s="15" t="s">
        <v>7132</v>
      </c>
      <c r="AT178" s="18"/>
      <c r="AU178" s="15" t="s">
        <v>7133</v>
      </c>
      <c r="AV178" s="15" t="s">
        <v>7134</v>
      </c>
      <c r="AW178" s="15" t="s">
        <v>7135</v>
      </c>
      <c r="AX178" s="18"/>
      <c r="AY178" s="15" t="s">
        <v>7136</v>
      </c>
      <c r="AZ178" s="15" t="s">
        <v>5287</v>
      </c>
      <c r="BA178" s="15" t="s">
        <v>7137</v>
      </c>
      <c r="BB178" s="15" t="s">
        <v>7138</v>
      </c>
      <c r="BC178" s="15" t="s">
        <v>7139</v>
      </c>
      <c r="BD178" s="15" t="s">
        <v>7140</v>
      </c>
      <c r="BE178" s="15" t="s">
        <v>7141</v>
      </c>
      <c r="BF178" s="15" t="s">
        <v>7142</v>
      </c>
      <c r="BG178" s="18"/>
      <c r="BH178" s="18"/>
      <c r="BI178" s="15" t="s">
        <v>7143</v>
      </c>
      <c r="BJ178" s="19" t="s">
        <v>7144</v>
      </c>
      <c r="BK178" s="19" t="s">
        <v>7145</v>
      </c>
      <c r="BL178" s="19" t="s">
        <v>7146</v>
      </c>
      <c r="BM178" s="19" t="s">
        <v>7147</v>
      </c>
      <c r="BN178" s="20" t="s">
        <v>7148</v>
      </c>
      <c r="BO178" s="19" t="s">
        <v>7149</v>
      </c>
      <c r="BP178" s="19" t="s">
        <v>7150</v>
      </c>
      <c r="BQ178" s="15" t="s">
        <v>364</v>
      </c>
      <c r="BR178" s="19" t="s">
        <v>7151</v>
      </c>
      <c r="BS178" s="15"/>
      <c r="BT178" s="15"/>
      <c r="BU178" s="15"/>
      <c r="BV178" s="15"/>
      <c r="BW178" s="15" t="s">
        <v>7152</v>
      </c>
      <c r="BX178" s="26"/>
      <c r="BY178" s="18" t="str">
        <f t="shared" si="102"/>
        <v>COMP</v>
      </c>
      <c r="BZ178" s="24" t="str">
        <f t="shared" si="100"/>
        <v>https://drive.google.com/open?id=1J2rdnUBjcFEZwJm6NyXAnRnW_vycI6Zg</v>
      </c>
      <c r="CA178" s="24" t="str">
        <f t="shared" si="101"/>
        <v>https://drive.google.com/open?id=1Yfv5Hp7usRHMYHYAZsgbctHjkGYqFis5</v>
      </c>
      <c r="CB178" s="15" t="s">
        <v>2821</v>
      </c>
      <c r="CC178" s="15" t="s">
        <v>2821</v>
      </c>
      <c r="CD178" s="25" t="s">
        <v>2797</v>
      </c>
      <c r="CE178" s="18"/>
      <c r="CF178" s="18"/>
      <c r="CG178" s="18"/>
    </row>
    <row r="179" ht="18.75" customHeight="1">
      <c r="A179" s="14">
        <v>44741.87275447916</v>
      </c>
      <c r="B179" s="15" t="s">
        <v>798</v>
      </c>
      <c r="C179" s="16" t="s">
        <v>7153</v>
      </c>
      <c r="D179" s="15" t="str">
        <f>IFERROR(__xludf.DUMMYFUNCTION("QUERY(TY_ALL_2023_Batch!$A$1:$E$824, ""SELECT E WHERE C='""&amp;B179&amp;""'"", 0)"),"COMP")</f>
        <v>COMP</v>
      </c>
      <c r="E179" s="15" t="s">
        <v>7154</v>
      </c>
      <c r="F179" s="15" t="s">
        <v>6015</v>
      </c>
      <c r="G179" s="15" t="s">
        <v>7155</v>
      </c>
      <c r="H179" s="15" t="s">
        <v>2785</v>
      </c>
      <c r="I179" s="17">
        <v>37178.0</v>
      </c>
      <c r="J179" s="15">
        <v>2019.0</v>
      </c>
      <c r="K179" s="15" t="s">
        <v>2786</v>
      </c>
      <c r="L179" s="15" t="s">
        <v>2787</v>
      </c>
      <c r="M179" s="18"/>
      <c r="N179" s="15" t="s">
        <v>7156</v>
      </c>
      <c r="O179" s="15" t="s">
        <v>798</v>
      </c>
      <c r="P179" s="19" t="s">
        <v>7157</v>
      </c>
      <c r="Q179" s="15">
        <v>7.517969899E9</v>
      </c>
      <c r="R179" s="15">
        <v>7.517969899E9</v>
      </c>
      <c r="S179" s="18"/>
      <c r="T179" s="15" t="s">
        <v>6015</v>
      </c>
      <c r="U179" s="15" t="s">
        <v>7158</v>
      </c>
      <c r="V179" s="15" t="s">
        <v>7159</v>
      </c>
      <c r="W179" s="15" t="s">
        <v>7160</v>
      </c>
      <c r="X179" s="15">
        <v>93.0</v>
      </c>
      <c r="Y179" s="15" t="s">
        <v>2795</v>
      </c>
      <c r="Z179" s="15">
        <v>9.38</v>
      </c>
      <c r="AA179" s="15">
        <v>8.9</v>
      </c>
      <c r="AB179" s="15" t="s">
        <v>2796</v>
      </c>
      <c r="AC179" s="15" t="s">
        <v>2796</v>
      </c>
      <c r="AD179" s="15" t="s">
        <v>2796</v>
      </c>
      <c r="AE179" s="15" t="s">
        <v>2796</v>
      </c>
      <c r="AF179" s="15">
        <v>8.79</v>
      </c>
      <c r="AG179" s="15">
        <v>8.9</v>
      </c>
      <c r="AH179" s="15">
        <v>68.0</v>
      </c>
      <c r="AI179" s="18"/>
      <c r="AJ179" s="15" t="s">
        <v>2787</v>
      </c>
      <c r="AK179" s="15" t="s">
        <v>2787</v>
      </c>
      <c r="AL179" s="15">
        <v>678.0</v>
      </c>
      <c r="AM179" s="15">
        <v>630.0</v>
      </c>
      <c r="AN179" s="15" t="s">
        <v>2797</v>
      </c>
      <c r="AO179" s="18"/>
      <c r="AP179" s="18"/>
      <c r="AQ179" s="15" t="s">
        <v>6922</v>
      </c>
      <c r="AR179" s="15" t="s">
        <v>7161</v>
      </c>
      <c r="AS179" s="15" t="s">
        <v>7162</v>
      </c>
      <c r="AT179" s="18"/>
      <c r="AU179" s="15" t="s">
        <v>7163</v>
      </c>
      <c r="AV179" s="15" t="s">
        <v>7164</v>
      </c>
      <c r="AW179" s="15" t="s">
        <v>7165</v>
      </c>
      <c r="AX179" s="18"/>
      <c r="AY179" s="15" t="s">
        <v>5259</v>
      </c>
      <c r="AZ179" s="15" t="s">
        <v>5260</v>
      </c>
      <c r="BA179" s="15" t="s">
        <v>5552</v>
      </c>
      <c r="BB179" s="15" t="s">
        <v>3514</v>
      </c>
      <c r="BC179" s="15" t="s">
        <v>3686</v>
      </c>
      <c r="BD179" s="15" t="s">
        <v>2807</v>
      </c>
      <c r="BE179" s="15" t="s">
        <v>7166</v>
      </c>
      <c r="BF179" s="18"/>
      <c r="BG179" s="18"/>
      <c r="BH179" s="18"/>
      <c r="BI179" s="15" t="s">
        <v>7167</v>
      </c>
      <c r="BJ179" s="19" t="s">
        <v>7168</v>
      </c>
      <c r="BK179" s="19" t="s">
        <v>7169</v>
      </c>
      <c r="BL179" s="19" t="s">
        <v>7170</v>
      </c>
      <c r="BM179" s="19" t="s">
        <v>7171</v>
      </c>
      <c r="BN179" s="19" t="s">
        <v>7172</v>
      </c>
      <c r="BO179" s="19" t="s">
        <v>7173</v>
      </c>
      <c r="BP179" s="19" t="s">
        <v>7174</v>
      </c>
      <c r="BQ179" s="15" t="s">
        <v>364</v>
      </c>
      <c r="BR179" s="26"/>
      <c r="BS179" s="26"/>
      <c r="BT179" s="26"/>
      <c r="BU179" s="26"/>
      <c r="BV179" s="26"/>
      <c r="BW179" s="15" t="s">
        <v>7175</v>
      </c>
      <c r="BX179" s="26"/>
      <c r="BY179" s="18" t="str">
        <f t="shared" si="102"/>
        <v>COMP</v>
      </c>
      <c r="BZ179" s="24" t="str">
        <f t="shared" si="100"/>
        <v>https://drive.google.com/open?id=10KWV5gwAAbISVeVM-Dz-gljVrDRWZvL1</v>
      </c>
      <c r="CA179" s="24" t="str">
        <f t="shared" si="101"/>
        <v>https://drive.google.com/open?id=1UsUj_YvAKbu2G1zU1ynC8APi9SMr6U9C</v>
      </c>
      <c r="CB179" s="15" t="s">
        <v>2821</v>
      </c>
      <c r="CC179" s="15" t="s">
        <v>2821</v>
      </c>
      <c r="CD179" s="25" t="s">
        <v>2797</v>
      </c>
      <c r="CE179" s="18"/>
      <c r="CF179" s="18"/>
      <c r="CG179" s="18"/>
    </row>
    <row r="180" ht="18.75" customHeight="1">
      <c r="A180" s="14">
        <v>44741.910479479164</v>
      </c>
      <c r="B180" s="15" t="s">
        <v>669</v>
      </c>
      <c r="C180" s="16" t="s">
        <v>7176</v>
      </c>
      <c r="D180" s="15" t="str">
        <f>IFERROR(__xludf.DUMMYFUNCTION("QUERY(TY_ALL_2023_Batch!$A$1:$E$824, ""SELECT E WHERE C='""&amp;B180&amp;""'"", 0)"),"COMP")</f>
        <v>COMP</v>
      </c>
      <c r="E180" s="15" t="s">
        <v>7177</v>
      </c>
      <c r="F180" s="15" t="s">
        <v>7178</v>
      </c>
      <c r="G180" s="15" t="s">
        <v>7179</v>
      </c>
      <c r="H180" s="15" t="s">
        <v>2785</v>
      </c>
      <c r="I180" s="17">
        <v>37045.0</v>
      </c>
      <c r="J180" s="15">
        <v>2019.0</v>
      </c>
      <c r="K180" s="15" t="s">
        <v>2786</v>
      </c>
      <c r="L180" s="15" t="s">
        <v>2787</v>
      </c>
      <c r="M180" s="18"/>
      <c r="N180" s="15" t="s">
        <v>7180</v>
      </c>
      <c r="O180" s="15" t="s">
        <v>669</v>
      </c>
      <c r="P180" s="19" t="s">
        <v>7181</v>
      </c>
      <c r="Q180" s="15">
        <v>9.075662549E9</v>
      </c>
      <c r="R180" s="15">
        <v>9.075662549E9</v>
      </c>
      <c r="S180" s="15">
        <v>8.888324149E9</v>
      </c>
      <c r="T180" s="15" t="s">
        <v>7182</v>
      </c>
      <c r="U180" s="15" t="s">
        <v>7183</v>
      </c>
      <c r="V180" s="15" t="s">
        <v>7184</v>
      </c>
      <c r="W180" s="18"/>
      <c r="X180" s="15">
        <v>88.4</v>
      </c>
      <c r="Y180" s="15" t="s">
        <v>2795</v>
      </c>
      <c r="Z180" s="15">
        <v>8.62</v>
      </c>
      <c r="AA180" s="15">
        <v>7.0</v>
      </c>
      <c r="AB180" s="15" t="s">
        <v>2796</v>
      </c>
      <c r="AC180" s="15" t="s">
        <v>2796</v>
      </c>
      <c r="AD180" s="15" t="s">
        <v>2796</v>
      </c>
      <c r="AE180" s="15" t="s">
        <v>2796</v>
      </c>
      <c r="AF180" s="15">
        <v>8.58</v>
      </c>
      <c r="AG180" s="15">
        <v>8.0</v>
      </c>
      <c r="AH180" s="15">
        <v>67.54</v>
      </c>
      <c r="AI180" s="18"/>
      <c r="AJ180" s="15" t="s">
        <v>2787</v>
      </c>
      <c r="AK180" s="15" t="s">
        <v>2787</v>
      </c>
      <c r="AL180" s="18"/>
      <c r="AM180" s="18"/>
      <c r="AN180" s="15" t="s">
        <v>2797</v>
      </c>
      <c r="AO180" s="18"/>
      <c r="AP180" s="18"/>
      <c r="AQ180" s="15" t="s">
        <v>4191</v>
      </c>
      <c r="AR180" s="18"/>
      <c r="AS180" s="18"/>
      <c r="AT180" s="18"/>
      <c r="AU180" s="15" t="s">
        <v>7185</v>
      </c>
      <c r="AV180" s="15" t="s">
        <v>7186</v>
      </c>
      <c r="AW180" s="15" t="s">
        <v>7187</v>
      </c>
      <c r="AX180" s="18"/>
      <c r="AY180" s="15" t="s">
        <v>7188</v>
      </c>
      <c r="AZ180" s="15" t="s">
        <v>5287</v>
      </c>
      <c r="BA180" s="15" t="s">
        <v>5844</v>
      </c>
      <c r="BB180" s="15" t="s">
        <v>3514</v>
      </c>
      <c r="BC180" s="15" t="s">
        <v>5604</v>
      </c>
      <c r="BD180" s="15" t="s">
        <v>2807</v>
      </c>
      <c r="BE180" s="15" t="s">
        <v>7189</v>
      </c>
      <c r="BF180" s="18"/>
      <c r="BG180" s="18"/>
      <c r="BH180" s="15" t="s">
        <v>7190</v>
      </c>
      <c r="BI180" s="18"/>
      <c r="BJ180" s="19" t="s">
        <v>7191</v>
      </c>
      <c r="BK180" s="19" t="s">
        <v>7192</v>
      </c>
      <c r="BL180" s="19" t="s">
        <v>7193</v>
      </c>
      <c r="BM180" s="19" t="s">
        <v>7194</v>
      </c>
      <c r="BN180" s="19" t="s">
        <v>7195</v>
      </c>
      <c r="BO180" s="19" t="s">
        <v>7196</v>
      </c>
      <c r="BP180" s="19" t="s">
        <v>7197</v>
      </c>
      <c r="BQ180" s="15" t="s">
        <v>364</v>
      </c>
      <c r="BR180" s="18"/>
      <c r="BS180" s="18"/>
      <c r="BT180" s="18"/>
      <c r="BU180" s="18"/>
      <c r="BV180" s="19" t="s">
        <v>7198</v>
      </c>
      <c r="BW180" s="15" t="s">
        <v>7199</v>
      </c>
      <c r="BX180" s="18"/>
      <c r="BY180" s="18" t="str">
        <f t="shared" si="102"/>
        <v>COMP</v>
      </c>
      <c r="BZ180" s="24" t="str">
        <f t="shared" si="100"/>
        <v>https://drive.google.com/open?id=1qqBfm61A2IFOGQUiFE-IAtB93W0Eo9Nx</v>
      </c>
      <c r="CA180" s="24" t="str">
        <f t="shared" si="101"/>
        <v>https://drive.google.com/open?id=1y-4WIT1pqYr9jbEtNzAYgjP8315M-Q8A</v>
      </c>
      <c r="CB180" s="15" t="s">
        <v>2821</v>
      </c>
      <c r="CC180" s="15" t="s">
        <v>2821</v>
      </c>
      <c r="CD180" s="25" t="s">
        <v>2797</v>
      </c>
      <c r="CE180" s="18"/>
      <c r="CF180" s="18"/>
      <c r="CG180" s="18"/>
    </row>
    <row r="181" ht="18.75" customHeight="1">
      <c r="A181" s="14">
        <v>44745.002716145835</v>
      </c>
      <c r="B181" s="15" t="s">
        <v>975</v>
      </c>
      <c r="C181" s="16" t="s">
        <v>7200</v>
      </c>
      <c r="D181" s="15" t="str">
        <f>IFERROR(__xludf.DUMMYFUNCTION("QUERY(TY_ALL_2023_Batch!$A$1:$E$824, ""SELECT E WHERE C='""&amp;B181&amp;""'"", 0)"),"COMP")</f>
        <v>COMP</v>
      </c>
      <c r="E181" s="15" t="s">
        <v>7201</v>
      </c>
      <c r="F181" s="15" t="s">
        <v>7202</v>
      </c>
      <c r="G181" s="15" t="s">
        <v>6246</v>
      </c>
      <c r="H181" s="15" t="s">
        <v>2785</v>
      </c>
      <c r="I181" s="17">
        <v>36966.0</v>
      </c>
      <c r="J181" s="15">
        <v>2019.0</v>
      </c>
      <c r="K181" s="15" t="s">
        <v>2786</v>
      </c>
      <c r="L181" s="15" t="s">
        <v>2787</v>
      </c>
      <c r="M181" s="18"/>
      <c r="N181" s="15" t="s">
        <v>7203</v>
      </c>
      <c r="O181" s="15" t="s">
        <v>975</v>
      </c>
      <c r="P181" s="19" t="s">
        <v>7204</v>
      </c>
      <c r="Q181" s="15">
        <v>8.857882527E9</v>
      </c>
      <c r="R181" s="15">
        <v>8.857882527E9</v>
      </c>
      <c r="S181" s="18"/>
      <c r="T181" s="15" t="s">
        <v>7202</v>
      </c>
      <c r="U181" s="15" t="s">
        <v>7205</v>
      </c>
      <c r="V181" s="15" t="s">
        <v>7206</v>
      </c>
      <c r="W181" s="15" t="s">
        <v>7207</v>
      </c>
      <c r="X181" s="15">
        <v>96.4</v>
      </c>
      <c r="Y181" s="15" t="s">
        <v>2795</v>
      </c>
      <c r="Z181" s="15">
        <v>8.81</v>
      </c>
      <c r="AA181" s="15">
        <v>7.57</v>
      </c>
      <c r="AB181" s="15" t="s">
        <v>2796</v>
      </c>
      <c r="AC181" s="15" t="s">
        <v>2796</v>
      </c>
      <c r="AD181" s="15" t="s">
        <v>2796</v>
      </c>
      <c r="AE181" s="15" t="s">
        <v>2796</v>
      </c>
      <c r="AF181" s="15">
        <v>9.21</v>
      </c>
      <c r="AG181" s="15">
        <v>9.0</v>
      </c>
      <c r="AH181" s="15">
        <v>72.92</v>
      </c>
      <c r="AI181" s="18"/>
      <c r="AJ181" s="15" t="s">
        <v>2787</v>
      </c>
      <c r="AK181" s="15" t="s">
        <v>2787</v>
      </c>
      <c r="AL181" s="15">
        <v>657.0</v>
      </c>
      <c r="AM181" s="15">
        <v>605.0</v>
      </c>
      <c r="AN181" s="15" t="s">
        <v>2787</v>
      </c>
      <c r="AO181" s="18"/>
      <c r="AP181" s="15" t="s">
        <v>7208</v>
      </c>
      <c r="AQ181" s="15" t="s">
        <v>5666</v>
      </c>
      <c r="AR181" s="15" t="s">
        <v>7209</v>
      </c>
      <c r="AS181" s="18"/>
      <c r="AT181" s="18"/>
      <c r="AU181" s="15" t="s">
        <v>7210</v>
      </c>
      <c r="AV181" s="15" t="s">
        <v>7211</v>
      </c>
      <c r="AW181" s="15" t="s">
        <v>7212</v>
      </c>
      <c r="AX181" s="18"/>
      <c r="AY181" s="15" t="s">
        <v>7213</v>
      </c>
      <c r="AZ181" s="15" t="s">
        <v>5625</v>
      </c>
      <c r="BA181" s="15" t="s">
        <v>2806</v>
      </c>
      <c r="BB181" s="15" t="s">
        <v>3462</v>
      </c>
      <c r="BC181" s="15" t="s">
        <v>4217</v>
      </c>
      <c r="BD181" s="15" t="s">
        <v>4556</v>
      </c>
      <c r="BE181" s="15" t="s">
        <v>7214</v>
      </c>
      <c r="BF181" s="18"/>
      <c r="BG181" s="18"/>
      <c r="BH181" s="18"/>
      <c r="BI181" s="15" t="s">
        <v>7215</v>
      </c>
      <c r="BJ181" s="19" t="s">
        <v>7216</v>
      </c>
      <c r="BK181" s="19" t="s">
        <v>7217</v>
      </c>
      <c r="BL181" s="19" t="s">
        <v>7218</v>
      </c>
      <c r="BM181" s="19" t="s">
        <v>7219</v>
      </c>
      <c r="BN181" s="19" t="s">
        <v>7220</v>
      </c>
      <c r="BO181" s="19" t="s">
        <v>7221</v>
      </c>
      <c r="BP181" s="18"/>
      <c r="BQ181" s="15" t="s">
        <v>364</v>
      </c>
      <c r="BR181" s="18"/>
      <c r="BS181" s="19" t="s">
        <v>7222</v>
      </c>
      <c r="BT181" s="19" t="s">
        <v>7223</v>
      </c>
      <c r="BU181" s="18"/>
      <c r="BV181" s="18"/>
      <c r="BW181" s="15" t="s">
        <v>7224</v>
      </c>
      <c r="BX181" s="18"/>
      <c r="BY181" s="18" t="str">
        <f t="shared" si="102"/>
        <v>COMP</v>
      </c>
      <c r="BZ181" s="24" t="str">
        <f t="shared" si="100"/>
        <v>https://drive.google.com/open?id=1MmwJ4hjpaiUMrEsdrpws-daAtZzarHY1</v>
      </c>
      <c r="CA181" s="24" t="str">
        <f t="shared" si="101"/>
        <v>https://drive.google.com/open?id=1ipSJ7JCeb9SssDlr0KJjIDs3nh3sJsK2</v>
      </c>
      <c r="CB181" s="15" t="s">
        <v>2821</v>
      </c>
      <c r="CC181" s="15" t="s">
        <v>2821</v>
      </c>
      <c r="CD181" s="25" t="s">
        <v>2787</v>
      </c>
      <c r="CE181" s="18"/>
      <c r="CF181" s="18"/>
      <c r="CG181" s="18"/>
    </row>
    <row r="182" ht="18.75" customHeight="1">
      <c r="A182" s="14">
        <v>44741.568695486116</v>
      </c>
      <c r="B182" s="15" t="s">
        <v>939</v>
      </c>
      <c r="C182" s="16" t="s">
        <v>7225</v>
      </c>
      <c r="D182" s="15" t="str">
        <f>IFERROR(__xludf.DUMMYFUNCTION("QUERY(TY_ALL_2023_Batch!$A$1:$E$824, ""SELECT E WHERE C='""&amp;B182&amp;""'"", 0)"),"COMP")</f>
        <v>COMP</v>
      </c>
      <c r="E182" s="15" t="s">
        <v>7226</v>
      </c>
      <c r="F182" s="15" t="s">
        <v>7227</v>
      </c>
      <c r="G182" s="15" t="s">
        <v>7228</v>
      </c>
      <c r="H182" s="15" t="s">
        <v>2785</v>
      </c>
      <c r="I182" s="17">
        <v>37118.0</v>
      </c>
      <c r="J182" s="15">
        <v>2019.0</v>
      </c>
      <c r="K182" s="15" t="s">
        <v>2786</v>
      </c>
      <c r="L182" s="15" t="s">
        <v>2787</v>
      </c>
      <c r="M182" s="18"/>
      <c r="N182" s="15" t="s">
        <v>7229</v>
      </c>
      <c r="O182" s="15" t="s">
        <v>939</v>
      </c>
      <c r="P182" s="19" t="s">
        <v>7230</v>
      </c>
      <c r="Q182" s="15">
        <v>7.666745559E9</v>
      </c>
      <c r="R182" s="15">
        <v>7.666745559E9</v>
      </c>
      <c r="S182" s="18"/>
      <c r="T182" s="15" t="s">
        <v>7231</v>
      </c>
      <c r="U182" s="15" t="s">
        <v>7232</v>
      </c>
      <c r="V182" s="15" t="s">
        <v>7233</v>
      </c>
      <c r="W182" s="18"/>
      <c r="X182" s="15">
        <v>81.0</v>
      </c>
      <c r="Y182" s="15" t="s">
        <v>2795</v>
      </c>
      <c r="Z182" s="15">
        <v>9.52</v>
      </c>
      <c r="AA182" s="15">
        <v>9.43</v>
      </c>
      <c r="AB182" s="15" t="s">
        <v>2796</v>
      </c>
      <c r="AC182" s="15" t="s">
        <v>2796</v>
      </c>
      <c r="AD182" s="15" t="s">
        <v>2796</v>
      </c>
      <c r="AE182" s="15" t="s">
        <v>2796</v>
      </c>
      <c r="AF182" s="15">
        <v>8.74</v>
      </c>
      <c r="AG182" s="15">
        <v>8.95</v>
      </c>
      <c r="AH182" s="15">
        <v>65.08</v>
      </c>
      <c r="AI182" s="18"/>
      <c r="AJ182" s="15" t="s">
        <v>2787</v>
      </c>
      <c r="AK182" s="15" t="s">
        <v>2787</v>
      </c>
      <c r="AL182" s="15">
        <v>646.66</v>
      </c>
      <c r="AM182" s="15">
        <v>648.33</v>
      </c>
      <c r="AN182" s="15" t="s">
        <v>2797</v>
      </c>
      <c r="AO182" s="18"/>
      <c r="AP182" s="18"/>
      <c r="AQ182" s="15" t="s">
        <v>5282</v>
      </c>
      <c r="AR182" s="15" t="s">
        <v>7234</v>
      </c>
      <c r="AS182" s="15" t="s">
        <v>6749</v>
      </c>
      <c r="AT182" s="18"/>
      <c r="AU182" s="18"/>
      <c r="AV182" s="18"/>
      <c r="AW182" s="15" t="s">
        <v>7235</v>
      </c>
      <c r="AX182" s="15" t="s">
        <v>7236</v>
      </c>
      <c r="AY182" s="15" t="s">
        <v>7237</v>
      </c>
      <c r="AZ182" s="15" t="s">
        <v>5287</v>
      </c>
      <c r="BA182" s="15" t="s">
        <v>7044</v>
      </c>
      <c r="BB182" s="15" t="s">
        <v>6167</v>
      </c>
      <c r="BC182" s="15" t="s">
        <v>7238</v>
      </c>
      <c r="BD182" s="15" t="s">
        <v>2807</v>
      </c>
      <c r="BE182" s="15" t="s">
        <v>7239</v>
      </c>
      <c r="BF182" s="18"/>
      <c r="BG182" s="18"/>
      <c r="BH182" s="18"/>
      <c r="BI182" s="15" t="s">
        <v>7240</v>
      </c>
      <c r="BJ182" s="19" t="s">
        <v>7241</v>
      </c>
      <c r="BK182" s="19" t="s">
        <v>7242</v>
      </c>
      <c r="BL182" s="19" t="s">
        <v>7243</v>
      </c>
      <c r="BM182" s="19" t="s">
        <v>7244</v>
      </c>
      <c r="BN182" s="19" t="s">
        <v>7245</v>
      </c>
      <c r="BO182" s="19" t="s">
        <v>7246</v>
      </c>
      <c r="BP182" s="18"/>
      <c r="BQ182" s="15" t="s">
        <v>364</v>
      </c>
      <c r="BR182" s="26"/>
      <c r="BS182" s="26"/>
      <c r="BT182" s="26"/>
      <c r="BU182" s="26"/>
      <c r="BV182" s="26"/>
      <c r="BW182" s="15" t="s">
        <v>7247</v>
      </c>
      <c r="BX182" s="26"/>
      <c r="BY182" s="18" t="str">
        <f t="shared" si="102"/>
        <v>COMP</v>
      </c>
      <c r="BZ182" s="24" t="str">
        <f t="shared" si="100"/>
        <v>https://drive.google.com/open?id=16MdlCSIQe7Vfp0FqMit2QInUNp_SFNQn</v>
      </c>
      <c r="CA182" s="24" t="str">
        <f t="shared" si="101"/>
        <v>https://drive.google.com/open?id=1SCvjiKLex4iwDDNXqKwypN574wKpEPru</v>
      </c>
      <c r="CB182" s="15" t="s">
        <v>2821</v>
      </c>
      <c r="CC182" s="15" t="s">
        <v>2821</v>
      </c>
      <c r="CD182" s="25" t="s">
        <v>2797</v>
      </c>
      <c r="CE182" s="18"/>
      <c r="CF182" s="18"/>
      <c r="CG182" s="18"/>
    </row>
    <row r="183" ht="18.75" customHeight="1">
      <c r="A183" s="14">
        <v>44742.961368668985</v>
      </c>
      <c r="B183" s="15" t="s">
        <v>594</v>
      </c>
      <c r="C183" s="16" t="s">
        <v>7248</v>
      </c>
      <c r="D183" s="15" t="str">
        <f>IFERROR(__xludf.DUMMYFUNCTION("QUERY(TY_ALL_2023_Batch!$A$1:$E$824, ""SELECT E WHERE C='""&amp;B183&amp;""'"", 0)"),"COMP")</f>
        <v>COMP</v>
      </c>
      <c r="E183" s="15" t="s">
        <v>7249</v>
      </c>
      <c r="F183" s="15" t="s">
        <v>7250</v>
      </c>
      <c r="G183" s="15" t="s">
        <v>7251</v>
      </c>
      <c r="H183" s="15" t="s">
        <v>2785</v>
      </c>
      <c r="I183" s="17">
        <v>37195.0</v>
      </c>
      <c r="J183" s="15">
        <v>2019.0</v>
      </c>
      <c r="K183" s="15" t="s">
        <v>2786</v>
      </c>
      <c r="L183" s="15" t="s">
        <v>2787</v>
      </c>
      <c r="M183" s="18"/>
      <c r="N183" s="15" t="s">
        <v>7252</v>
      </c>
      <c r="O183" s="15" t="s">
        <v>594</v>
      </c>
      <c r="P183" s="19" t="s">
        <v>7253</v>
      </c>
      <c r="Q183" s="15">
        <v>9.860210057E9</v>
      </c>
      <c r="R183" s="15">
        <v>9.860210057E9</v>
      </c>
      <c r="S183" s="15">
        <v>8.696764156E9</v>
      </c>
      <c r="T183" s="15" t="s">
        <v>7254</v>
      </c>
      <c r="U183" s="15" t="s">
        <v>7255</v>
      </c>
      <c r="V183" s="15" t="s">
        <v>7256</v>
      </c>
      <c r="W183" s="18"/>
      <c r="X183" s="15">
        <v>93.0</v>
      </c>
      <c r="Y183" s="15" t="s">
        <v>2795</v>
      </c>
      <c r="Z183" s="15">
        <v>9.43</v>
      </c>
      <c r="AA183" s="15">
        <v>9.0</v>
      </c>
      <c r="AB183" s="15">
        <v>8.8</v>
      </c>
      <c r="AC183" s="15" t="s">
        <v>2796</v>
      </c>
      <c r="AD183" s="15" t="s">
        <v>2796</v>
      </c>
      <c r="AE183" s="15" t="s">
        <v>2796</v>
      </c>
      <c r="AF183" s="15">
        <v>8.42</v>
      </c>
      <c r="AG183" s="15">
        <v>8.14</v>
      </c>
      <c r="AH183" s="15">
        <v>61.8</v>
      </c>
      <c r="AI183" s="18"/>
      <c r="AJ183" s="15" t="s">
        <v>2787</v>
      </c>
      <c r="AK183" s="15" t="s">
        <v>2787</v>
      </c>
      <c r="AL183" s="15">
        <v>679.16</v>
      </c>
      <c r="AM183" s="15">
        <v>653.3</v>
      </c>
      <c r="AN183" s="15" t="s">
        <v>2797</v>
      </c>
      <c r="AO183" s="18"/>
      <c r="AP183" s="18"/>
      <c r="AQ183" s="15" t="s">
        <v>7257</v>
      </c>
      <c r="AR183" s="18"/>
      <c r="AS183" s="15"/>
      <c r="AT183" s="18"/>
      <c r="AU183" s="18"/>
      <c r="AV183" s="15" t="s">
        <v>7258</v>
      </c>
      <c r="AW183" s="15" t="s">
        <v>7259</v>
      </c>
      <c r="AX183" s="18"/>
      <c r="AY183" s="15" t="s">
        <v>7260</v>
      </c>
      <c r="AZ183" s="15" t="s">
        <v>5625</v>
      </c>
      <c r="BA183" s="15" t="s">
        <v>5552</v>
      </c>
      <c r="BB183" s="15" t="s">
        <v>6732</v>
      </c>
      <c r="BC183" s="15" t="s">
        <v>5604</v>
      </c>
      <c r="BD183" s="15" t="s">
        <v>2842</v>
      </c>
      <c r="BE183" s="15" t="s">
        <v>7261</v>
      </c>
      <c r="BF183" s="18"/>
      <c r="BG183" s="18"/>
      <c r="BH183" s="15" t="s">
        <v>7262</v>
      </c>
      <c r="BI183" s="15" t="s">
        <v>7263</v>
      </c>
      <c r="BJ183" s="19" t="s">
        <v>7264</v>
      </c>
      <c r="BK183" s="19" t="s">
        <v>7265</v>
      </c>
      <c r="BL183" s="18"/>
      <c r="BM183" s="18"/>
      <c r="BN183" s="18"/>
      <c r="BO183" s="19" t="s">
        <v>7266</v>
      </c>
      <c r="BP183" s="18"/>
      <c r="BQ183" s="15" t="s">
        <v>364</v>
      </c>
      <c r="BR183" s="18"/>
      <c r="BS183" s="18"/>
      <c r="BT183" s="18"/>
      <c r="BU183" s="18"/>
      <c r="BV183" s="18"/>
      <c r="BW183" s="15" t="s">
        <v>7267</v>
      </c>
      <c r="BX183" s="18"/>
      <c r="BY183" s="18" t="str">
        <f t="shared" si="102"/>
        <v>COMP</v>
      </c>
      <c r="BZ183" s="18" t="str">
        <f t="shared" si="100"/>
        <v/>
      </c>
      <c r="CA183" s="18" t="str">
        <f t="shared" si="101"/>
        <v/>
      </c>
      <c r="CB183" s="15" t="s">
        <v>2908</v>
      </c>
      <c r="CC183" s="15" t="s">
        <v>2908</v>
      </c>
      <c r="CD183" s="25" t="s">
        <v>2797</v>
      </c>
      <c r="CE183" s="18"/>
      <c r="CF183" s="18"/>
      <c r="CG183" s="18"/>
    </row>
    <row r="184" ht="18.75" customHeight="1">
      <c r="A184" s="14">
        <v>44735.642569421296</v>
      </c>
      <c r="B184" s="15" t="s">
        <v>837</v>
      </c>
      <c r="C184" s="16" t="s">
        <v>7268</v>
      </c>
      <c r="D184" s="15" t="str">
        <f>IFERROR(__xludf.DUMMYFUNCTION("QUERY(TY_ALL_2023_Batch!$A$1:$E$824, ""SELECT E WHERE C='""&amp;B184&amp;""'"", 0)"),"COMP")</f>
        <v>COMP</v>
      </c>
      <c r="E184" s="15" t="s">
        <v>7269</v>
      </c>
      <c r="F184" s="18"/>
      <c r="G184" s="15" t="s">
        <v>7270</v>
      </c>
      <c r="H184" s="15" t="s">
        <v>2785</v>
      </c>
      <c r="I184" s="17">
        <v>37311.0</v>
      </c>
      <c r="J184" s="15">
        <v>2019.0</v>
      </c>
      <c r="K184" s="15" t="s">
        <v>2786</v>
      </c>
      <c r="L184" s="15" t="s">
        <v>2787</v>
      </c>
      <c r="M184" s="18"/>
      <c r="N184" s="15" t="s">
        <v>7271</v>
      </c>
      <c r="O184" s="15" t="s">
        <v>7272</v>
      </c>
      <c r="P184" s="19" t="s">
        <v>7273</v>
      </c>
      <c r="Q184" s="15">
        <v>9.637740832E9</v>
      </c>
      <c r="R184" s="15">
        <v>9.637740832E9</v>
      </c>
      <c r="S184" s="15">
        <v>8.087694807E9</v>
      </c>
      <c r="T184" s="15" t="s">
        <v>7274</v>
      </c>
      <c r="U184" s="15" t="s">
        <v>7275</v>
      </c>
      <c r="V184" s="15" t="s">
        <v>7276</v>
      </c>
      <c r="W184" s="15" t="s">
        <v>7276</v>
      </c>
      <c r="X184" s="15">
        <v>79.0</v>
      </c>
      <c r="Y184" s="15" t="s">
        <v>2795</v>
      </c>
      <c r="Z184" s="15">
        <v>8.1</v>
      </c>
      <c r="AA184" s="15">
        <v>8.1</v>
      </c>
      <c r="AB184" s="15" t="s">
        <v>7277</v>
      </c>
      <c r="AC184" s="15" t="s">
        <v>7277</v>
      </c>
      <c r="AD184" s="15" t="s">
        <v>7277</v>
      </c>
      <c r="AE184" s="15" t="s">
        <v>7277</v>
      </c>
      <c r="AF184" s="15">
        <v>7.52</v>
      </c>
      <c r="AG184" s="15">
        <v>7.52</v>
      </c>
      <c r="AH184" s="15">
        <v>59.0</v>
      </c>
      <c r="AI184" s="18"/>
      <c r="AJ184" s="15" t="s">
        <v>2787</v>
      </c>
      <c r="AK184" s="15" t="s">
        <v>2787</v>
      </c>
      <c r="AL184" s="18"/>
      <c r="AM184" s="18"/>
      <c r="AN184" s="15" t="s">
        <v>2787</v>
      </c>
      <c r="AO184" s="15" t="s">
        <v>7278</v>
      </c>
      <c r="AP184" s="18"/>
      <c r="AQ184" s="15" t="s">
        <v>7279</v>
      </c>
      <c r="AR184" s="18"/>
      <c r="AS184" s="18"/>
      <c r="AT184" s="18"/>
      <c r="AU184" s="18"/>
      <c r="AV184" s="15" t="s">
        <v>7280</v>
      </c>
      <c r="AW184" s="15" t="s">
        <v>7281</v>
      </c>
      <c r="AX184" s="18"/>
      <c r="AY184" s="15" t="s">
        <v>7282</v>
      </c>
      <c r="AZ184" s="15" t="s">
        <v>5287</v>
      </c>
      <c r="BA184" s="15" t="s">
        <v>6611</v>
      </c>
      <c r="BB184" s="15" t="s">
        <v>5626</v>
      </c>
      <c r="BC184" s="15" t="s">
        <v>5604</v>
      </c>
      <c r="BD184" s="15" t="s">
        <v>3393</v>
      </c>
      <c r="BE184" s="15" t="s">
        <v>7283</v>
      </c>
      <c r="BF184" s="15" t="s">
        <v>7284</v>
      </c>
      <c r="BG184" s="18"/>
      <c r="BH184" s="18"/>
      <c r="BI184" s="15" t="s">
        <v>7285</v>
      </c>
      <c r="BJ184" s="19" t="s">
        <v>7286</v>
      </c>
      <c r="BK184" s="19" t="s">
        <v>7287</v>
      </c>
      <c r="BL184" s="19" t="s">
        <v>7288</v>
      </c>
      <c r="BM184" s="19" t="s">
        <v>7289</v>
      </c>
      <c r="BN184" s="19" t="s">
        <v>7290</v>
      </c>
      <c r="BO184" s="19" t="s">
        <v>7291</v>
      </c>
      <c r="BP184" s="19" t="s">
        <v>7292</v>
      </c>
      <c r="BQ184" s="15" t="s">
        <v>364</v>
      </c>
      <c r="BR184" s="26"/>
      <c r="BS184" s="26"/>
      <c r="BT184" s="26"/>
      <c r="BU184" s="26"/>
      <c r="BV184" s="26"/>
      <c r="BW184" s="26"/>
      <c r="BX184" s="26"/>
      <c r="BY184" s="18" t="str">
        <f t="shared" si="102"/>
        <v>COMP</v>
      </c>
      <c r="BZ184" s="24" t="str">
        <f t="shared" si="100"/>
        <v>https://drive.google.com/open?id=1JnmDFAzA5hYbXM78VYBbtznFhTvIZrdi</v>
      </c>
      <c r="CA184" s="24" t="str">
        <f t="shared" si="101"/>
        <v>https://drive.google.com/open?id=1gtnSFbse3dBqXhckiJMY8OpQLJ-Z5NyV</v>
      </c>
      <c r="CB184" s="15" t="s">
        <v>2821</v>
      </c>
      <c r="CC184" s="15" t="s">
        <v>2821</v>
      </c>
      <c r="CD184" s="25" t="s">
        <v>2797</v>
      </c>
      <c r="CE184" s="18"/>
      <c r="CF184" s="18"/>
      <c r="CG184" s="18"/>
    </row>
    <row r="185" ht="18.75" customHeight="1">
      <c r="A185" s="14">
        <v>44742.79049409722</v>
      </c>
      <c r="B185" s="15" t="s">
        <v>930</v>
      </c>
      <c r="C185" s="16" t="s">
        <v>7293</v>
      </c>
      <c r="D185" s="15" t="str">
        <f>IFERROR(__xludf.DUMMYFUNCTION("QUERY(TY_ALL_2023_Batch!$A$1:$E$824, ""SELECT E WHERE C='""&amp;B185&amp;""'"", 0)"),"COMP")</f>
        <v>COMP</v>
      </c>
      <c r="E185" s="15" t="s">
        <v>7294</v>
      </c>
      <c r="F185" s="15" t="s">
        <v>7295</v>
      </c>
      <c r="G185" s="15" t="s">
        <v>7296</v>
      </c>
      <c r="H185" s="15" t="s">
        <v>2785</v>
      </c>
      <c r="I185" s="17">
        <v>36648.0</v>
      </c>
      <c r="J185" s="15">
        <v>2019.0</v>
      </c>
      <c r="K185" s="15" t="s">
        <v>2786</v>
      </c>
      <c r="L185" s="15" t="s">
        <v>2787</v>
      </c>
      <c r="M185" s="18"/>
      <c r="N185" s="15" t="s">
        <v>7297</v>
      </c>
      <c r="O185" s="15" t="s">
        <v>930</v>
      </c>
      <c r="P185" s="19" t="s">
        <v>7298</v>
      </c>
      <c r="Q185" s="15">
        <v>9.764466799E9</v>
      </c>
      <c r="R185" s="15">
        <v>8.080675561E9</v>
      </c>
      <c r="S185" s="18"/>
      <c r="T185" s="15" t="s">
        <v>7295</v>
      </c>
      <c r="U185" s="15" t="s">
        <v>7299</v>
      </c>
      <c r="V185" s="15" t="s">
        <v>7300</v>
      </c>
      <c r="W185" s="15" t="s">
        <v>7301</v>
      </c>
      <c r="X185" s="15">
        <v>92.6</v>
      </c>
      <c r="Y185" s="15" t="s">
        <v>2795</v>
      </c>
      <c r="Z185" s="15">
        <v>9.1</v>
      </c>
      <c r="AA185" s="15">
        <v>8.57</v>
      </c>
      <c r="AB185" s="15" t="s">
        <v>2796</v>
      </c>
      <c r="AC185" s="15" t="s">
        <v>2796</v>
      </c>
      <c r="AD185" s="15" t="s">
        <v>2796</v>
      </c>
      <c r="AE185" s="15" t="s">
        <v>2796</v>
      </c>
      <c r="AF185" s="15">
        <v>8.52</v>
      </c>
      <c r="AG185" s="15">
        <v>8.95</v>
      </c>
      <c r="AH185" s="15">
        <v>84.6</v>
      </c>
      <c r="AI185" s="18"/>
      <c r="AJ185" s="15" t="s">
        <v>2787</v>
      </c>
      <c r="AK185" s="15" t="s">
        <v>2787</v>
      </c>
      <c r="AL185" s="15">
        <v>656.66</v>
      </c>
      <c r="AM185" s="15">
        <v>708.33</v>
      </c>
      <c r="AN185" s="15" t="s">
        <v>2797</v>
      </c>
      <c r="AO185" s="18"/>
      <c r="AP185" s="18"/>
      <c r="AQ185" s="15" t="s">
        <v>5415</v>
      </c>
      <c r="AR185" s="18"/>
      <c r="AS185" s="15" t="s">
        <v>5282</v>
      </c>
      <c r="AT185" s="18"/>
      <c r="AU185" s="18"/>
      <c r="AV185" s="15" t="s">
        <v>7302</v>
      </c>
      <c r="AW185" s="15" t="s">
        <v>7303</v>
      </c>
      <c r="AX185" s="15"/>
      <c r="AY185" s="15" t="s">
        <v>7304</v>
      </c>
      <c r="AZ185" s="15" t="s">
        <v>5335</v>
      </c>
      <c r="BA185" s="15" t="s">
        <v>6216</v>
      </c>
      <c r="BB185" s="15" t="s">
        <v>4504</v>
      </c>
      <c r="BC185" s="15" t="s">
        <v>5705</v>
      </c>
      <c r="BD185" s="15" t="s">
        <v>2807</v>
      </c>
      <c r="BE185" s="15" t="s">
        <v>7305</v>
      </c>
      <c r="BF185" s="15" t="s">
        <v>7306</v>
      </c>
      <c r="BG185" s="18"/>
      <c r="BH185" s="15" t="s">
        <v>7307</v>
      </c>
      <c r="BI185" s="18"/>
      <c r="BJ185" s="19" t="s">
        <v>7308</v>
      </c>
      <c r="BK185" s="19" t="s">
        <v>7309</v>
      </c>
      <c r="BL185" s="19" t="s">
        <v>7310</v>
      </c>
      <c r="BM185" s="19" t="s">
        <v>7311</v>
      </c>
      <c r="BN185" s="19" t="s">
        <v>7312</v>
      </c>
      <c r="BO185" s="19" t="s">
        <v>7313</v>
      </c>
      <c r="BP185" s="18"/>
      <c r="BQ185" s="15" t="s">
        <v>364</v>
      </c>
      <c r="BR185" s="26"/>
      <c r="BS185" s="26"/>
      <c r="BT185" s="26"/>
      <c r="BU185" s="26"/>
      <c r="BV185" s="26"/>
      <c r="BW185" s="15" t="s">
        <v>7314</v>
      </c>
      <c r="BX185" s="26"/>
      <c r="BY185" s="18" t="str">
        <f t="shared" si="102"/>
        <v>COMP</v>
      </c>
      <c r="BZ185" s="24" t="str">
        <f t="shared" si="100"/>
        <v>https://drive.google.com/open?id=1sswfNp4_JraVVVcJhpRz9jbfibCMvGot</v>
      </c>
      <c r="CA185" s="24" t="str">
        <f t="shared" si="101"/>
        <v>https://drive.google.com/open?id=1wRQ3LrrH2fcAFBCxceMmfRjgCQF5xmMf</v>
      </c>
      <c r="CB185" s="15" t="s">
        <v>2821</v>
      </c>
      <c r="CC185" s="15" t="s">
        <v>2821</v>
      </c>
      <c r="CD185" s="25" t="s">
        <v>2797</v>
      </c>
      <c r="CE185" s="18"/>
      <c r="CF185" s="18"/>
      <c r="CG185" s="18"/>
    </row>
    <row r="186" ht="18.75" customHeight="1">
      <c r="A186" s="14">
        <v>44742.9244362037</v>
      </c>
      <c r="B186" s="15" t="s">
        <v>789</v>
      </c>
      <c r="C186" s="16" t="s">
        <v>7315</v>
      </c>
      <c r="D186" s="15" t="str">
        <f>IFERROR(__xludf.DUMMYFUNCTION("QUERY(TY_ALL_2023_Batch!$A$1:$E$824, ""SELECT E WHERE C='""&amp;B186&amp;""'"", 0)"),"COMP")</f>
        <v>COMP</v>
      </c>
      <c r="E186" s="15" t="s">
        <v>7316</v>
      </c>
      <c r="F186" s="18"/>
      <c r="G186" s="15" t="s">
        <v>7317</v>
      </c>
      <c r="H186" s="15" t="s">
        <v>2826</v>
      </c>
      <c r="I186" s="17">
        <v>37196.0</v>
      </c>
      <c r="J186" s="15">
        <v>2019.0</v>
      </c>
      <c r="K186" s="15" t="s">
        <v>2786</v>
      </c>
      <c r="L186" s="15" t="s">
        <v>2787</v>
      </c>
      <c r="M186" s="18"/>
      <c r="N186" s="15" t="s">
        <v>7318</v>
      </c>
      <c r="O186" s="15" t="s">
        <v>789</v>
      </c>
      <c r="P186" s="19" t="s">
        <v>7319</v>
      </c>
      <c r="Q186" s="15">
        <v>9.595607085E9</v>
      </c>
      <c r="R186" s="15">
        <v>9.595607085E9</v>
      </c>
      <c r="S186" s="18"/>
      <c r="T186" s="15" t="s">
        <v>7320</v>
      </c>
      <c r="U186" s="15" t="s">
        <v>7321</v>
      </c>
      <c r="V186" s="15" t="s">
        <v>7322</v>
      </c>
      <c r="W186" s="18"/>
      <c r="X186" s="15">
        <v>93.4</v>
      </c>
      <c r="Y186" s="15" t="s">
        <v>2795</v>
      </c>
      <c r="Z186" s="15">
        <v>9.43</v>
      </c>
      <c r="AA186" s="15">
        <v>9.24</v>
      </c>
      <c r="AB186" s="15" t="s">
        <v>2796</v>
      </c>
      <c r="AC186" s="15" t="s">
        <v>2796</v>
      </c>
      <c r="AD186" s="15" t="s">
        <v>3005</v>
      </c>
      <c r="AE186" s="15" t="s">
        <v>2796</v>
      </c>
      <c r="AF186" s="15">
        <v>9.26</v>
      </c>
      <c r="AG186" s="15">
        <v>9.38</v>
      </c>
      <c r="AH186" s="15">
        <v>76.9</v>
      </c>
      <c r="AI186" s="18"/>
      <c r="AJ186" s="15" t="s">
        <v>2787</v>
      </c>
      <c r="AK186" s="15" t="s">
        <v>2787</v>
      </c>
      <c r="AL186" s="18"/>
      <c r="AM186" s="15">
        <v>708.0</v>
      </c>
      <c r="AN186" s="15" t="s">
        <v>2797</v>
      </c>
      <c r="AO186" s="18"/>
      <c r="AP186" s="18"/>
      <c r="AQ186" s="15" t="s">
        <v>5356</v>
      </c>
      <c r="AR186" s="18"/>
      <c r="AS186" s="18"/>
      <c r="AT186" s="18"/>
      <c r="AU186" s="18"/>
      <c r="AV186" s="15" t="s">
        <v>7323</v>
      </c>
      <c r="AW186" s="15" t="s">
        <v>7324</v>
      </c>
      <c r="AX186" s="18"/>
      <c r="AY186" s="15" t="s">
        <v>7325</v>
      </c>
      <c r="AZ186" s="15" t="s">
        <v>5335</v>
      </c>
      <c r="BA186" s="15" t="s">
        <v>2806</v>
      </c>
      <c r="BB186" s="15" t="s">
        <v>6305</v>
      </c>
      <c r="BC186" s="15" t="s">
        <v>7326</v>
      </c>
      <c r="BD186" s="15" t="s">
        <v>7327</v>
      </c>
      <c r="BE186" s="15" t="s">
        <v>7328</v>
      </c>
      <c r="BF186" s="15" t="s">
        <v>7329</v>
      </c>
      <c r="BG186" s="18"/>
      <c r="BH186" s="18"/>
      <c r="BI186" s="18"/>
      <c r="BJ186" s="19" t="s">
        <v>7330</v>
      </c>
      <c r="BK186" s="19" t="s">
        <v>7331</v>
      </c>
      <c r="BL186" s="18"/>
      <c r="BM186" s="18"/>
      <c r="BN186" s="19" t="s">
        <v>7332</v>
      </c>
      <c r="BO186" s="19" t="s">
        <v>7333</v>
      </c>
      <c r="BP186" s="19" t="s">
        <v>7334</v>
      </c>
      <c r="BQ186" s="15" t="s">
        <v>364</v>
      </c>
      <c r="BR186" s="26"/>
      <c r="BS186" s="19" t="s">
        <v>7335</v>
      </c>
      <c r="BT186" s="19" t="s">
        <v>7336</v>
      </c>
      <c r="BU186" s="19" t="s">
        <v>7337</v>
      </c>
      <c r="BV186" s="19" t="s">
        <v>7338</v>
      </c>
      <c r="BW186" s="15" t="s">
        <v>7339</v>
      </c>
      <c r="BX186" s="26"/>
      <c r="BY186" s="18" t="str">
        <f t="shared" si="102"/>
        <v>COMP</v>
      </c>
      <c r="BZ186" s="24" t="str">
        <f t="shared" si="100"/>
        <v>https://drive.google.com/open?id=1hP1dqIBDCnLqkVjn2eQfmI5NqAPbNmIl</v>
      </c>
      <c r="CA186" s="24" t="str">
        <f t="shared" si="101"/>
        <v>https://drive.google.com/open?id=1QD6iVvfLcn_LY9Iq78jkWqwLw64dV6pC</v>
      </c>
      <c r="CB186" s="15" t="s">
        <v>2908</v>
      </c>
      <c r="CC186" s="15" t="s">
        <v>2908</v>
      </c>
      <c r="CD186" s="25" t="s">
        <v>2787</v>
      </c>
      <c r="CE186" s="18"/>
      <c r="CF186" s="18"/>
      <c r="CG186" s="18"/>
    </row>
    <row r="187" ht="18.75" customHeight="1">
      <c r="A187" s="14">
        <v>44734.63206765046</v>
      </c>
      <c r="B187" s="15" t="s">
        <v>657</v>
      </c>
      <c r="C187" s="16" t="s">
        <v>7340</v>
      </c>
      <c r="D187" s="15" t="str">
        <f>IFERROR(__xludf.DUMMYFUNCTION("QUERY(TY_ALL_2023_Batch!$A$1:$E$824, ""SELECT E WHERE C='""&amp;B187&amp;""'"", 0)"),"COMP")</f>
        <v>COMP</v>
      </c>
      <c r="E187" s="15" t="s">
        <v>7341</v>
      </c>
      <c r="F187" s="15" t="s">
        <v>3945</v>
      </c>
      <c r="G187" s="15" t="s">
        <v>7342</v>
      </c>
      <c r="H187" s="15" t="s">
        <v>2785</v>
      </c>
      <c r="I187" s="17">
        <v>37195.0</v>
      </c>
      <c r="J187" s="15">
        <v>2019.0</v>
      </c>
      <c r="K187" s="15" t="s">
        <v>2786</v>
      </c>
      <c r="L187" s="15" t="s">
        <v>2797</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5" t="s">
        <v>364</v>
      </c>
      <c r="BR187" s="26"/>
      <c r="BS187" s="26"/>
      <c r="BT187" s="26"/>
      <c r="BU187" s="26"/>
      <c r="BV187" s="26"/>
      <c r="BW187" s="26"/>
      <c r="BX187" s="26"/>
      <c r="BY187" s="18" t="str">
        <f t="shared" si="102"/>
        <v>COMP</v>
      </c>
      <c r="BZ187" s="18" t="str">
        <f t="shared" si="100"/>
        <v/>
      </c>
      <c r="CA187" s="18" t="str">
        <f t="shared" si="101"/>
        <v/>
      </c>
      <c r="CB187" s="15" t="s">
        <v>2908</v>
      </c>
      <c r="CC187" s="15" t="s">
        <v>2908</v>
      </c>
      <c r="CD187" s="25" t="s">
        <v>2797</v>
      </c>
      <c r="CE187" s="18"/>
      <c r="CF187" s="18"/>
      <c r="CG187" s="18"/>
    </row>
    <row r="188" ht="18.75" customHeight="1">
      <c r="A188" s="14">
        <v>44734.52427275463</v>
      </c>
      <c r="B188" s="15" t="s">
        <v>666</v>
      </c>
      <c r="C188" s="16" t="s">
        <v>7343</v>
      </c>
      <c r="D188" s="15" t="str">
        <f>IFERROR(__xludf.DUMMYFUNCTION("QUERY(TY_ALL_2023_Batch!$A$1:$E$824, ""SELECT E WHERE C='""&amp;B188&amp;""'"", 0)"),"COMP")</f>
        <v>COMP</v>
      </c>
      <c r="E188" s="15" t="s">
        <v>7344</v>
      </c>
      <c r="F188" s="15" t="s">
        <v>3499</v>
      </c>
      <c r="G188" s="15" t="s">
        <v>7345</v>
      </c>
      <c r="H188" s="15" t="s">
        <v>2826</v>
      </c>
      <c r="I188" s="17">
        <v>36994.0</v>
      </c>
      <c r="J188" s="15">
        <v>2019.0</v>
      </c>
      <c r="K188" s="15" t="s">
        <v>2786</v>
      </c>
      <c r="L188" s="15" t="s">
        <v>2787</v>
      </c>
      <c r="M188" s="18"/>
      <c r="N188" s="15" t="s">
        <v>7346</v>
      </c>
      <c r="O188" s="15" t="s">
        <v>666</v>
      </c>
      <c r="P188" s="19" t="s">
        <v>7347</v>
      </c>
      <c r="Q188" s="15">
        <v>8.975085923E9</v>
      </c>
      <c r="R188" s="15">
        <v>8.975085923E9</v>
      </c>
      <c r="S188" s="15">
        <v>8.390833355E9</v>
      </c>
      <c r="T188" s="15" t="s">
        <v>3499</v>
      </c>
      <c r="U188" s="15" t="s">
        <v>7348</v>
      </c>
      <c r="V188" s="15" t="s">
        <v>7349</v>
      </c>
      <c r="W188" s="18"/>
      <c r="X188" s="15">
        <v>93.2</v>
      </c>
      <c r="Y188" s="15" t="s">
        <v>2795</v>
      </c>
      <c r="Z188" s="15">
        <v>9.45</v>
      </c>
      <c r="AA188" s="15">
        <v>9.33</v>
      </c>
      <c r="AB188" s="15" t="s">
        <v>2796</v>
      </c>
      <c r="AC188" s="15" t="s">
        <v>2796</v>
      </c>
      <c r="AD188" s="15" t="s">
        <v>2796</v>
      </c>
      <c r="AE188" s="15" t="s">
        <v>2796</v>
      </c>
      <c r="AF188" s="15">
        <v>8.3</v>
      </c>
      <c r="AG188" s="15">
        <v>8.57</v>
      </c>
      <c r="AH188" s="15">
        <v>76.9</v>
      </c>
      <c r="AI188" s="18"/>
      <c r="AJ188" s="15" t="s">
        <v>2787</v>
      </c>
      <c r="AK188" s="15" t="s">
        <v>2787</v>
      </c>
      <c r="AL188" s="15" t="s">
        <v>7350</v>
      </c>
      <c r="AM188" s="15" t="s">
        <v>7351</v>
      </c>
      <c r="AN188" s="15" t="s">
        <v>2797</v>
      </c>
      <c r="AO188" s="18"/>
      <c r="AP188" s="18"/>
      <c r="AQ188" s="15" t="s">
        <v>5356</v>
      </c>
      <c r="AR188" s="18"/>
      <c r="AS188" s="15" t="s">
        <v>7352</v>
      </c>
      <c r="AT188" s="18"/>
      <c r="AU188" s="15" t="s">
        <v>7353</v>
      </c>
      <c r="AV188" s="15" t="s">
        <v>7354</v>
      </c>
      <c r="AW188" s="15" t="s">
        <v>7355</v>
      </c>
      <c r="AX188" s="18"/>
      <c r="AY188" s="15" t="s">
        <v>7356</v>
      </c>
      <c r="AZ188" s="15" t="s">
        <v>5287</v>
      </c>
      <c r="BA188" s="15" t="s">
        <v>2806</v>
      </c>
      <c r="BB188" s="15" t="s">
        <v>5649</v>
      </c>
      <c r="BC188" s="15" t="s">
        <v>3686</v>
      </c>
      <c r="BD188" s="15" t="s">
        <v>7357</v>
      </c>
      <c r="BE188" s="15" t="s">
        <v>7358</v>
      </c>
      <c r="BF188" s="18"/>
      <c r="BG188" s="18"/>
      <c r="BH188" s="18"/>
      <c r="BI188" s="15" t="s">
        <v>7359</v>
      </c>
      <c r="BJ188" s="19" t="s">
        <v>7360</v>
      </c>
      <c r="BK188" s="19" t="s">
        <v>7361</v>
      </c>
      <c r="BL188" s="18"/>
      <c r="BM188" s="18"/>
      <c r="BN188" s="19" t="s">
        <v>7362</v>
      </c>
      <c r="BO188" s="19" t="s">
        <v>7363</v>
      </c>
      <c r="BP188" s="19" t="s">
        <v>7364</v>
      </c>
      <c r="BQ188" s="15" t="s">
        <v>364</v>
      </c>
      <c r="BR188" s="26"/>
      <c r="BS188" s="26"/>
      <c r="BT188" s="26"/>
      <c r="BU188" s="26"/>
      <c r="BV188" s="26"/>
      <c r="BW188" s="26"/>
      <c r="BX188" s="26"/>
      <c r="BY188" s="18" t="str">
        <f t="shared" si="102"/>
        <v>COMP</v>
      </c>
      <c r="BZ188" s="18" t="str">
        <f t="shared" si="100"/>
        <v/>
      </c>
      <c r="CA188" s="18" t="str">
        <f t="shared" si="101"/>
        <v/>
      </c>
      <c r="CB188" s="15" t="s">
        <v>2908</v>
      </c>
      <c r="CC188" s="15" t="s">
        <v>2908</v>
      </c>
      <c r="CD188" s="25" t="s">
        <v>2797</v>
      </c>
      <c r="CE188" s="18"/>
      <c r="CF188" s="18"/>
      <c r="CG188" s="18"/>
    </row>
    <row r="189" ht="18.75" customHeight="1">
      <c r="A189" s="14">
        <v>44737.02567870371</v>
      </c>
      <c r="B189" s="15" t="s">
        <v>555</v>
      </c>
      <c r="C189" s="16" t="s">
        <v>7365</v>
      </c>
      <c r="D189" s="15" t="str">
        <f>IFERROR(__xludf.DUMMYFUNCTION("QUERY(TY_ALL_2023_Batch!$A$1:$E$824, ""SELECT E WHERE C='""&amp;B189&amp;""'"", 0)"),"COMP")</f>
        <v>COMP</v>
      </c>
      <c r="E189" s="15" t="s">
        <v>7366</v>
      </c>
      <c r="F189" s="15" t="s">
        <v>7367</v>
      </c>
      <c r="G189" s="15" t="s">
        <v>7368</v>
      </c>
      <c r="H189" s="15" t="s">
        <v>2785</v>
      </c>
      <c r="I189" s="17">
        <v>37392.0</v>
      </c>
      <c r="J189" s="15">
        <v>2019.0</v>
      </c>
      <c r="K189" s="15" t="s">
        <v>2786</v>
      </c>
      <c r="L189" s="15" t="s">
        <v>2787</v>
      </c>
      <c r="M189" s="18"/>
      <c r="N189" s="15" t="s">
        <v>7369</v>
      </c>
      <c r="O189" s="15" t="s">
        <v>555</v>
      </c>
      <c r="P189" s="19" t="s">
        <v>7370</v>
      </c>
      <c r="Q189" s="15">
        <v>7.038425996E9</v>
      </c>
      <c r="R189" s="15">
        <v>7.038425996E9</v>
      </c>
      <c r="S189" s="15">
        <v>7.03889491E9</v>
      </c>
      <c r="T189" s="15" t="s">
        <v>7371</v>
      </c>
      <c r="U189" s="15" t="s">
        <v>7372</v>
      </c>
      <c r="V189" s="15" t="s">
        <v>7373</v>
      </c>
      <c r="W189" s="18"/>
      <c r="X189" s="15">
        <v>94.0</v>
      </c>
      <c r="Y189" s="15" t="s">
        <v>2795</v>
      </c>
      <c r="Z189" s="15">
        <v>9.9</v>
      </c>
      <c r="AA189" s="15">
        <v>9.9</v>
      </c>
      <c r="AB189" s="15" t="s">
        <v>2796</v>
      </c>
      <c r="AC189" s="15" t="s">
        <v>2796</v>
      </c>
      <c r="AD189" s="15" t="s">
        <v>2796</v>
      </c>
      <c r="AE189" s="15" t="s">
        <v>2796</v>
      </c>
      <c r="AF189" s="15">
        <v>9.52</v>
      </c>
      <c r="AG189" s="15">
        <v>10.0</v>
      </c>
      <c r="AH189" s="15">
        <v>91.4</v>
      </c>
      <c r="AI189" s="18"/>
      <c r="AJ189" s="15" t="s">
        <v>2787</v>
      </c>
      <c r="AK189" s="15" t="s">
        <v>2787</v>
      </c>
      <c r="AL189" s="15">
        <v>744.0</v>
      </c>
      <c r="AM189" s="15">
        <v>780.0</v>
      </c>
      <c r="AN189" s="15" t="s">
        <v>2797</v>
      </c>
      <c r="AO189" s="18"/>
      <c r="AP189" s="18"/>
      <c r="AQ189" s="15" t="s">
        <v>7374</v>
      </c>
      <c r="AR189" s="18"/>
      <c r="AS189" s="15" t="s">
        <v>7375</v>
      </c>
      <c r="AT189" s="18"/>
      <c r="AU189" s="15" t="s">
        <v>7376</v>
      </c>
      <c r="AV189" s="15" t="s">
        <v>7377</v>
      </c>
      <c r="AW189" s="15" t="s">
        <v>7378</v>
      </c>
      <c r="AX189" s="18"/>
      <c r="AY189" s="15" t="s">
        <v>7136</v>
      </c>
      <c r="AZ189" s="15" t="s">
        <v>5335</v>
      </c>
      <c r="BA189" s="15" t="s">
        <v>5552</v>
      </c>
      <c r="BB189" s="15" t="s">
        <v>7379</v>
      </c>
      <c r="BC189" s="15" t="s">
        <v>5604</v>
      </c>
      <c r="BD189" s="15" t="s">
        <v>2807</v>
      </c>
      <c r="BE189" s="15" t="s">
        <v>7380</v>
      </c>
      <c r="BF189" s="15" t="s">
        <v>7381</v>
      </c>
      <c r="BG189" s="18"/>
      <c r="BH189" s="18"/>
      <c r="BI189" s="15" t="s">
        <v>7382</v>
      </c>
      <c r="BJ189" s="19" t="s">
        <v>7383</v>
      </c>
      <c r="BK189" s="19" t="s">
        <v>7384</v>
      </c>
      <c r="BL189" s="19" t="s">
        <v>7385</v>
      </c>
      <c r="BM189" s="19" t="s">
        <v>7386</v>
      </c>
      <c r="BN189" s="19" t="s">
        <v>7387</v>
      </c>
      <c r="BO189" s="19" t="s">
        <v>7388</v>
      </c>
      <c r="BP189" s="19" t="s">
        <v>7389</v>
      </c>
      <c r="BQ189" s="15" t="s">
        <v>364</v>
      </c>
      <c r="BR189" s="19" t="s">
        <v>7390</v>
      </c>
      <c r="BS189" s="26"/>
      <c r="BT189" s="26"/>
      <c r="BU189" s="19" t="s">
        <v>7391</v>
      </c>
      <c r="BV189" s="19" t="s">
        <v>7392</v>
      </c>
      <c r="BW189" s="15" t="s">
        <v>7393</v>
      </c>
      <c r="BX189" s="26"/>
      <c r="BY189" s="18" t="str">
        <f t="shared" si="102"/>
        <v>COMP</v>
      </c>
      <c r="BZ189" s="24" t="str">
        <f t="shared" si="100"/>
        <v>https://drive.google.com/open?id=1t2O05Q_WdwrVkUf97vicx0rGL0IE3ozj</v>
      </c>
      <c r="CA189" s="24" t="str">
        <f t="shared" si="101"/>
        <v>https://drive.google.com/open?id=1frqdhClM84pvW9cQUuS-LY1F_J3fDnDP</v>
      </c>
      <c r="CB189" s="15" t="s">
        <v>2821</v>
      </c>
      <c r="CC189" s="15" t="s">
        <v>2821</v>
      </c>
      <c r="CD189" s="25" t="s">
        <v>2797</v>
      </c>
      <c r="CE189" s="18"/>
      <c r="CF189" s="18"/>
      <c r="CG189" s="18"/>
    </row>
    <row r="190" ht="18.75" customHeight="1">
      <c r="A190" s="14">
        <v>44735.737058935185</v>
      </c>
      <c r="B190" s="15" t="s">
        <v>636</v>
      </c>
      <c r="C190" s="16" t="s">
        <v>7394</v>
      </c>
      <c r="D190" s="15" t="str">
        <f>IFERROR(__xludf.DUMMYFUNCTION("QUERY(TY_ALL_2023_Batch!$A$1:$E$824, ""SELECT E WHERE C='""&amp;B190&amp;""'"", 0)"),"COMP")</f>
        <v>COMP</v>
      </c>
      <c r="E190" s="15" t="s">
        <v>3549</v>
      </c>
      <c r="F190" s="15" t="s">
        <v>3247</v>
      </c>
      <c r="G190" s="15" t="s">
        <v>2996</v>
      </c>
      <c r="H190" s="15" t="s">
        <v>2826</v>
      </c>
      <c r="I190" s="17">
        <v>37069.0</v>
      </c>
      <c r="J190" s="15">
        <v>2019.0</v>
      </c>
      <c r="K190" s="15" t="s">
        <v>2786</v>
      </c>
      <c r="L190" s="15" t="s">
        <v>2787</v>
      </c>
      <c r="M190" s="18"/>
      <c r="N190" s="15" t="s">
        <v>7395</v>
      </c>
      <c r="O190" s="15" t="s">
        <v>636</v>
      </c>
      <c r="P190" s="19" t="s">
        <v>7396</v>
      </c>
      <c r="Q190" s="15">
        <v>9.17509077E9</v>
      </c>
      <c r="R190" s="15">
        <v>9.17509077E9</v>
      </c>
      <c r="S190" s="18"/>
      <c r="T190" s="15" t="s">
        <v>3247</v>
      </c>
      <c r="U190" s="15" t="s">
        <v>4073</v>
      </c>
      <c r="V190" s="15" t="s">
        <v>7397</v>
      </c>
      <c r="W190" s="18"/>
      <c r="X190" s="15">
        <v>90.4</v>
      </c>
      <c r="Y190" s="15" t="s">
        <v>2795</v>
      </c>
      <c r="Z190" s="15">
        <v>7.62</v>
      </c>
      <c r="AA190" s="15">
        <v>7.72</v>
      </c>
      <c r="AB190" s="15" t="s">
        <v>2796</v>
      </c>
      <c r="AC190" s="15" t="s">
        <v>2796</v>
      </c>
      <c r="AD190" s="15" t="s">
        <v>2796</v>
      </c>
      <c r="AE190" s="15" t="s">
        <v>2796</v>
      </c>
      <c r="AF190" s="15">
        <v>7.1</v>
      </c>
      <c r="AG190" s="15">
        <v>7.32</v>
      </c>
      <c r="AH190" s="15">
        <v>76.14</v>
      </c>
      <c r="AI190" s="18"/>
      <c r="AJ190" s="15" t="s">
        <v>2787</v>
      </c>
      <c r="AK190" s="15" t="s">
        <v>2787</v>
      </c>
      <c r="AL190" s="15">
        <v>69.0</v>
      </c>
      <c r="AM190" s="15">
        <v>49.0</v>
      </c>
      <c r="AN190" s="15" t="s">
        <v>2797</v>
      </c>
      <c r="AO190" s="18"/>
      <c r="AP190" s="18"/>
      <c r="AQ190" s="15" t="s">
        <v>7398</v>
      </c>
      <c r="AR190" s="18"/>
      <c r="AS190" s="15" t="s">
        <v>7399</v>
      </c>
      <c r="AT190" s="18"/>
      <c r="AU190" s="18"/>
      <c r="AV190" s="18"/>
      <c r="AW190" s="15" t="s">
        <v>7400</v>
      </c>
      <c r="AX190" s="18"/>
      <c r="AY190" s="15" t="s">
        <v>7401</v>
      </c>
      <c r="AZ190" s="15" t="s">
        <v>5287</v>
      </c>
      <c r="BA190" s="15" t="s">
        <v>6193</v>
      </c>
      <c r="BB190" s="15" t="s">
        <v>7402</v>
      </c>
      <c r="BC190" s="15" t="s">
        <v>3686</v>
      </c>
      <c r="BD190" s="15" t="s">
        <v>2807</v>
      </c>
      <c r="BE190" s="15" t="s">
        <v>2796</v>
      </c>
      <c r="BF190" s="18"/>
      <c r="BG190" s="18"/>
      <c r="BH190" s="15" t="s">
        <v>7403</v>
      </c>
      <c r="BI190" s="15" t="s">
        <v>7404</v>
      </c>
      <c r="BJ190" s="19" t="s">
        <v>7405</v>
      </c>
      <c r="BK190" s="19" t="s">
        <v>7406</v>
      </c>
      <c r="BL190" s="18"/>
      <c r="BM190" s="18"/>
      <c r="BN190" s="18"/>
      <c r="BO190" s="19" t="s">
        <v>7407</v>
      </c>
      <c r="BP190" s="18"/>
      <c r="BQ190" s="15" t="s">
        <v>364</v>
      </c>
      <c r="BR190" s="26"/>
      <c r="BS190" s="26"/>
      <c r="BT190" s="26"/>
      <c r="BU190" s="26"/>
      <c r="BV190" s="26"/>
      <c r="BW190" s="26"/>
      <c r="BX190" s="26"/>
      <c r="BY190" s="18" t="str">
        <f t="shared" si="102"/>
        <v>COMP</v>
      </c>
      <c r="BZ190" s="18" t="str">
        <f t="shared" si="100"/>
        <v/>
      </c>
      <c r="CA190" s="18" t="str">
        <f t="shared" si="101"/>
        <v/>
      </c>
      <c r="CB190" s="15" t="s">
        <v>2908</v>
      </c>
      <c r="CC190" s="15" t="s">
        <v>2908</v>
      </c>
      <c r="CD190" s="25" t="s">
        <v>2797</v>
      </c>
      <c r="CE190" s="18"/>
      <c r="CF190" s="18"/>
      <c r="CG190" s="18"/>
    </row>
    <row r="191" ht="18.75" customHeight="1">
      <c r="A191" s="14">
        <v>44736.46541109953</v>
      </c>
      <c r="B191" s="15" t="s">
        <v>831</v>
      </c>
      <c r="C191" s="16" t="s">
        <v>7408</v>
      </c>
      <c r="D191" s="15" t="str">
        <f>IFERROR(__xludf.DUMMYFUNCTION("QUERY(TY_ALL_2023_Batch!$A$1:$E$824, ""SELECT E WHERE C='""&amp;B191&amp;""'"", 0)"),"COMP")</f>
        <v>COMP</v>
      </c>
      <c r="E191" s="15" t="s">
        <v>7409</v>
      </c>
      <c r="F191" s="18"/>
      <c r="G191" s="15" t="s">
        <v>4277</v>
      </c>
      <c r="H191" s="15" t="s">
        <v>2785</v>
      </c>
      <c r="I191" s="17">
        <v>36545.0</v>
      </c>
      <c r="J191" s="15">
        <v>2019.0</v>
      </c>
      <c r="K191" s="15" t="s">
        <v>2786</v>
      </c>
      <c r="L191" s="15" t="s">
        <v>2787</v>
      </c>
      <c r="M191" s="18"/>
      <c r="N191" s="15" t="s">
        <v>7410</v>
      </c>
      <c r="O191" s="15" t="s">
        <v>831</v>
      </c>
      <c r="P191" s="19" t="s">
        <v>7411</v>
      </c>
      <c r="Q191" s="15">
        <v>7.352351523E9</v>
      </c>
      <c r="R191" s="15">
        <v>7.352351523E9</v>
      </c>
      <c r="S191" s="18"/>
      <c r="T191" s="15" t="s">
        <v>7412</v>
      </c>
      <c r="U191" s="15" t="s">
        <v>7413</v>
      </c>
      <c r="V191" s="15" t="s">
        <v>7414</v>
      </c>
      <c r="W191" s="15" t="s">
        <v>7415</v>
      </c>
      <c r="X191" s="15">
        <v>82.0</v>
      </c>
      <c r="Y191" s="15" t="s">
        <v>2795</v>
      </c>
      <c r="Z191" s="15">
        <v>8.29</v>
      </c>
      <c r="AA191" s="15">
        <v>7.86</v>
      </c>
      <c r="AB191" s="15" t="s">
        <v>2796</v>
      </c>
      <c r="AC191" s="15" t="s">
        <v>2796</v>
      </c>
      <c r="AD191" s="15">
        <v>8.26</v>
      </c>
      <c r="AE191" s="15">
        <v>7.86</v>
      </c>
      <c r="AF191" s="15">
        <v>8.26</v>
      </c>
      <c r="AG191" s="15">
        <v>7.86</v>
      </c>
      <c r="AH191" s="15">
        <v>67.0</v>
      </c>
      <c r="AI191" s="18"/>
      <c r="AJ191" s="15" t="s">
        <v>2787</v>
      </c>
      <c r="AK191" s="15" t="s">
        <v>2787</v>
      </c>
      <c r="AL191" s="15">
        <v>630.0</v>
      </c>
      <c r="AM191" s="15">
        <v>625.0</v>
      </c>
      <c r="AN191" s="15" t="s">
        <v>2797</v>
      </c>
      <c r="AO191" s="18"/>
      <c r="AP191" s="18"/>
      <c r="AQ191" s="15" t="s">
        <v>7416</v>
      </c>
      <c r="AR191" s="18"/>
      <c r="AS191" s="15" t="s">
        <v>7417</v>
      </c>
      <c r="AT191" s="18"/>
      <c r="AU191" s="18"/>
      <c r="AV191" s="15" t="s">
        <v>7418</v>
      </c>
      <c r="AW191" s="15" t="s">
        <v>7417</v>
      </c>
      <c r="AX191" s="18"/>
      <c r="AY191" s="15" t="s">
        <v>7419</v>
      </c>
      <c r="AZ191" s="15" t="s">
        <v>5260</v>
      </c>
      <c r="BA191" s="15" t="s">
        <v>7420</v>
      </c>
      <c r="BB191" s="15" t="s">
        <v>3514</v>
      </c>
      <c r="BC191" s="15" t="s">
        <v>5604</v>
      </c>
      <c r="BD191" s="15" t="s">
        <v>2807</v>
      </c>
      <c r="BE191" s="15" t="s">
        <v>2796</v>
      </c>
      <c r="BF191" s="18"/>
      <c r="BG191" s="18"/>
      <c r="BH191" s="18"/>
      <c r="BI191" s="18"/>
      <c r="BJ191" s="19" t="s">
        <v>7421</v>
      </c>
      <c r="BK191" s="19" t="s">
        <v>7422</v>
      </c>
      <c r="BL191" s="19" t="s">
        <v>7423</v>
      </c>
      <c r="BM191" s="19" t="s">
        <v>7424</v>
      </c>
      <c r="BN191" s="19" t="s">
        <v>7425</v>
      </c>
      <c r="BO191" s="19" t="s">
        <v>7426</v>
      </c>
      <c r="BP191" s="19" t="s">
        <v>7427</v>
      </c>
      <c r="BQ191" s="15" t="s">
        <v>364</v>
      </c>
      <c r="BR191" s="26"/>
      <c r="BS191" s="26"/>
      <c r="BT191" s="26"/>
      <c r="BU191" s="26"/>
      <c r="BV191" s="26"/>
      <c r="BW191" s="26"/>
      <c r="BX191" s="26"/>
      <c r="BY191" s="18" t="str">
        <f t="shared" si="102"/>
        <v>COMP</v>
      </c>
      <c r="BZ191" s="24" t="str">
        <f t="shared" si="100"/>
        <v>https://drive.google.com/open?id=1W5ZvQoI0FXQp_BHCUVg4HFAt61M8MD2a</v>
      </c>
      <c r="CA191" s="24" t="str">
        <f t="shared" si="101"/>
        <v>https://drive.google.com/open?id=1KljhuOYjnrJwTyaKGNUPt3JX2d2rpJip</v>
      </c>
      <c r="CB191" s="15" t="s">
        <v>2821</v>
      </c>
      <c r="CC191" s="15" t="s">
        <v>2821</v>
      </c>
      <c r="CD191" s="25" t="s">
        <v>2797</v>
      </c>
      <c r="CE191" s="18"/>
      <c r="CF191" s="18"/>
      <c r="CG191" s="18"/>
    </row>
    <row r="192" ht="18.75" customHeight="1">
      <c r="A192" s="14">
        <v>44750.844691736114</v>
      </c>
      <c r="B192" s="15" t="s">
        <v>591</v>
      </c>
      <c r="C192" s="16" t="s">
        <v>7428</v>
      </c>
      <c r="D192" s="15" t="str">
        <f>IFERROR(__xludf.DUMMYFUNCTION("QUERY(TY_ALL_2023_Batch!$A$1:$E$824, ""SELECT E WHERE C='""&amp;B192&amp;""'"", 0)"),"COMP")</f>
        <v>COMP</v>
      </c>
      <c r="E192" s="15" t="s">
        <v>7429</v>
      </c>
      <c r="F192" s="18"/>
      <c r="G192" s="15" t="s">
        <v>7430</v>
      </c>
      <c r="H192" s="15" t="s">
        <v>2785</v>
      </c>
      <c r="I192" s="17">
        <v>36586.0</v>
      </c>
      <c r="J192" s="15">
        <v>2019.0</v>
      </c>
      <c r="K192" s="15" t="s">
        <v>2786</v>
      </c>
      <c r="L192" s="15" t="s">
        <v>2787</v>
      </c>
      <c r="M192" s="18"/>
      <c r="N192" s="15" t="s">
        <v>7431</v>
      </c>
      <c r="O192" s="15" t="s">
        <v>591</v>
      </c>
      <c r="P192" s="19" t="s">
        <v>7432</v>
      </c>
      <c r="Q192" s="15">
        <v>8.789122599E9</v>
      </c>
      <c r="R192" s="15">
        <v>7.426854202E9</v>
      </c>
      <c r="S192" s="15">
        <v>7.352170425E9</v>
      </c>
      <c r="T192" s="15" t="s">
        <v>7433</v>
      </c>
      <c r="U192" s="15" t="s">
        <v>7434</v>
      </c>
      <c r="V192" s="15" t="s">
        <v>7435</v>
      </c>
      <c r="W192" s="15" t="s">
        <v>7436</v>
      </c>
      <c r="X192" s="15">
        <v>86.0</v>
      </c>
      <c r="Y192" s="15" t="s">
        <v>2795</v>
      </c>
      <c r="Z192" s="15">
        <v>9.76</v>
      </c>
      <c r="AA192" s="15">
        <v>9.05</v>
      </c>
      <c r="AB192" s="15" t="s">
        <v>2796</v>
      </c>
      <c r="AC192" s="15" t="s">
        <v>2796</v>
      </c>
      <c r="AD192" s="15" t="s">
        <v>2796</v>
      </c>
      <c r="AE192" s="15" t="s">
        <v>2796</v>
      </c>
      <c r="AF192" s="15">
        <v>8.64</v>
      </c>
      <c r="AG192" s="15">
        <v>9.1</v>
      </c>
      <c r="AH192" s="15">
        <v>70.0</v>
      </c>
      <c r="AI192" s="18"/>
      <c r="AJ192" s="15" t="s">
        <v>2787</v>
      </c>
      <c r="AK192" s="15" t="s">
        <v>2787</v>
      </c>
      <c r="AL192" s="15">
        <v>669.0</v>
      </c>
      <c r="AM192" s="15">
        <v>689.0</v>
      </c>
      <c r="AN192" s="15" t="s">
        <v>2787</v>
      </c>
      <c r="AO192" s="18"/>
      <c r="AP192" s="15" t="s">
        <v>7437</v>
      </c>
      <c r="AQ192" s="15" t="s">
        <v>7438</v>
      </c>
      <c r="AR192" s="18"/>
      <c r="AS192" s="18"/>
      <c r="AT192" s="18"/>
      <c r="AU192" s="18"/>
      <c r="AV192" s="15" t="s">
        <v>7439</v>
      </c>
      <c r="AW192" s="15" t="s">
        <v>7440</v>
      </c>
      <c r="AX192" s="15" t="s">
        <v>2796</v>
      </c>
      <c r="AY192" s="15" t="s">
        <v>7441</v>
      </c>
      <c r="AZ192" s="15" t="s">
        <v>5625</v>
      </c>
      <c r="BA192" s="15" t="s">
        <v>2839</v>
      </c>
      <c r="BB192" s="15" t="s">
        <v>5753</v>
      </c>
      <c r="BC192" s="15" t="s">
        <v>6444</v>
      </c>
      <c r="BD192" s="15" t="s">
        <v>3393</v>
      </c>
      <c r="BE192" s="15" t="s">
        <v>7442</v>
      </c>
      <c r="BF192" s="15" t="s">
        <v>2796</v>
      </c>
      <c r="BG192" s="15" t="s">
        <v>2796</v>
      </c>
      <c r="BH192" s="15" t="s">
        <v>7443</v>
      </c>
      <c r="BI192" s="15" t="s">
        <v>2796</v>
      </c>
      <c r="BJ192" s="19" t="s">
        <v>7444</v>
      </c>
      <c r="BK192" s="19" t="s">
        <v>7445</v>
      </c>
      <c r="BL192" s="18"/>
      <c r="BM192" s="18"/>
      <c r="BN192" s="19" t="s">
        <v>7446</v>
      </c>
      <c r="BO192" s="19" t="s">
        <v>7447</v>
      </c>
      <c r="BP192" s="19" t="s">
        <v>7448</v>
      </c>
      <c r="BQ192" s="15" t="s">
        <v>364</v>
      </c>
      <c r="BR192" s="26"/>
      <c r="BS192" s="26"/>
      <c r="BT192" s="26"/>
      <c r="BU192" s="26"/>
      <c r="BV192" s="26"/>
      <c r="BW192" s="15" t="s">
        <v>7449</v>
      </c>
      <c r="BX192" s="26"/>
      <c r="BY192" s="18" t="str">
        <f t="shared" si="102"/>
        <v>COMP</v>
      </c>
      <c r="BZ192" s="18" t="str">
        <f t="shared" si="100"/>
        <v/>
      </c>
      <c r="CA192" s="18" t="str">
        <f t="shared" si="101"/>
        <v/>
      </c>
      <c r="CB192" s="15" t="s">
        <v>2908</v>
      </c>
      <c r="CC192" s="15" t="s">
        <v>2908</v>
      </c>
      <c r="CD192" s="25" t="s">
        <v>2797</v>
      </c>
      <c r="CE192" s="18"/>
      <c r="CF192" s="18"/>
      <c r="CG192" s="18"/>
    </row>
    <row r="193" ht="18.75" customHeight="1">
      <c r="A193" s="14">
        <v>44736.46131993056</v>
      </c>
      <c r="B193" s="15" t="s">
        <v>927</v>
      </c>
      <c r="C193" s="16" t="s">
        <v>7450</v>
      </c>
      <c r="D193" s="15" t="str">
        <f>IFERROR(__xludf.DUMMYFUNCTION("QUERY(TY_ALL_2023_Batch!$A$1:$E$824, ""SELECT E WHERE C='""&amp;B193&amp;""'"", 0)"),"COMP")</f>
        <v>COMP</v>
      </c>
      <c r="E193" s="15" t="s">
        <v>7451</v>
      </c>
      <c r="F193" s="15" t="s">
        <v>4134</v>
      </c>
      <c r="G193" s="15" t="s">
        <v>7452</v>
      </c>
      <c r="H193" s="15" t="s">
        <v>2826</v>
      </c>
      <c r="I193" s="17">
        <v>37117.0</v>
      </c>
      <c r="J193" s="15">
        <v>2019.0</v>
      </c>
      <c r="K193" s="15" t="s">
        <v>2786</v>
      </c>
      <c r="L193" s="15" t="s">
        <v>2787</v>
      </c>
      <c r="M193" s="18"/>
      <c r="N193" s="15" t="s">
        <v>7453</v>
      </c>
      <c r="O193" s="15" t="s">
        <v>927</v>
      </c>
      <c r="P193" s="19" t="s">
        <v>7454</v>
      </c>
      <c r="Q193" s="15">
        <v>7.776058336E9</v>
      </c>
      <c r="R193" s="15">
        <v>7.776058336E9</v>
      </c>
      <c r="S193" s="15">
        <v>9.921182698E9</v>
      </c>
      <c r="T193" s="15" t="s">
        <v>7455</v>
      </c>
      <c r="U193" s="15" t="s">
        <v>7456</v>
      </c>
      <c r="V193" s="15" t="s">
        <v>7457</v>
      </c>
      <c r="W193" s="18"/>
      <c r="X193" s="15">
        <v>93.6</v>
      </c>
      <c r="Y193" s="15" t="s">
        <v>2795</v>
      </c>
      <c r="Z193" s="15">
        <v>9.9</v>
      </c>
      <c r="AA193" s="15">
        <v>9.71</v>
      </c>
      <c r="AB193" s="15" t="s">
        <v>2796</v>
      </c>
      <c r="AC193" s="15" t="s">
        <v>2796</v>
      </c>
      <c r="AD193" s="15" t="s">
        <v>2796</v>
      </c>
      <c r="AE193" s="15" t="s">
        <v>2796</v>
      </c>
      <c r="AF193" s="15">
        <v>9.05</v>
      </c>
      <c r="AG193" s="15">
        <v>9.33</v>
      </c>
      <c r="AH193" s="15">
        <v>86.4</v>
      </c>
      <c r="AI193" s="18"/>
      <c r="AJ193" s="15" t="s">
        <v>2787</v>
      </c>
      <c r="AK193" s="15" t="s">
        <v>2787</v>
      </c>
      <c r="AL193" s="15">
        <v>658.0</v>
      </c>
      <c r="AM193" s="15">
        <v>686.0</v>
      </c>
      <c r="AN193" s="15" t="s">
        <v>2797</v>
      </c>
      <c r="AO193" s="15" t="s">
        <v>2797</v>
      </c>
      <c r="AP193" s="15" t="s">
        <v>2797</v>
      </c>
      <c r="AQ193" s="15" t="s">
        <v>5356</v>
      </c>
      <c r="AR193" s="18"/>
      <c r="AS193" s="18"/>
      <c r="AT193" s="18"/>
      <c r="AU193" s="15" t="s">
        <v>7458</v>
      </c>
      <c r="AV193" s="15" t="s">
        <v>7459</v>
      </c>
      <c r="AW193" s="15" t="s">
        <v>7460</v>
      </c>
      <c r="AX193" s="18"/>
      <c r="AY193" s="15" t="s">
        <v>7461</v>
      </c>
      <c r="AZ193" s="15" t="s">
        <v>5335</v>
      </c>
      <c r="BA193" s="15" t="s">
        <v>5552</v>
      </c>
      <c r="BB193" s="15" t="s">
        <v>7462</v>
      </c>
      <c r="BC193" s="15" t="s">
        <v>4702</v>
      </c>
      <c r="BD193" s="15" t="s">
        <v>2807</v>
      </c>
      <c r="BE193" s="15" t="s">
        <v>7463</v>
      </c>
      <c r="BF193" s="18"/>
      <c r="BG193" s="18"/>
      <c r="BH193" s="18"/>
      <c r="BI193" s="18"/>
      <c r="BJ193" s="19" t="s">
        <v>7464</v>
      </c>
      <c r="BK193" s="19" t="s">
        <v>7465</v>
      </c>
      <c r="BL193" s="19" t="s">
        <v>7466</v>
      </c>
      <c r="BM193" s="19" t="s">
        <v>7467</v>
      </c>
      <c r="BN193" s="19" t="s">
        <v>7468</v>
      </c>
      <c r="BO193" s="19" t="s">
        <v>7469</v>
      </c>
      <c r="BP193" s="19" t="s">
        <v>7470</v>
      </c>
      <c r="BQ193" s="15" t="s">
        <v>364</v>
      </c>
      <c r="BR193" s="26"/>
      <c r="BS193" s="26"/>
      <c r="BT193" s="26"/>
      <c r="BU193" s="26"/>
      <c r="BV193" s="26"/>
      <c r="BW193" s="26"/>
      <c r="BX193" s="26"/>
      <c r="BY193" s="18" t="str">
        <f t="shared" si="102"/>
        <v>COMP</v>
      </c>
      <c r="BZ193" s="24" t="str">
        <f t="shared" si="100"/>
        <v>https://drive.google.com/open?id=1p5EIW8t9rEyJAvqb2dxVhoH3bf3uQ-Lf</v>
      </c>
      <c r="CA193" s="24" t="str">
        <f t="shared" si="101"/>
        <v>https://drive.google.com/open?id=1bj87W3TOuF4IPJv1kQNlKiRLqSjqNjCN</v>
      </c>
      <c r="CB193" s="15" t="s">
        <v>2821</v>
      </c>
      <c r="CC193" s="15" t="s">
        <v>2821</v>
      </c>
      <c r="CD193" s="25" t="s">
        <v>2797</v>
      </c>
      <c r="CE193" s="18"/>
      <c r="CF193" s="18"/>
      <c r="CG193" s="18"/>
    </row>
    <row r="194" ht="18.75" customHeight="1">
      <c r="A194" s="14">
        <v>44736.484691736114</v>
      </c>
      <c r="B194" s="15" t="s">
        <v>564</v>
      </c>
      <c r="C194" s="16" t="s">
        <v>7471</v>
      </c>
      <c r="D194" s="15" t="str">
        <f>IFERROR(__xludf.DUMMYFUNCTION("QUERY(TY_ALL_2023_Batch!$A$1:$E$824, ""SELECT E WHERE C='""&amp;B194&amp;""'"", 0)"),"COMP")</f>
        <v>COMP</v>
      </c>
      <c r="E194" s="15" t="s">
        <v>3328</v>
      </c>
      <c r="F194" s="18"/>
      <c r="G194" s="15" t="s">
        <v>5816</v>
      </c>
      <c r="H194" s="15" t="s">
        <v>2785</v>
      </c>
      <c r="I194" s="17">
        <v>36591.0</v>
      </c>
      <c r="J194" s="15">
        <v>2019.0</v>
      </c>
      <c r="K194" s="15" t="s">
        <v>2786</v>
      </c>
      <c r="L194" s="15" t="s">
        <v>2787</v>
      </c>
      <c r="M194" s="18"/>
      <c r="N194" s="15" t="s">
        <v>7472</v>
      </c>
      <c r="O194" s="15" t="s">
        <v>564</v>
      </c>
      <c r="P194" s="19" t="s">
        <v>7473</v>
      </c>
      <c r="Q194" s="15">
        <v>7.050899546E9</v>
      </c>
      <c r="R194" s="15">
        <v>7.050899546E9</v>
      </c>
      <c r="S194" s="15">
        <v>6.203493055E9</v>
      </c>
      <c r="T194" s="15" t="s">
        <v>7474</v>
      </c>
      <c r="U194" s="15" t="s">
        <v>7475</v>
      </c>
      <c r="V194" s="15" t="s">
        <v>7476</v>
      </c>
      <c r="W194" s="15" t="s">
        <v>7477</v>
      </c>
      <c r="X194" s="15">
        <v>76.0</v>
      </c>
      <c r="Y194" s="15" t="s">
        <v>2795</v>
      </c>
      <c r="Z194" s="15">
        <v>9.48</v>
      </c>
      <c r="AA194" s="15">
        <v>9.1</v>
      </c>
      <c r="AB194" s="15" t="s">
        <v>2796</v>
      </c>
      <c r="AC194" s="15" t="s">
        <v>2796</v>
      </c>
      <c r="AD194" s="15" t="s">
        <v>2796</v>
      </c>
      <c r="AE194" s="15" t="s">
        <v>2796</v>
      </c>
      <c r="AF194" s="15">
        <v>9.16</v>
      </c>
      <c r="AG194" s="15">
        <v>9.71</v>
      </c>
      <c r="AH194" s="15">
        <v>86.0</v>
      </c>
      <c r="AI194" s="18"/>
      <c r="AJ194" s="15" t="s">
        <v>2787</v>
      </c>
      <c r="AK194" s="15" t="s">
        <v>2787</v>
      </c>
      <c r="AL194" s="15">
        <v>540.833</v>
      </c>
      <c r="AM194" s="15">
        <v>660.0</v>
      </c>
      <c r="AN194" s="15" t="s">
        <v>2797</v>
      </c>
      <c r="AO194" s="15" t="s">
        <v>2796</v>
      </c>
      <c r="AP194" s="15" t="s">
        <v>2796</v>
      </c>
      <c r="AQ194" s="15" t="s">
        <v>7478</v>
      </c>
      <c r="AR194" s="15" t="s">
        <v>7479</v>
      </c>
      <c r="AS194" s="18"/>
      <c r="AT194" s="18"/>
      <c r="AU194" s="15" t="s">
        <v>7480</v>
      </c>
      <c r="AV194" s="15" t="s">
        <v>7481</v>
      </c>
      <c r="AW194" s="15" t="s">
        <v>7482</v>
      </c>
      <c r="AX194" s="18"/>
      <c r="AY194" s="15" t="s">
        <v>7260</v>
      </c>
      <c r="AZ194" s="15" t="s">
        <v>5625</v>
      </c>
      <c r="BA194" s="15" t="s">
        <v>6753</v>
      </c>
      <c r="BB194" s="15" t="s">
        <v>7483</v>
      </c>
      <c r="BC194" s="15" t="s">
        <v>7484</v>
      </c>
      <c r="BD194" s="15" t="s">
        <v>5422</v>
      </c>
      <c r="BE194" s="15" t="s">
        <v>7485</v>
      </c>
      <c r="BF194" s="15" t="s">
        <v>7486</v>
      </c>
      <c r="BG194" s="18"/>
      <c r="BH194" s="15" t="s">
        <v>7487</v>
      </c>
      <c r="BI194" s="15" t="s">
        <v>7488</v>
      </c>
      <c r="BJ194" s="19" t="s">
        <v>7489</v>
      </c>
      <c r="BK194" s="19" t="s">
        <v>7490</v>
      </c>
      <c r="BL194" s="19" t="s">
        <v>7491</v>
      </c>
      <c r="BM194" s="19" t="s">
        <v>7492</v>
      </c>
      <c r="BN194" s="19" t="s">
        <v>7493</v>
      </c>
      <c r="BO194" s="19" t="s">
        <v>7494</v>
      </c>
      <c r="BP194" s="19" t="s">
        <v>7495</v>
      </c>
      <c r="BQ194" s="15" t="s">
        <v>364</v>
      </c>
      <c r="BR194" s="26"/>
      <c r="BS194" s="26"/>
      <c r="BT194" s="26"/>
      <c r="BU194" s="26"/>
      <c r="BV194" s="26"/>
      <c r="BW194" s="26"/>
      <c r="BX194" s="26"/>
      <c r="BY194" s="18" t="str">
        <f t="shared" si="102"/>
        <v>COMP</v>
      </c>
      <c r="BZ194" s="24" t="str">
        <f t="shared" si="100"/>
        <v>https://drive.google.com/open?id=1DvM3c7cvttJ8arGI5IWFqixxFcmRpbZ7</v>
      </c>
      <c r="CA194" s="24" t="str">
        <f t="shared" si="101"/>
        <v>https://drive.google.com/open?id=1PJamJjl_fyMI4mH5KQzdljDzNX9IpVJw</v>
      </c>
      <c r="CB194" s="15" t="s">
        <v>2821</v>
      </c>
      <c r="CC194" s="15" t="s">
        <v>2821</v>
      </c>
      <c r="CD194" s="25" t="s">
        <v>2797</v>
      </c>
      <c r="CE194" s="18"/>
      <c r="CF194" s="18"/>
      <c r="CG194" s="18"/>
    </row>
    <row r="195" ht="18.75" customHeight="1">
      <c r="A195" s="14">
        <v>44734.548149062495</v>
      </c>
      <c r="B195" s="15" t="s">
        <v>403</v>
      </c>
      <c r="C195" s="16" t="s">
        <v>7496</v>
      </c>
      <c r="D195" s="15" t="str">
        <f>IFERROR(__xludf.DUMMYFUNCTION("QUERY(TY_ALL_2023_Batch!$A$1:$E$824, ""SELECT E WHERE C='""&amp;B195&amp;""'"", 0)"),"COMP")</f>
        <v>COMP</v>
      </c>
      <c r="E195" s="15" t="s">
        <v>7497</v>
      </c>
      <c r="F195" s="15" t="s">
        <v>3629</v>
      </c>
      <c r="G195" s="15" t="s">
        <v>3830</v>
      </c>
      <c r="H195" s="15" t="s">
        <v>2785</v>
      </c>
      <c r="I195" s="17">
        <v>37378.0</v>
      </c>
      <c r="J195" s="15">
        <v>2020.0</v>
      </c>
      <c r="K195" s="15" t="s">
        <v>2941</v>
      </c>
      <c r="L195" s="15" t="s">
        <v>2787</v>
      </c>
      <c r="M195" s="18"/>
      <c r="N195" s="15" t="s">
        <v>7498</v>
      </c>
      <c r="O195" s="15" t="s">
        <v>403</v>
      </c>
      <c r="P195" s="19" t="s">
        <v>7499</v>
      </c>
      <c r="Q195" s="15">
        <v>9.527921344E9</v>
      </c>
      <c r="R195" s="15">
        <v>9.284279213E9</v>
      </c>
      <c r="S195" s="15">
        <v>9.763628522E9</v>
      </c>
      <c r="T195" s="15" t="s">
        <v>3629</v>
      </c>
      <c r="U195" s="15" t="s">
        <v>7500</v>
      </c>
      <c r="V195" s="15" t="s">
        <v>7501</v>
      </c>
      <c r="W195" s="18"/>
      <c r="X195" s="15">
        <v>89.6</v>
      </c>
      <c r="Y195" s="15" t="s">
        <v>2948</v>
      </c>
      <c r="Z195" s="15">
        <v>9.71</v>
      </c>
      <c r="AA195" s="15">
        <v>9.48</v>
      </c>
      <c r="AB195" s="15" t="s">
        <v>2796</v>
      </c>
      <c r="AC195" s="15" t="s">
        <v>2796</v>
      </c>
      <c r="AD195" s="15" t="s">
        <v>2796</v>
      </c>
      <c r="AE195" s="15" t="s">
        <v>2796</v>
      </c>
      <c r="AF195" s="18"/>
      <c r="AG195" s="18"/>
      <c r="AH195" s="18"/>
      <c r="AI195" s="15">
        <v>93.6</v>
      </c>
      <c r="AJ195" s="15" t="s">
        <v>2787</v>
      </c>
      <c r="AK195" s="15" t="s">
        <v>2787</v>
      </c>
      <c r="AL195" s="15">
        <v>595.0</v>
      </c>
      <c r="AM195" s="15">
        <v>636.66</v>
      </c>
      <c r="AN195" s="15" t="s">
        <v>2797</v>
      </c>
      <c r="AO195" s="18"/>
      <c r="AP195" s="18"/>
      <c r="AQ195" s="15" t="s">
        <v>7502</v>
      </c>
      <c r="AR195" s="15" t="s">
        <v>7503</v>
      </c>
      <c r="AS195" s="18"/>
      <c r="AT195" s="18"/>
      <c r="AU195" s="18"/>
      <c r="AV195" s="15" t="s">
        <v>7504</v>
      </c>
      <c r="AW195" s="15" t="s">
        <v>7505</v>
      </c>
      <c r="AX195" s="18"/>
      <c r="AY195" s="15" t="s">
        <v>7506</v>
      </c>
      <c r="AZ195" s="15" t="s">
        <v>5335</v>
      </c>
      <c r="BA195" s="15" t="s">
        <v>6122</v>
      </c>
      <c r="BB195" s="15" t="s">
        <v>7483</v>
      </c>
      <c r="BC195" s="15" t="s">
        <v>7507</v>
      </c>
      <c r="BD195" s="15" t="s">
        <v>2807</v>
      </c>
      <c r="BE195" s="15" t="s">
        <v>7508</v>
      </c>
      <c r="BF195" s="18"/>
      <c r="BG195" s="18"/>
      <c r="BH195" s="18"/>
      <c r="BI195" s="15" t="s">
        <v>7509</v>
      </c>
      <c r="BJ195" s="19" t="s">
        <v>7510</v>
      </c>
      <c r="BK195" s="19" t="s">
        <v>7511</v>
      </c>
      <c r="BL195" s="19" t="s">
        <v>7512</v>
      </c>
      <c r="BM195" s="18"/>
      <c r="BN195" s="19" t="s">
        <v>7513</v>
      </c>
      <c r="BO195" s="19" t="s">
        <v>7514</v>
      </c>
      <c r="BP195" s="19" t="s">
        <v>7515</v>
      </c>
      <c r="BQ195" s="15" t="s">
        <v>364</v>
      </c>
      <c r="BR195" s="26"/>
      <c r="BS195" s="26"/>
      <c r="BT195" s="26"/>
      <c r="BU195" s="26"/>
      <c r="BV195" s="26"/>
      <c r="BW195" s="26"/>
      <c r="BX195" s="26"/>
      <c r="BY195" s="18" t="str">
        <f t="shared" si="102"/>
        <v>COMP</v>
      </c>
      <c r="BZ195" s="24" t="str">
        <f t="shared" si="100"/>
        <v>https://drive.google.com/open?id=1QJMljZ8neUvsfEL6WTAf-fU90mxLWHYw</v>
      </c>
      <c r="CA195" s="18" t="str">
        <f t="shared" si="101"/>
        <v/>
      </c>
      <c r="CB195" s="15" t="s">
        <v>2821</v>
      </c>
      <c r="CC195" s="15" t="s">
        <v>2908</v>
      </c>
      <c r="CD195" s="25" t="s">
        <v>2797</v>
      </c>
      <c r="CE195" s="18"/>
      <c r="CF195" s="18"/>
      <c r="CG195" s="18"/>
    </row>
    <row r="196" ht="18.75" customHeight="1">
      <c r="A196" s="14">
        <v>44736.514287962964</v>
      </c>
      <c r="B196" s="15" t="s">
        <v>397</v>
      </c>
      <c r="C196" s="16" t="s">
        <v>7516</v>
      </c>
      <c r="D196" s="15" t="str">
        <f>IFERROR(__xludf.DUMMYFUNCTION("QUERY(TY_ALL_2023_Batch!$A$1:$E$824, ""SELECT E WHERE C='""&amp;B196&amp;""'"", 0)"),"COMP")</f>
        <v>COMP</v>
      </c>
      <c r="E196" s="15" t="s">
        <v>7517</v>
      </c>
      <c r="F196" s="15" t="s">
        <v>4633</v>
      </c>
      <c r="G196" s="15" t="s">
        <v>7518</v>
      </c>
      <c r="H196" s="15" t="s">
        <v>2826</v>
      </c>
      <c r="I196" s="17">
        <v>36652.0</v>
      </c>
      <c r="J196" s="15">
        <v>2020.0</v>
      </c>
      <c r="K196" s="15" t="s">
        <v>2941</v>
      </c>
      <c r="L196" s="15" t="s">
        <v>2787</v>
      </c>
      <c r="M196" s="18"/>
      <c r="N196" s="15" t="s">
        <v>7519</v>
      </c>
      <c r="O196" s="15" t="s">
        <v>397</v>
      </c>
      <c r="P196" s="19" t="s">
        <v>7520</v>
      </c>
      <c r="Q196" s="15">
        <v>7.875419235E9</v>
      </c>
      <c r="R196" s="15">
        <v>7.875419235E9</v>
      </c>
      <c r="S196" s="15">
        <v>9.309539774E9</v>
      </c>
      <c r="T196" s="15" t="s">
        <v>7521</v>
      </c>
      <c r="U196" s="15" t="s">
        <v>7522</v>
      </c>
      <c r="V196" s="15" t="s">
        <v>7523</v>
      </c>
      <c r="W196" s="15" t="s">
        <v>7524</v>
      </c>
      <c r="X196" s="15">
        <v>81.0</v>
      </c>
      <c r="Y196" s="15" t="s">
        <v>2948</v>
      </c>
      <c r="Z196" s="15">
        <v>7.9</v>
      </c>
      <c r="AA196" s="15">
        <v>7.9</v>
      </c>
      <c r="AB196" s="15">
        <v>8.47</v>
      </c>
      <c r="AC196" s="15">
        <v>8.36</v>
      </c>
      <c r="AD196" s="15" t="s">
        <v>2796</v>
      </c>
      <c r="AE196" s="15" t="s">
        <v>2796</v>
      </c>
      <c r="AF196" s="18"/>
      <c r="AG196" s="18"/>
      <c r="AH196" s="18"/>
      <c r="AI196" s="15">
        <v>88.81</v>
      </c>
      <c r="AJ196" s="15" t="s">
        <v>2787</v>
      </c>
      <c r="AK196" s="15" t="s">
        <v>2787</v>
      </c>
      <c r="AL196" s="15">
        <v>473.0</v>
      </c>
      <c r="AM196" s="15">
        <v>585.0</v>
      </c>
      <c r="AN196" s="15" t="s">
        <v>2797</v>
      </c>
      <c r="AO196" s="18"/>
      <c r="AP196" s="18"/>
      <c r="AQ196" s="15" t="s">
        <v>7525</v>
      </c>
      <c r="AR196" s="15" t="s">
        <v>7526</v>
      </c>
      <c r="AS196" s="15" t="s">
        <v>7527</v>
      </c>
      <c r="AT196" s="15"/>
      <c r="AU196" s="18"/>
      <c r="AV196" s="15" t="s">
        <v>7528</v>
      </c>
      <c r="AW196" s="15" t="s">
        <v>7529</v>
      </c>
      <c r="AX196" s="18"/>
      <c r="AY196" s="15" t="s">
        <v>7530</v>
      </c>
      <c r="AZ196" s="15" t="s">
        <v>5625</v>
      </c>
      <c r="BA196" s="15" t="s">
        <v>5552</v>
      </c>
      <c r="BB196" s="15" t="s">
        <v>5803</v>
      </c>
      <c r="BC196" s="15" t="s">
        <v>5554</v>
      </c>
      <c r="BD196" s="15" t="s">
        <v>2807</v>
      </c>
      <c r="BE196" s="15" t="s">
        <v>7531</v>
      </c>
      <c r="BF196" s="18"/>
      <c r="BG196" s="18"/>
      <c r="BH196" s="15" t="s">
        <v>7532</v>
      </c>
      <c r="BI196" s="15" t="s">
        <v>7533</v>
      </c>
      <c r="BJ196" s="19" t="s">
        <v>7534</v>
      </c>
      <c r="BK196" s="19" t="s">
        <v>7535</v>
      </c>
      <c r="BL196" s="19" t="s">
        <v>7536</v>
      </c>
      <c r="BM196" s="19" t="s">
        <v>7537</v>
      </c>
      <c r="BN196" s="19" t="s">
        <v>7538</v>
      </c>
      <c r="BO196" s="19" t="s">
        <v>7539</v>
      </c>
      <c r="BP196" s="19" t="s">
        <v>7540</v>
      </c>
      <c r="BQ196" s="15" t="s">
        <v>364</v>
      </c>
      <c r="BR196" s="26"/>
      <c r="BS196" s="26"/>
      <c r="BT196" s="26"/>
      <c r="BU196" s="26"/>
      <c r="BV196" s="26"/>
      <c r="BW196" s="26"/>
      <c r="BX196" s="26"/>
      <c r="BY196" s="18" t="str">
        <f t="shared" si="102"/>
        <v>COMP</v>
      </c>
      <c r="BZ196" s="24" t="str">
        <f t="shared" si="100"/>
        <v>https://drive.google.com/open?id=1cJqL-GRHSR4nouTOR4nXuvt6sopcPsQk</v>
      </c>
      <c r="CA196" s="24" t="str">
        <f t="shared" si="101"/>
        <v>https://drive.google.com/open?id=1OP4bIbEhbgBl79Dlz3JdW-gQedEHJoFd</v>
      </c>
      <c r="CB196" s="15" t="s">
        <v>2821</v>
      </c>
      <c r="CC196" s="15" t="s">
        <v>2821</v>
      </c>
      <c r="CD196" s="25" t="s">
        <v>2797</v>
      </c>
      <c r="CE196" s="18"/>
      <c r="CF196" s="18"/>
      <c r="CG196" s="18"/>
    </row>
    <row r="197" ht="18.75" customHeight="1">
      <c r="A197" s="14">
        <v>44737.57208534722</v>
      </c>
      <c r="B197" s="15" t="s">
        <v>378</v>
      </c>
      <c r="C197" s="16" t="s">
        <v>7541</v>
      </c>
      <c r="D197" s="15" t="str">
        <f>IFERROR(__xludf.DUMMYFUNCTION("QUERY(TY_ALL_2023_Batch!$A$1:$E$824, ""SELECT E WHERE C='""&amp;B197&amp;""'"", 0)"),"COMP")</f>
        <v>COMP</v>
      </c>
      <c r="E197" s="15" t="s">
        <v>7542</v>
      </c>
      <c r="F197" s="18"/>
      <c r="G197" s="15" t="s">
        <v>7543</v>
      </c>
      <c r="H197" s="15" t="s">
        <v>2826</v>
      </c>
      <c r="I197" s="17">
        <v>37194.0</v>
      </c>
      <c r="J197" s="15">
        <v>2020.0</v>
      </c>
      <c r="K197" s="15" t="s">
        <v>2941</v>
      </c>
      <c r="L197" s="15" t="s">
        <v>2787</v>
      </c>
      <c r="M197" s="18"/>
      <c r="N197" s="15" t="s">
        <v>7544</v>
      </c>
      <c r="O197" s="15" t="s">
        <v>378</v>
      </c>
      <c r="P197" s="19" t="s">
        <v>7545</v>
      </c>
      <c r="Q197" s="15">
        <v>8.007889726E9</v>
      </c>
      <c r="R197" s="15">
        <v>8.007889726E9</v>
      </c>
      <c r="S197" s="15">
        <v>8.446420185E9</v>
      </c>
      <c r="T197" s="15" t="s">
        <v>7546</v>
      </c>
      <c r="U197" s="15" t="s">
        <v>2796</v>
      </c>
      <c r="V197" s="15" t="s">
        <v>7547</v>
      </c>
      <c r="W197" s="18"/>
      <c r="X197" s="15">
        <v>86.2</v>
      </c>
      <c r="Y197" s="15" t="s">
        <v>2948</v>
      </c>
      <c r="Z197" s="15">
        <v>8.71</v>
      </c>
      <c r="AA197" s="15">
        <v>9.33</v>
      </c>
      <c r="AB197" s="15" t="s">
        <v>2796</v>
      </c>
      <c r="AC197" s="15" t="s">
        <v>2796</v>
      </c>
      <c r="AD197" s="15" t="s">
        <v>2796</v>
      </c>
      <c r="AE197" s="15" t="s">
        <v>2796</v>
      </c>
      <c r="AF197" s="18"/>
      <c r="AG197" s="18"/>
      <c r="AH197" s="18"/>
      <c r="AI197" s="15">
        <v>93.09</v>
      </c>
      <c r="AJ197" s="15" t="s">
        <v>2787</v>
      </c>
      <c r="AK197" s="15" t="s">
        <v>2787</v>
      </c>
      <c r="AL197" s="15">
        <v>583.3</v>
      </c>
      <c r="AM197" s="15">
        <v>698.3</v>
      </c>
      <c r="AN197" s="15" t="s">
        <v>2797</v>
      </c>
      <c r="AO197" s="15" t="s">
        <v>2796</v>
      </c>
      <c r="AP197" s="15" t="s">
        <v>2796</v>
      </c>
      <c r="AQ197" s="15" t="s">
        <v>5356</v>
      </c>
      <c r="AR197" s="18"/>
      <c r="AS197" s="18"/>
      <c r="AT197" s="18"/>
      <c r="AU197" s="18"/>
      <c r="AV197" s="15" t="s">
        <v>7548</v>
      </c>
      <c r="AW197" s="15" t="s">
        <v>7549</v>
      </c>
      <c r="AX197" s="18"/>
      <c r="AY197" s="15" t="s">
        <v>7550</v>
      </c>
      <c r="AZ197" s="15" t="s">
        <v>5287</v>
      </c>
      <c r="BA197" s="15" t="s">
        <v>7551</v>
      </c>
      <c r="BB197" s="15" t="s">
        <v>5803</v>
      </c>
      <c r="BC197" s="15" t="s">
        <v>7552</v>
      </c>
      <c r="BD197" s="15" t="s">
        <v>7553</v>
      </c>
      <c r="BE197" s="15" t="s">
        <v>2796</v>
      </c>
      <c r="BF197" s="18"/>
      <c r="BG197" s="18"/>
      <c r="BH197" s="18"/>
      <c r="BI197" s="18"/>
      <c r="BJ197" s="19" t="s">
        <v>7554</v>
      </c>
      <c r="BK197" s="19" t="s">
        <v>7555</v>
      </c>
      <c r="BL197" s="19" t="s">
        <v>7556</v>
      </c>
      <c r="BM197" s="19" t="s">
        <v>7557</v>
      </c>
      <c r="BN197" s="19" t="s">
        <v>7558</v>
      </c>
      <c r="BO197" s="19" t="s">
        <v>7559</v>
      </c>
      <c r="BP197" s="18"/>
      <c r="BQ197" s="15" t="s">
        <v>364</v>
      </c>
      <c r="BR197" s="26"/>
      <c r="BS197" s="26"/>
      <c r="BT197" s="26"/>
      <c r="BU197" s="19" t="s">
        <v>7560</v>
      </c>
      <c r="BV197" s="26"/>
      <c r="BW197" s="15" t="s">
        <v>7561</v>
      </c>
      <c r="BX197" s="26"/>
      <c r="BY197" s="18" t="str">
        <f t="shared" si="102"/>
        <v>COMP</v>
      </c>
      <c r="BZ197" s="24" t="str">
        <f t="shared" si="100"/>
        <v>https://drive.google.com/open?id=1eZZ-w65x2N0NV70WE7vQIW4gRrbklpGX</v>
      </c>
      <c r="CA197" s="24" t="str">
        <f t="shared" si="101"/>
        <v>https://drive.google.com/open?id=1Q4urYNpJYvdm-MgyV4GHfwQG51NvlBTd</v>
      </c>
      <c r="CB197" s="15" t="s">
        <v>2821</v>
      </c>
      <c r="CC197" s="15" t="s">
        <v>2821</v>
      </c>
      <c r="CD197" s="25" t="s">
        <v>2797</v>
      </c>
      <c r="CE197" s="18"/>
      <c r="CF197" s="18"/>
      <c r="CG197" s="18"/>
    </row>
    <row r="198" ht="18.75" customHeight="1">
      <c r="A198" s="14">
        <v>44744.415452615736</v>
      </c>
      <c r="B198" s="15" t="s">
        <v>409</v>
      </c>
      <c r="C198" s="16" t="s">
        <v>7562</v>
      </c>
      <c r="D198" s="15" t="str">
        <f>IFERROR(__xludf.DUMMYFUNCTION("QUERY(TY_ALL_2023_Batch!$A$1:$E$824, ""SELECT E WHERE C='""&amp;B198&amp;""'"", 0)"),"COMP")</f>
        <v>COMP</v>
      </c>
      <c r="E198" s="15" t="s">
        <v>4836</v>
      </c>
      <c r="F198" s="15" t="s">
        <v>2972</v>
      </c>
      <c r="G198" s="15" t="s">
        <v>7563</v>
      </c>
      <c r="H198" s="15" t="s">
        <v>2826</v>
      </c>
      <c r="I198" s="17">
        <v>37150.0</v>
      </c>
      <c r="J198" s="15">
        <v>2020.0</v>
      </c>
      <c r="K198" s="15" t="s">
        <v>2941</v>
      </c>
      <c r="L198" s="15" t="s">
        <v>2787</v>
      </c>
      <c r="M198" s="18"/>
      <c r="N198" s="15" t="s">
        <v>7564</v>
      </c>
      <c r="O198" s="15" t="s">
        <v>409</v>
      </c>
      <c r="P198" s="19" t="s">
        <v>7565</v>
      </c>
      <c r="Q198" s="15">
        <v>9.923000662E9</v>
      </c>
      <c r="R198" s="15">
        <v>9.923000662E9</v>
      </c>
      <c r="S198" s="15">
        <v>9.730838684E9</v>
      </c>
      <c r="T198" s="15" t="s">
        <v>2972</v>
      </c>
      <c r="U198" s="15" t="s">
        <v>5991</v>
      </c>
      <c r="V198" s="15" t="s">
        <v>7566</v>
      </c>
      <c r="W198" s="15" t="s">
        <v>7567</v>
      </c>
      <c r="X198" s="15">
        <v>90.8</v>
      </c>
      <c r="Y198" s="15" t="s">
        <v>2948</v>
      </c>
      <c r="Z198" s="15">
        <v>8.05</v>
      </c>
      <c r="AA198" s="15">
        <v>8.76</v>
      </c>
      <c r="AB198" s="15">
        <v>8.4</v>
      </c>
      <c r="AC198" s="15">
        <v>8.8</v>
      </c>
      <c r="AD198" s="15" t="s">
        <v>3005</v>
      </c>
      <c r="AE198" s="15" t="s">
        <v>3005</v>
      </c>
      <c r="AF198" s="18"/>
      <c r="AG198" s="18"/>
      <c r="AH198" s="18"/>
      <c r="AI198" s="15">
        <v>92.88</v>
      </c>
      <c r="AJ198" s="15" t="s">
        <v>2787</v>
      </c>
      <c r="AK198" s="15" t="s">
        <v>2787</v>
      </c>
      <c r="AL198" s="15">
        <v>269.0</v>
      </c>
      <c r="AM198" s="15">
        <v>270.0</v>
      </c>
      <c r="AN198" s="15" t="s">
        <v>2797</v>
      </c>
      <c r="AO198" s="18"/>
      <c r="AP198" s="18"/>
      <c r="AQ198" s="15" t="s">
        <v>6408</v>
      </c>
      <c r="AR198" s="15" t="s">
        <v>7568</v>
      </c>
      <c r="AS198" s="18"/>
      <c r="AT198" s="18"/>
      <c r="AU198" s="18"/>
      <c r="AV198" s="15" t="s">
        <v>7569</v>
      </c>
      <c r="AW198" s="15" t="s">
        <v>7570</v>
      </c>
      <c r="AX198" s="18"/>
      <c r="AY198" s="15" t="s">
        <v>7571</v>
      </c>
      <c r="AZ198" s="15" t="s">
        <v>5287</v>
      </c>
      <c r="BA198" s="15" t="s">
        <v>5552</v>
      </c>
      <c r="BB198" s="15" t="s">
        <v>7572</v>
      </c>
      <c r="BC198" s="15" t="s">
        <v>7573</v>
      </c>
      <c r="BD198" s="15" t="s">
        <v>7574</v>
      </c>
      <c r="BE198" s="15" t="s">
        <v>7575</v>
      </c>
      <c r="BF198" s="18"/>
      <c r="BG198" s="18"/>
      <c r="BH198" s="18"/>
      <c r="BI198" s="15" t="s">
        <v>7576</v>
      </c>
      <c r="BJ198" s="19" t="s">
        <v>7577</v>
      </c>
      <c r="BK198" s="19" t="s">
        <v>7578</v>
      </c>
      <c r="BL198" s="19" t="s">
        <v>7579</v>
      </c>
      <c r="BM198" s="19" t="s">
        <v>7580</v>
      </c>
      <c r="BN198" s="19" t="s">
        <v>7581</v>
      </c>
      <c r="BO198" s="19" t="s">
        <v>7582</v>
      </c>
      <c r="BP198" s="19" t="s">
        <v>7583</v>
      </c>
      <c r="BQ198" s="15" t="s">
        <v>364</v>
      </c>
      <c r="BR198" s="26"/>
      <c r="BS198" s="26"/>
      <c r="BT198" s="26"/>
      <c r="BU198" s="26"/>
      <c r="BV198" s="26"/>
      <c r="BW198" s="15" t="s">
        <v>7584</v>
      </c>
      <c r="BX198" s="26"/>
      <c r="BY198" s="18" t="str">
        <f t="shared" si="102"/>
        <v>COMP</v>
      </c>
      <c r="BZ198" s="24" t="str">
        <f t="shared" si="100"/>
        <v>https://drive.google.com/open?id=1062Bk4WiYBDCjE3HLRnMsd2q2zDc0q1G</v>
      </c>
      <c r="CA198" s="24" t="str">
        <f t="shared" si="101"/>
        <v>https://drive.google.com/open?id=1Oz8AHNyV4xDw_GD6WRN42aB7JcgPQK3o</v>
      </c>
      <c r="CB198" s="15" t="s">
        <v>2821</v>
      </c>
      <c r="CC198" s="15" t="s">
        <v>2821</v>
      </c>
      <c r="CD198" s="25" t="s">
        <v>2797</v>
      </c>
      <c r="CE198" s="18"/>
      <c r="CF198" s="18"/>
      <c r="CG198" s="18"/>
    </row>
    <row r="199" ht="18.75" customHeight="1">
      <c r="A199" s="14">
        <v>44770.644259849534</v>
      </c>
      <c r="B199" s="15" t="s">
        <v>406</v>
      </c>
      <c r="C199" s="16" t="s">
        <v>7585</v>
      </c>
      <c r="D199" s="15" t="str">
        <f>IFERROR(__xludf.DUMMYFUNCTION("QUERY(TY_ALL_2023_Batch!$A$1:$E$824, ""SELECT E WHERE C='""&amp;B199&amp;""'"", 0)"),"COMP")</f>
        <v>COMP</v>
      </c>
      <c r="E199" s="15" t="s">
        <v>3404</v>
      </c>
      <c r="F199" s="15" t="s">
        <v>4470</v>
      </c>
      <c r="G199" s="15" t="s">
        <v>5325</v>
      </c>
      <c r="H199" s="15" t="s">
        <v>2785</v>
      </c>
      <c r="I199" s="17">
        <v>36845.0</v>
      </c>
      <c r="J199" s="15">
        <v>2020.0</v>
      </c>
      <c r="K199" s="15" t="s">
        <v>2941</v>
      </c>
      <c r="L199" s="15" t="s">
        <v>2787</v>
      </c>
      <c r="M199" s="18"/>
      <c r="N199" s="15" t="s">
        <v>7586</v>
      </c>
      <c r="O199" s="15" t="s">
        <v>406</v>
      </c>
      <c r="P199" s="19" t="s">
        <v>7587</v>
      </c>
      <c r="Q199" s="15">
        <v>7.798698674E9</v>
      </c>
      <c r="R199" s="15">
        <v>7.798698674E9</v>
      </c>
      <c r="S199" s="15">
        <v>7.058328804E9</v>
      </c>
      <c r="T199" s="15" t="s">
        <v>7588</v>
      </c>
      <c r="U199" s="15" t="s">
        <v>7589</v>
      </c>
      <c r="V199" s="15" t="s">
        <v>7590</v>
      </c>
      <c r="W199" s="15" t="s">
        <v>7591</v>
      </c>
      <c r="X199" s="15">
        <v>93.2</v>
      </c>
      <c r="Y199" s="15" t="s">
        <v>2948</v>
      </c>
      <c r="Z199" s="15">
        <v>9.52</v>
      </c>
      <c r="AA199" s="15">
        <v>9.67</v>
      </c>
      <c r="AB199" s="15">
        <v>9.1</v>
      </c>
      <c r="AC199" s="15">
        <v>8.95</v>
      </c>
      <c r="AD199" s="15" t="s">
        <v>2796</v>
      </c>
      <c r="AE199" s="15" t="s">
        <v>2796</v>
      </c>
      <c r="AF199" s="18"/>
      <c r="AG199" s="18"/>
      <c r="AH199" s="18"/>
      <c r="AI199" s="15">
        <v>93.77</v>
      </c>
      <c r="AJ199" s="15" t="s">
        <v>2787</v>
      </c>
      <c r="AK199" s="15" t="s">
        <v>2787</v>
      </c>
      <c r="AL199" s="15">
        <v>640.0</v>
      </c>
      <c r="AM199" s="15">
        <v>655.0</v>
      </c>
      <c r="AN199" s="15" t="s">
        <v>2797</v>
      </c>
      <c r="AO199" s="18"/>
      <c r="AP199" s="18"/>
      <c r="AQ199" s="15" t="s">
        <v>7592</v>
      </c>
      <c r="AR199" s="15" t="s">
        <v>7593</v>
      </c>
      <c r="AS199" s="15" t="s">
        <v>5356</v>
      </c>
      <c r="AT199" s="18"/>
      <c r="AU199" s="18"/>
      <c r="AV199" s="18"/>
      <c r="AW199" s="15" t="s">
        <v>7594</v>
      </c>
      <c r="AX199" s="18"/>
      <c r="AY199" s="15" t="s">
        <v>7595</v>
      </c>
      <c r="AZ199" s="15" t="s">
        <v>5335</v>
      </c>
      <c r="BA199" s="15" t="s">
        <v>6193</v>
      </c>
      <c r="BB199" s="15" t="s">
        <v>7596</v>
      </c>
      <c r="BC199" s="15" t="s">
        <v>5604</v>
      </c>
      <c r="BD199" s="15" t="s">
        <v>2807</v>
      </c>
      <c r="BE199" s="15" t="s">
        <v>7597</v>
      </c>
      <c r="BF199" s="15" t="s">
        <v>7598</v>
      </c>
      <c r="BG199" s="18"/>
      <c r="BH199" s="15" t="s">
        <v>7599</v>
      </c>
      <c r="BI199" s="15" t="s">
        <v>7600</v>
      </c>
      <c r="BJ199" s="19" t="s">
        <v>7601</v>
      </c>
      <c r="BK199" s="19" t="s">
        <v>7602</v>
      </c>
      <c r="BL199" s="19" t="s">
        <v>7603</v>
      </c>
      <c r="BM199" s="18"/>
      <c r="BN199" s="19" t="s">
        <v>7604</v>
      </c>
      <c r="BO199" s="19" t="s">
        <v>7605</v>
      </c>
      <c r="BP199" s="18"/>
      <c r="BQ199" s="15" t="s">
        <v>364</v>
      </c>
      <c r="BR199" s="26"/>
      <c r="BS199" s="26"/>
      <c r="BT199" s="26"/>
      <c r="BU199" s="26"/>
      <c r="BV199" s="26"/>
      <c r="BW199" s="15" t="s">
        <v>7606</v>
      </c>
      <c r="BX199" s="26"/>
      <c r="BY199" s="18" t="str">
        <f t="shared" si="102"/>
        <v>COMP</v>
      </c>
      <c r="BZ199" s="24" t="str">
        <f t="shared" si="100"/>
        <v>https://drive.google.com/open?id=1HkPRETWE5igSZsmVFln5uO94wfz43S0N</v>
      </c>
      <c r="CA199" s="18" t="str">
        <f t="shared" si="101"/>
        <v/>
      </c>
      <c r="CB199" s="15" t="s">
        <v>2821</v>
      </c>
      <c r="CC199" s="15" t="s">
        <v>2908</v>
      </c>
      <c r="CD199" s="25" t="s">
        <v>2797</v>
      </c>
      <c r="CE199" s="18"/>
      <c r="CF199" s="18"/>
      <c r="CG199" s="18"/>
    </row>
    <row r="200" ht="18.75" customHeight="1">
      <c r="A200" s="14">
        <v>44770.79358922454</v>
      </c>
      <c r="B200" s="15" t="s">
        <v>421</v>
      </c>
      <c r="C200" s="16" t="s">
        <v>7607</v>
      </c>
      <c r="D200" s="15" t="str">
        <f>IFERROR(__xludf.DUMMYFUNCTION("QUERY(TY_ALL_2023_Batch!$A$1:$E$824, ""SELECT E WHERE C='""&amp;B200&amp;""'"", 0)"),"COMP")</f>
        <v>COMP</v>
      </c>
      <c r="E200" s="15" t="s">
        <v>7608</v>
      </c>
      <c r="F200" s="15" t="s">
        <v>6015</v>
      </c>
      <c r="G200" s="15" t="s">
        <v>2973</v>
      </c>
      <c r="H200" s="15" t="s">
        <v>2785</v>
      </c>
      <c r="I200" s="17">
        <v>37204.0</v>
      </c>
      <c r="J200" s="15">
        <v>2020.0</v>
      </c>
      <c r="K200" s="15" t="s">
        <v>2941</v>
      </c>
      <c r="L200" s="15" t="s">
        <v>2787</v>
      </c>
      <c r="M200" s="18"/>
      <c r="N200" s="15" t="s">
        <v>7609</v>
      </c>
      <c r="O200" s="15" t="s">
        <v>421</v>
      </c>
      <c r="P200" s="19" t="s">
        <v>7610</v>
      </c>
      <c r="Q200" s="15">
        <v>8.600997436E9</v>
      </c>
      <c r="R200" s="15">
        <v>8.600997436E9</v>
      </c>
      <c r="S200" s="15">
        <v>9.356819597E9</v>
      </c>
      <c r="T200" s="15" t="s">
        <v>6015</v>
      </c>
      <c r="U200" s="15" t="s">
        <v>4099</v>
      </c>
      <c r="V200" s="15" t="s">
        <v>7611</v>
      </c>
      <c r="W200" s="15" t="s">
        <v>7612</v>
      </c>
      <c r="X200" s="15">
        <v>95.6</v>
      </c>
      <c r="Y200" s="15" t="s">
        <v>2948</v>
      </c>
      <c r="Z200" s="15">
        <v>9.71</v>
      </c>
      <c r="AA200" s="15">
        <v>9.52</v>
      </c>
      <c r="AB200" s="15">
        <v>9.43</v>
      </c>
      <c r="AC200" s="15">
        <v>9.24</v>
      </c>
      <c r="AD200" s="15" t="s">
        <v>2796</v>
      </c>
      <c r="AE200" s="15" t="s">
        <v>2796</v>
      </c>
      <c r="AF200" s="18"/>
      <c r="AG200" s="18"/>
      <c r="AH200" s="18"/>
      <c r="AI200" s="15">
        <v>93.19</v>
      </c>
      <c r="AJ200" s="15" t="s">
        <v>2787</v>
      </c>
      <c r="AK200" s="15" t="s">
        <v>2787</v>
      </c>
      <c r="AL200" s="15">
        <v>585.0</v>
      </c>
      <c r="AM200" s="15">
        <v>666.0</v>
      </c>
      <c r="AN200" s="15" t="s">
        <v>2797</v>
      </c>
      <c r="AO200" s="18"/>
      <c r="AP200" s="18"/>
      <c r="AQ200" s="15" t="s">
        <v>7613</v>
      </c>
      <c r="AR200" s="15" t="s">
        <v>5282</v>
      </c>
      <c r="AS200" s="18"/>
      <c r="AT200" s="18"/>
      <c r="AU200" s="15" t="s">
        <v>2796</v>
      </c>
      <c r="AV200" s="15" t="s">
        <v>7614</v>
      </c>
      <c r="AW200" s="15" t="s">
        <v>7615</v>
      </c>
      <c r="AX200" s="18"/>
      <c r="AY200" s="15" t="s">
        <v>7550</v>
      </c>
      <c r="AZ200" s="15" t="s">
        <v>5335</v>
      </c>
      <c r="BA200" s="15" t="s">
        <v>6193</v>
      </c>
      <c r="BB200" s="15" t="s">
        <v>7616</v>
      </c>
      <c r="BC200" s="15" t="s">
        <v>5604</v>
      </c>
      <c r="BD200" s="15" t="s">
        <v>2807</v>
      </c>
      <c r="BE200" s="15" t="s">
        <v>7617</v>
      </c>
      <c r="BF200" s="18"/>
      <c r="BG200" s="18"/>
      <c r="BH200" s="18"/>
      <c r="BI200" s="18"/>
      <c r="BJ200" s="19" t="s">
        <v>7618</v>
      </c>
      <c r="BK200" s="19" t="s">
        <v>7619</v>
      </c>
      <c r="BL200" s="19" t="s">
        <v>7620</v>
      </c>
      <c r="BM200" s="18"/>
      <c r="BN200" s="19" t="s">
        <v>7621</v>
      </c>
      <c r="BO200" s="19" t="s">
        <v>7622</v>
      </c>
      <c r="BP200" s="19" t="s">
        <v>7623</v>
      </c>
      <c r="BQ200" s="15" t="s">
        <v>364</v>
      </c>
      <c r="BR200" s="26"/>
      <c r="BS200" s="26"/>
      <c r="BT200" s="26"/>
      <c r="BU200" s="26"/>
      <c r="BV200" s="26"/>
      <c r="BW200" s="15" t="s">
        <v>7624</v>
      </c>
      <c r="BX200" s="26"/>
      <c r="BY200" s="18" t="str">
        <f t="shared" si="102"/>
        <v>COMP</v>
      </c>
      <c r="BZ200" s="24" t="str">
        <f t="shared" si="100"/>
        <v>https://drive.google.com/open?id=1S4ubonDs47Fsao3Nxhg95G7DowMPaVwT</v>
      </c>
      <c r="CA200" s="18" t="str">
        <f t="shared" si="101"/>
        <v/>
      </c>
      <c r="CB200" s="15" t="s">
        <v>2821</v>
      </c>
      <c r="CC200" s="15" t="s">
        <v>2908</v>
      </c>
      <c r="CD200" s="25" t="s">
        <v>2797</v>
      </c>
      <c r="CE200" s="18"/>
      <c r="CF200" s="18"/>
      <c r="CG200" s="18"/>
    </row>
    <row r="201" ht="18.75" customHeight="1">
      <c r="A201" s="44">
        <v>44746.68680555555</v>
      </c>
      <c r="B201" s="5" t="s">
        <v>7625</v>
      </c>
      <c r="C201" s="5">
        <v>1.20170412E8</v>
      </c>
      <c r="D201" s="15" t="s">
        <v>7626</v>
      </c>
      <c r="E201" s="5" t="s">
        <v>7627</v>
      </c>
      <c r="F201" s="5" t="s">
        <v>7628</v>
      </c>
      <c r="G201" s="5" t="s">
        <v>7629</v>
      </c>
      <c r="H201" s="5" t="s">
        <v>2785</v>
      </c>
      <c r="I201" s="45">
        <v>36276.0</v>
      </c>
      <c r="J201" s="5">
        <v>2017.0</v>
      </c>
      <c r="K201" s="5" t="s">
        <v>7630</v>
      </c>
      <c r="L201" s="5" t="s">
        <v>2787</v>
      </c>
      <c r="N201" s="5" t="s">
        <v>7631</v>
      </c>
      <c r="O201" s="5" t="s">
        <v>7625</v>
      </c>
      <c r="P201" s="33" t="s">
        <v>7632</v>
      </c>
      <c r="Q201" s="5">
        <v>8.390810524E9</v>
      </c>
      <c r="R201" s="5">
        <v>8.390810524E9</v>
      </c>
      <c r="T201" s="5" t="s">
        <v>7628</v>
      </c>
      <c r="U201" s="5" t="s">
        <v>7633</v>
      </c>
      <c r="V201" s="5" t="s">
        <v>7634</v>
      </c>
      <c r="W201" s="5" t="s">
        <v>7635</v>
      </c>
      <c r="X201" s="5">
        <v>70.0</v>
      </c>
      <c r="Y201" s="5" t="s">
        <v>2795</v>
      </c>
      <c r="Z201" s="5" t="s">
        <v>3005</v>
      </c>
      <c r="AA201" s="5" t="s">
        <v>3005</v>
      </c>
      <c r="AB201" s="5" t="s">
        <v>3005</v>
      </c>
      <c r="AC201" s="5" t="s">
        <v>3005</v>
      </c>
      <c r="AD201" s="5" t="s">
        <v>3005</v>
      </c>
      <c r="AE201" s="5" t="s">
        <v>3005</v>
      </c>
      <c r="AF201" s="5">
        <v>7.21</v>
      </c>
      <c r="AG201" s="5">
        <v>6.82</v>
      </c>
      <c r="AH201" s="5">
        <v>85.0</v>
      </c>
      <c r="AJ201" s="5" t="s">
        <v>2797</v>
      </c>
      <c r="AK201" s="5" t="s">
        <v>2787</v>
      </c>
      <c r="AN201" s="5" t="s">
        <v>2787</v>
      </c>
      <c r="AS201" s="5" t="s">
        <v>7636</v>
      </c>
      <c r="AZ201" s="5" t="s">
        <v>7637</v>
      </c>
      <c r="BA201" s="5" t="s">
        <v>7638</v>
      </c>
      <c r="BK201" s="33" t="s">
        <v>7639</v>
      </c>
      <c r="BQ201" s="5" t="s">
        <v>7626</v>
      </c>
      <c r="BZ201" s="18" t="str">
        <f t="shared" si="100"/>
        <v/>
      </c>
      <c r="CA201" s="18" t="str">
        <f t="shared" si="101"/>
        <v/>
      </c>
      <c r="CB201" s="5" t="s">
        <v>2797</v>
      </c>
      <c r="CC201" s="5" t="s">
        <v>2797</v>
      </c>
      <c r="CD201" s="34" t="s">
        <v>2797</v>
      </c>
      <c r="CG201" s="18"/>
    </row>
    <row r="202" ht="18.75" customHeight="1">
      <c r="A202" s="14">
        <v>44735.5595537037</v>
      </c>
      <c r="B202" s="15" t="s">
        <v>2064</v>
      </c>
      <c r="C202" s="16" t="s">
        <v>7640</v>
      </c>
      <c r="D202" s="15" t="str">
        <f>IFERROR(__xludf.DUMMYFUNCTION("QUERY(TY_ALL_2023_Batch!$A$1:$E$824, ""SELECT E WHERE C='""&amp;B202&amp;""'"", 0)"),"ETX")</f>
        <v>ETX</v>
      </c>
      <c r="E202" s="15" t="s">
        <v>7641</v>
      </c>
      <c r="F202" s="15" t="s">
        <v>2972</v>
      </c>
      <c r="G202" s="15" t="s">
        <v>7642</v>
      </c>
      <c r="H202" s="15" t="s">
        <v>2826</v>
      </c>
      <c r="I202" s="17">
        <v>36598.0</v>
      </c>
      <c r="J202" s="15">
        <v>2019.0</v>
      </c>
      <c r="K202" s="15" t="s">
        <v>2786</v>
      </c>
      <c r="L202" s="15" t="s">
        <v>2787</v>
      </c>
      <c r="M202" s="18"/>
      <c r="N202" s="15" t="s">
        <v>7643</v>
      </c>
      <c r="O202" s="15" t="s">
        <v>2064</v>
      </c>
      <c r="P202" s="19" t="s">
        <v>7644</v>
      </c>
      <c r="Q202" s="15">
        <v>7.666487777E9</v>
      </c>
      <c r="R202" s="15">
        <v>7.666487777E9</v>
      </c>
      <c r="S202" s="15">
        <v>9.653322312E9</v>
      </c>
      <c r="T202" s="15" t="s">
        <v>7645</v>
      </c>
      <c r="U202" s="15" t="s">
        <v>7646</v>
      </c>
      <c r="V202" s="15" t="s">
        <v>7647</v>
      </c>
      <c r="W202" s="18"/>
      <c r="X202" s="15">
        <v>93.6</v>
      </c>
      <c r="Y202" s="15" t="s">
        <v>2795</v>
      </c>
      <c r="Z202" s="15">
        <v>9.9</v>
      </c>
      <c r="AA202" s="15">
        <v>9.76</v>
      </c>
      <c r="AB202" s="15" t="s">
        <v>2796</v>
      </c>
      <c r="AC202" s="15" t="s">
        <v>2796</v>
      </c>
      <c r="AD202" s="15" t="s">
        <v>2796</v>
      </c>
      <c r="AE202" s="15" t="s">
        <v>2796</v>
      </c>
      <c r="AF202" s="15">
        <v>9.21</v>
      </c>
      <c r="AG202" s="15">
        <v>9.57</v>
      </c>
      <c r="AH202" s="15">
        <v>84.92</v>
      </c>
      <c r="AI202" s="18"/>
      <c r="AJ202" s="15" t="s">
        <v>2787</v>
      </c>
      <c r="AK202" s="15" t="s">
        <v>2787</v>
      </c>
      <c r="AL202" s="15">
        <v>676.66</v>
      </c>
      <c r="AM202" s="15">
        <v>676.66</v>
      </c>
      <c r="AN202" s="15" t="s">
        <v>2797</v>
      </c>
      <c r="AO202" s="18"/>
      <c r="AP202" s="18"/>
      <c r="AQ202" s="15" t="s">
        <v>5356</v>
      </c>
      <c r="AR202" s="18"/>
      <c r="AS202" s="18"/>
      <c r="AT202" s="18"/>
      <c r="AU202" s="15" t="s">
        <v>7648</v>
      </c>
      <c r="AV202" s="15" t="s">
        <v>7649</v>
      </c>
      <c r="AW202" s="15" t="s">
        <v>7650</v>
      </c>
      <c r="AX202" s="18"/>
      <c r="AY202" s="15" t="s">
        <v>7651</v>
      </c>
      <c r="AZ202" s="15" t="s">
        <v>5335</v>
      </c>
      <c r="BA202" s="15" t="s">
        <v>6193</v>
      </c>
      <c r="BB202" s="15" t="s">
        <v>6489</v>
      </c>
      <c r="BC202" s="15" t="s">
        <v>5705</v>
      </c>
      <c r="BD202" s="15" t="s">
        <v>2807</v>
      </c>
      <c r="BE202" s="15" t="s">
        <v>7652</v>
      </c>
      <c r="BF202" s="18"/>
      <c r="BG202" s="18"/>
      <c r="BH202" s="18"/>
      <c r="BI202" s="15" t="s">
        <v>7653</v>
      </c>
      <c r="BJ202" s="19" t="s">
        <v>7654</v>
      </c>
      <c r="BK202" s="19" t="s">
        <v>7655</v>
      </c>
      <c r="BL202" s="19" t="s">
        <v>7656</v>
      </c>
      <c r="BM202" s="19" t="s">
        <v>7657</v>
      </c>
      <c r="BN202" s="19" t="s">
        <v>7658</v>
      </c>
      <c r="BO202" s="19" t="s">
        <v>7659</v>
      </c>
      <c r="BP202" s="19" t="s">
        <v>7660</v>
      </c>
      <c r="BQ202" s="15" t="s">
        <v>364</v>
      </c>
      <c r="BR202" s="26"/>
      <c r="BS202" s="26"/>
      <c r="BT202" s="26"/>
      <c r="BU202" s="26"/>
      <c r="BV202" s="26"/>
      <c r="BW202" s="26"/>
      <c r="BX202" s="26"/>
      <c r="BY202" s="18" t="str">
        <f t="shared" ref="BY202:BY222" si="103">IF(NOT(ISBLANK(BQ202)), BQ202, D202)</f>
        <v>COMP</v>
      </c>
      <c r="BZ202" s="24" t="str">
        <f t="shared" si="100"/>
        <v>https://drive.google.com/open?id=11jiIFiPPu5f565AtZRE8Bmv-lqFOhFz2</v>
      </c>
      <c r="CA202" s="24" t="str">
        <f t="shared" si="101"/>
        <v>https://drive.google.com/open?id=1EZiLaAq8vlcG6xetMsx6yvC3ShmuCWP-</v>
      </c>
      <c r="CB202" s="15" t="s">
        <v>2821</v>
      </c>
      <c r="CC202" s="15" t="s">
        <v>2821</v>
      </c>
      <c r="CD202" s="25" t="s">
        <v>2797</v>
      </c>
      <c r="CE202" s="18"/>
      <c r="CF202" s="18"/>
      <c r="CG202" s="18"/>
    </row>
    <row r="203" ht="18.75" customHeight="1">
      <c r="A203" s="14">
        <v>44741.89001628473</v>
      </c>
      <c r="B203" s="15" t="s">
        <v>7661</v>
      </c>
      <c r="C203" s="16" t="s">
        <v>7662</v>
      </c>
      <c r="D203" s="15" t="str">
        <f>IFERROR(__xludf.DUMMYFUNCTION("QUERY(TY_ALL_2023_Batch!$A$1:$E$824, ""SELECT E WHERE C='""&amp;B203&amp;""'"", 0)"),"#N/A")</f>
        <v>#N/A</v>
      </c>
      <c r="E203" s="15" t="s">
        <v>7663</v>
      </c>
      <c r="F203" s="15" t="s">
        <v>4470</v>
      </c>
      <c r="G203" s="15" t="s">
        <v>7664</v>
      </c>
      <c r="H203" s="15" t="s">
        <v>2785</v>
      </c>
      <c r="I203" s="17">
        <v>37222.0</v>
      </c>
      <c r="J203" s="15">
        <v>2019.0</v>
      </c>
      <c r="K203" s="15" t="s">
        <v>2786</v>
      </c>
      <c r="L203" s="15" t="s">
        <v>2787</v>
      </c>
      <c r="M203" s="18"/>
      <c r="N203" s="15" t="s">
        <v>7665</v>
      </c>
      <c r="O203" s="15" t="s">
        <v>7661</v>
      </c>
      <c r="P203" s="19" t="s">
        <v>7666</v>
      </c>
      <c r="Q203" s="15">
        <v>9.011357015E9</v>
      </c>
      <c r="R203" s="15">
        <v>9.011357015E9</v>
      </c>
      <c r="S203" s="15">
        <v>8.208480151E9</v>
      </c>
      <c r="T203" s="15" t="s">
        <v>7667</v>
      </c>
      <c r="U203" s="15" t="s">
        <v>7668</v>
      </c>
      <c r="V203" s="15" t="s">
        <v>7669</v>
      </c>
      <c r="W203" s="15" t="s">
        <v>7670</v>
      </c>
      <c r="X203" s="15">
        <v>70.0</v>
      </c>
      <c r="Y203" s="15" t="s">
        <v>2795</v>
      </c>
      <c r="Z203" s="15">
        <v>8.38</v>
      </c>
      <c r="AA203" s="15">
        <v>7.76</v>
      </c>
      <c r="AB203" s="15" t="s">
        <v>2796</v>
      </c>
      <c r="AC203" s="15" t="s">
        <v>2796</v>
      </c>
      <c r="AD203" s="15" t="s">
        <v>2796</v>
      </c>
      <c r="AE203" s="15" t="s">
        <v>2796</v>
      </c>
      <c r="AF203" s="15">
        <v>7.32</v>
      </c>
      <c r="AG203" s="15">
        <v>6.86</v>
      </c>
      <c r="AH203" s="15">
        <v>56.0</v>
      </c>
      <c r="AI203" s="18"/>
      <c r="AJ203" s="15" t="s">
        <v>2787</v>
      </c>
      <c r="AK203" s="15" t="s">
        <v>2787</v>
      </c>
      <c r="AL203" s="35">
        <v>0.69</v>
      </c>
      <c r="AM203" s="35">
        <v>0.87</v>
      </c>
      <c r="AN203" s="15" t="s">
        <v>2787</v>
      </c>
      <c r="AO203" s="15" t="s">
        <v>2797</v>
      </c>
      <c r="AP203" s="15" t="s">
        <v>7671</v>
      </c>
      <c r="AQ203" s="15" t="s">
        <v>7672</v>
      </c>
      <c r="AR203" s="15" t="s">
        <v>7673</v>
      </c>
      <c r="AS203" s="15" t="s">
        <v>3313</v>
      </c>
      <c r="AT203" s="15" t="s">
        <v>3313</v>
      </c>
      <c r="AU203" s="15" t="s">
        <v>3313</v>
      </c>
      <c r="AV203" s="15" t="s">
        <v>7674</v>
      </c>
      <c r="AW203" s="15" t="s">
        <v>7675</v>
      </c>
      <c r="AX203" s="18"/>
      <c r="AY203" s="15" t="s">
        <v>7676</v>
      </c>
      <c r="AZ203" s="15" t="s">
        <v>5625</v>
      </c>
      <c r="BA203" s="15" t="s">
        <v>5552</v>
      </c>
      <c r="BB203" s="15" t="s">
        <v>5753</v>
      </c>
      <c r="BC203" s="15" t="s">
        <v>4702</v>
      </c>
      <c r="BD203" s="15" t="s">
        <v>2807</v>
      </c>
      <c r="BE203" s="15" t="s">
        <v>2796</v>
      </c>
      <c r="BF203" s="18"/>
      <c r="BG203" s="18"/>
      <c r="BH203" s="18"/>
      <c r="BI203" s="15" t="s">
        <v>7677</v>
      </c>
      <c r="BJ203" s="19" t="s">
        <v>7678</v>
      </c>
      <c r="BK203" s="19" t="s">
        <v>7679</v>
      </c>
      <c r="BL203" s="19" t="s">
        <v>7680</v>
      </c>
      <c r="BM203" s="19" t="s">
        <v>7681</v>
      </c>
      <c r="BN203" s="19" t="s">
        <v>7682</v>
      </c>
      <c r="BO203" s="19" t="s">
        <v>7683</v>
      </c>
      <c r="BP203" s="18"/>
      <c r="BQ203" s="15" t="s">
        <v>364</v>
      </c>
      <c r="BR203" s="26"/>
      <c r="BS203" s="26"/>
      <c r="BT203" s="26"/>
      <c r="BU203" s="26"/>
      <c r="BV203" s="26"/>
      <c r="BW203" s="15" t="s">
        <v>7684</v>
      </c>
      <c r="BX203" s="26"/>
      <c r="BY203" s="18" t="str">
        <f t="shared" si="103"/>
        <v>COMP</v>
      </c>
      <c r="BZ203" s="24" t="str">
        <f t="shared" si="100"/>
        <v>https://drive.google.com/open?id=1l6DrpjDcvAonCjPE2ZAAUF9FWvAY6O9D</v>
      </c>
      <c r="CA203" s="24" t="str">
        <f t="shared" si="101"/>
        <v>https://drive.google.com/open?id=1S_7SBZ01dfO5qNEIrBSESUqRMc34F_6M</v>
      </c>
      <c r="CB203" s="15" t="s">
        <v>2821</v>
      </c>
      <c r="CC203" s="15" t="s">
        <v>2821</v>
      </c>
      <c r="CD203" s="25" t="s">
        <v>2787</v>
      </c>
      <c r="CE203" s="18"/>
      <c r="CF203" s="18"/>
      <c r="CG203" s="18"/>
    </row>
    <row r="204" ht="18.75" customHeight="1">
      <c r="A204" s="14">
        <v>44739.50150611111</v>
      </c>
      <c r="B204" s="15" t="s">
        <v>7685</v>
      </c>
      <c r="C204" s="16" t="s">
        <v>7686</v>
      </c>
      <c r="D204" s="15" t="str">
        <f>IFERROR(__xludf.DUMMYFUNCTION("QUERY(TY_ALL_2023_Batch!$A$1:$E$824, ""SELECT E WHERE C='""&amp;B204&amp;""'"", 0)"),"#N/A")</f>
        <v>#N/A</v>
      </c>
      <c r="E204" s="15" t="s">
        <v>3360</v>
      </c>
      <c r="F204" s="15" t="s">
        <v>3247</v>
      </c>
      <c r="G204" s="15" t="s">
        <v>7687</v>
      </c>
      <c r="H204" s="15" t="s">
        <v>2785</v>
      </c>
      <c r="I204" s="17">
        <v>37236.0</v>
      </c>
      <c r="J204" s="15">
        <v>2019.0</v>
      </c>
      <c r="K204" s="15" t="s">
        <v>2786</v>
      </c>
      <c r="L204" s="15" t="s">
        <v>2787</v>
      </c>
      <c r="M204" s="18"/>
      <c r="N204" s="15" t="s">
        <v>7688</v>
      </c>
      <c r="O204" s="15" t="s">
        <v>7685</v>
      </c>
      <c r="P204" s="19" t="s">
        <v>7689</v>
      </c>
      <c r="Q204" s="15">
        <v>7.447293818E9</v>
      </c>
      <c r="R204" s="15">
        <v>7.447293818E9</v>
      </c>
      <c r="S204" s="15">
        <v>9.881024537E9</v>
      </c>
      <c r="T204" s="15" t="s">
        <v>3247</v>
      </c>
      <c r="U204" s="15" t="s">
        <v>7690</v>
      </c>
      <c r="V204" s="15" t="s">
        <v>7691</v>
      </c>
      <c r="W204" s="18"/>
      <c r="X204" s="15">
        <v>78.2</v>
      </c>
      <c r="Y204" s="15" t="s">
        <v>2795</v>
      </c>
      <c r="Z204" s="15">
        <v>8.9</v>
      </c>
      <c r="AA204" s="15">
        <v>8.9</v>
      </c>
      <c r="AB204" s="15" t="s">
        <v>2796</v>
      </c>
      <c r="AC204" s="15" t="s">
        <v>2796</v>
      </c>
      <c r="AD204" s="15" t="s">
        <v>2796</v>
      </c>
      <c r="AE204" s="15" t="s">
        <v>2796</v>
      </c>
      <c r="AF204" s="15">
        <v>8.11</v>
      </c>
      <c r="AG204" s="15">
        <v>8.71</v>
      </c>
      <c r="AH204" s="15">
        <v>60.0</v>
      </c>
      <c r="AI204" s="18"/>
      <c r="AJ204" s="15" t="s">
        <v>2787</v>
      </c>
      <c r="AK204" s="15" t="s">
        <v>2787</v>
      </c>
      <c r="AL204" s="15">
        <v>495.0</v>
      </c>
      <c r="AM204" s="15">
        <v>547.0</v>
      </c>
      <c r="AN204" s="15" t="s">
        <v>2787</v>
      </c>
      <c r="AO204" s="18"/>
      <c r="AP204" s="15" t="s">
        <v>7692</v>
      </c>
      <c r="AQ204" s="15" t="s">
        <v>7693</v>
      </c>
      <c r="AR204" s="18"/>
      <c r="AS204" s="15" t="s">
        <v>7694</v>
      </c>
      <c r="AT204" s="18"/>
      <c r="AU204" s="15" t="s">
        <v>7695</v>
      </c>
      <c r="AV204" s="15" t="s">
        <v>7696</v>
      </c>
      <c r="AW204" s="15" t="s">
        <v>7697</v>
      </c>
      <c r="AX204" s="18"/>
      <c r="AY204" s="15" t="s">
        <v>7698</v>
      </c>
      <c r="AZ204" s="15" t="s">
        <v>5260</v>
      </c>
      <c r="BA204" s="15" t="s">
        <v>6193</v>
      </c>
      <c r="BB204" s="15" t="s">
        <v>7699</v>
      </c>
      <c r="BC204" s="15" t="s">
        <v>7700</v>
      </c>
      <c r="BD204" s="15" t="s">
        <v>2842</v>
      </c>
      <c r="BE204" s="15" t="s">
        <v>7701</v>
      </c>
      <c r="BF204" s="18"/>
      <c r="BG204" s="18"/>
      <c r="BH204" s="18"/>
      <c r="BI204" s="15" t="s">
        <v>7702</v>
      </c>
      <c r="BJ204" s="19" t="s">
        <v>7703</v>
      </c>
      <c r="BK204" s="19" t="s">
        <v>7704</v>
      </c>
      <c r="BL204" s="19" t="s">
        <v>7705</v>
      </c>
      <c r="BM204" s="19" t="s">
        <v>7706</v>
      </c>
      <c r="BN204" s="19" t="s">
        <v>7707</v>
      </c>
      <c r="BO204" s="19" t="s">
        <v>7708</v>
      </c>
      <c r="BP204" s="19" t="s">
        <v>7709</v>
      </c>
      <c r="BQ204" s="15" t="s">
        <v>364</v>
      </c>
      <c r="BR204" s="26"/>
      <c r="BS204" s="26"/>
      <c r="BT204" s="26"/>
      <c r="BU204" s="19" t="s">
        <v>7710</v>
      </c>
      <c r="BV204" s="19" t="s">
        <v>7711</v>
      </c>
      <c r="BW204" s="15" t="s">
        <v>7712</v>
      </c>
      <c r="BX204" s="26"/>
      <c r="BY204" s="18" t="str">
        <f t="shared" si="103"/>
        <v>COMP</v>
      </c>
      <c r="BZ204" s="24" t="str">
        <f t="shared" si="100"/>
        <v>https://drive.google.com/open?id=1toNp5ETACJNxOmOCU5Bf4wEBJiJbk4YE</v>
      </c>
      <c r="CA204" s="24" t="str">
        <f t="shared" si="101"/>
        <v>https://drive.google.com/open?id=1oiGi1eHbxsgULmnW-SjznzOloWEFoT1v</v>
      </c>
      <c r="CB204" s="15" t="s">
        <v>2821</v>
      </c>
      <c r="CC204" s="15" t="s">
        <v>2821</v>
      </c>
      <c r="CD204" s="25" t="s">
        <v>2909</v>
      </c>
      <c r="CE204" s="18"/>
      <c r="CF204" s="18"/>
      <c r="CG204" s="18"/>
    </row>
    <row r="205" ht="18.75" customHeight="1">
      <c r="A205" s="14">
        <v>44736.4211069213</v>
      </c>
      <c r="B205" s="15" t="s">
        <v>7713</v>
      </c>
      <c r="C205" s="16" t="s">
        <v>7714</v>
      </c>
      <c r="D205" s="15" t="str">
        <f>IFERROR(__xludf.DUMMYFUNCTION("QUERY(TY_ALL_2023_Batch!$A$1:$E$824, ""SELECT E WHERE C='""&amp;B205&amp;""'"", 0)"),"#N/A")</f>
        <v>#N/A</v>
      </c>
      <c r="E205" s="15" t="s">
        <v>5205</v>
      </c>
      <c r="F205" s="15" t="s">
        <v>3828</v>
      </c>
      <c r="G205" s="15" t="s">
        <v>7715</v>
      </c>
      <c r="H205" s="15" t="s">
        <v>2826</v>
      </c>
      <c r="I205" s="17">
        <v>37040.0</v>
      </c>
      <c r="J205" s="15">
        <v>2020.0</v>
      </c>
      <c r="K205" s="15" t="s">
        <v>2941</v>
      </c>
      <c r="L205" s="15" t="s">
        <v>2787</v>
      </c>
      <c r="M205" s="18"/>
      <c r="N205" s="15" t="s">
        <v>415</v>
      </c>
      <c r="O205" s="15" t="s">
        <v>7713</v>
      </c>
      <c r="P205" s="19" t="s">
        <v>7716</v>
      </c>
      <c r="Q205" s="15">
        <v>8.788933422E9</v>
      </c>
      <c r="R205" s="15">
        <v>8.788933422E9</v>
      </c>
      <c r="S205" s="15">
        <v>9.552542884E9</v>
      </c>
      <c r="T205" s="15" t="s">
        <v>3828</v>
      </c>
      <c r="U205" s="15" t="s">
        <v>7717</v>
      </c>
      <c r="V205" s="15" t="s">
        <v>7718</v>
      </c>
      <c r="W205" s="15" t="s">
        <v>7719</v>
      </c>
      <c r="X205" s="15">
        <v>80.8</v>
      </c>
      <c r="Y205" s="15" t="s">
        <v>2948</v>
      </c>
      <c r="Z205" s="15">
        <v>9.8</v>
      </c>
      <c r="AA205" s="15">
        <v>9.76</v>
      </c>
      <c r="AB205" s="15" t="s">
        <v>2796</v>
      </c>
      <c r="AC205" s="15" t="s">
        <v>2796</v>
      </c>
      <c r="AD205" s="15" t="s">
        <v>2796</v>
      </c>
      <c r="AE205" s="15" t="s">
        <v>2796</v>
      </c>
      <c r="AF205" s="18"/>
      <c r="AG205" s="18"/>
      <c r="AH205" s="18"/>
      <c r="AI205" s="15">
        <v>92.46</v>
      </c>
      <c r="AJ205" s="15" t="s">
        <v>2787</v>
      </c>
      <c r="AK205" s="15" t="s">
        <v>2787</v>
      </c>
      <c r="AL205" s="15">
        <v>646.66</v>
      </c>
      <c r="AM205" s="15">
        <v>593.3</v>
      </c>
      <c r="AN205" s="15" t="s">
        <v>2797</v>
      </c>
      <c r="AO205" s="18"/>
      <c r="AP205" s="18"/>
      <c r="AQ205" s="15" t="s">
        <v>5356</v>
      </c>
      <c r="AR205" s="18"/>
      <c r="AS205" s="18"/>
      <c r="AT205" s="18"/>
      <c r="AU205" s="18"/>
      <c r="AV205" s="15" t="s">
        <v>7720</v>
      </c>
      <c r="AW205" s="15" t="s">
        <v>7721</v>
      </c>
      <c r="AX205" s="18"/>
      <c r="AY205" s="15" t="s">
        <v>7722</v>
      </c>
      <c r="AZ205" s="15" t="s">
        <v>5335</v>
      </c>
      <c r="BA205" s="15" t="s">
        <v>6193</v>
      </c>
      <c r="BB205" s="15" t="s">
        <v>6754</v>
      </c>
      <c r="BC205" s="15" t="s">
        <v>5577</v>
      </c>
      <c r="BD205" s="15" t="s">
        <v>2807</v>
      </c>
      <c r="BE205" s="15" t="s">
        <v>7723</v>
      </c>
      <c r="BF205" s="15" t="s">
        <v>7724</v>
      </c>
      <c r="BG205" s="18"/>
      <c r="BH205" s="15" t="s">
        <v>7725</v>
      </c>
      <c r="BI205" s="15" t="s">
        <v>7726</v>
      </c>
      <c r="BJ205" s="19" t="s">
        <v>7727</v>
      </c>
      <c r="BK205" s="19" t="s">
        <v>7728</v>
      </c>
      <c r="BL205" s="19" t="s">
        <v>7729</v>
      </c>
      <c r="BM205" s="19" t="s">
        <v>7730</v>
      </c>
      <c r="BN205" s="19" t="s">
        <v>7731</v>
      </c>
      <c r="BO205" s="19" t="s">
        <v>7732</v>
      </c>
      <c r="BP205" s="19" t="s">
        <v>7733</v>
      </c>
      <c r="BQ205" s="15" t="s">
        <v>364</v>
      </c>
      <c r="BR205" s="26"/>
      <c r="BS205" s="26"/>
      <c r="BT205" s="26"/>
      <c r="BU205" s="26"/>
      <c r="BV205" s="26"/>
      <c r="BW205" s="26"/>
      <c r="BX205" s="26"/>
      <c r="BY205" s="18" t="str">
        <f t="shared" si="103"/>
        <v>COMP</v>
      </c>
      <c r="BZ205" s="24" t="str">
        <f t="shared" si="100"/>
        <v>https://drive.google.com/open?id=1FiHuYblsAt8oom6NoGnUm_N5vgUXQQrj</v>
      </c>
      <c r="CA205" s="24" t="str">
        <f t="shared" si="101"/>
        <v>https://drive.google.com/open?id=1um4dO9unN4GATROOyHGJd4v2smFkPmYB</v>
      </c>
      <c r="CB205" s="15" t="s">
        <v>2821</v>
      </c>
      <c r="CC205" s="15" t="s">
        <v>2821</v>
      </c>
      <c r="CD205" s="25" t="s">
        <v>2797</v>
      </c>
      <c r="CE205" s="18"/>
      <c r="CF205" s="18"/>
      <c r="CG205" s="18"/>
    </row>
    <row r="206" ht="18.75" customHeight="1">
      <c r="A206" s="14">
        <v>44736.44004234954</v>
      </c>
      <c r="B206" s="15" t="s">
        <v>7734</v>
      </c>
      <c r="C206" s="16" t="s">
        <v>7735</v>
      </c>
      <c r="D206" s="15" t="str">
        <f>IFERROR(__xludf.DUMMYFUNCTION("QUERY(TY_ALL_2023_Batch!$A$1:$E$824, ""SELECT E WHERE C='""&amp;B206&amp;""'"", 0)"),"#N/A")</f>
        <v>#N/A</v>
      </c>
      <c r="E206" s="15" t="s">
        <v>7736</v>
      </c>
      <c r="F206" s="15" t="s">
        <v>7737</v>
      </c>
      <c r="G206" s="15" t="s">
        <v>5325</v>
      </c>
      <c r="H206" s="15" t="s">
        <v>2826</v>
      </c>
      <c r="I206" s="17">
        <v>36309.0</v>
      </c>
      <c r="J206" s="15">
        <v>2020.0</v>
      </c>
      <c r="K206" s="15" t="s">
        <v>2941</v>
      </c>
      <c r="L206" s="15" t="s">
        <v>2787</v>
      </c>
      <c r="M206" s="18"/>
      <c r="N206" s="15" t="s">
        <v>372</v>
      </c>
      <c r="O206" s="15" t="s">
        <v>7734</v>
      </c>
      <c r="P206" s="19" t="s">
        <v>7738</v>
      </c>
      <c r="Q206" s="15">
        <v>9.834881315E9</v>
      </c>
      <c r="R206" s="15">
        <v>8.08774379E9</v>
      </c>
      <c r="S206" s="18"/>
      <c r="T206" s="15" t="s">
        <v>7739</v>
      </c>
      <c r="U206" s="15" t="s">
        <v>7740</v>
      </c>
      <c r="V206" s="15" t="s">
        <v>7741</v>
      </c>
      <c r="W206" s="15" t="s">
        <v>7742</v>
      </c>
      <c r="X206" s="15">
        <v>73.0</v>
      </c>
      <c r="Y206" s="15" t="s">
        <v>2948</v>
      </c>
      <c r="Z206" s="15">
        <v>8.24</v>
      </c>
      <c r="AA206" s="15">
        <v>8.86</v>
      </c>
      <c r="AB206" s="15" t="s">
        <v>2796</v>
      </c>
      <c r="AC206" s="15" t="s">
        <v>2796</v>
      </c>
      <c r="AD206" s="15" t="s">
        <v>2796</v>
      </c>
      <c r="AE206" s="15" t="s">
        <v>2796</v>
      </c>
      <c r="AF206" s="18"/>
      <c r="AG206" s="18"/>
      <c r="AH206" s="18"/>
      <c r="AI206" s="15">
        <v>69.0</v>
      </c>
      <c r="AJ206" s="15" t="s">
        <v>2787</v>
      </c>
      <c r="AK206" s="15" t="s">
        <v>2787</v>
      </c>
      <c r="AL206" s="15">
        <v>665.0</v>
      </c>
      <c r="AM206" s="15">
        <v>596.66</v>
      </c>
      <c r="AN206" s="15" t="s">
        <v>2797</v>
      </c>
      <c r="AO206" s="15" t="s">
        <v>2796</v>
      </c>
      <c r="AP206" s="15" t="s">
        <v>2796</v>
      </c>
      <c r="AQ206" s="15" t="s">
        <v>7743</v>
      </c>
      <c r="AR206" s="15" t="s">
        <v>7744</v>
      </c>
      <c r="AS206" s="15" t="s">
        <v>7745</v>
      </c>
      <c r="AT206" s="15" t="s">
        <v>2796</v>
      </c>
      <c r="AU206" s="18"/>
      <c r="AV206" s="18"/>
      <c r="AW206" s="15" t="s">
        <v>7746</v>
      </c>
      <c r="AX206" s="18"/>
      <c r="AY206" s="15" t="s">
        <v>7747</v>
      </c>
      <c r="AZ206" s="15" t="s">
        <v>5260</v>
      </c>
      <c r="BA206" s="15" t="s">
        <v>7748</v>
      </c>
      <c r="BB206" s="15" t="s">
        <v>7749</v>
      </c>
      <c r="BC206" s="15" t="s">
        <v>5804</v>
      </c>
      <c r="BD206" s="15" t="s">
        <v>5422</v>
      </c>
      <c r="BE206" s="15" t="s">
        <v>2957</v>
      </c>
      <c r="BF206" s="15" t="s">
        <v>2796</v>
      </c>
      <c r="BG206" s="15" t="s">
        <v>2796</v>
      </c>
      <c r="BH206" s="18"/>
      <c r="BI206" s="15" t="s">
        <v>7750</v>
      </c>
      <c r="BJ206" s="19" t="s">
        <v>7751</v>
      </c>
      <c r="BK206" s="19" t="s">
        <v>7752</v>
      </c>
      <c r="BL206" s="19" t="s">
        <v>7753</v>
      </c>
      <c r="BM206" s="19" t="s">
        <v>7754</v>
      </c>
      <c r="BN206" s="19" t="s">
        <v>7755</v>
      </c>
      <c r="BO206" s="19" t="s">
        <v>7756</v>
      </c>
      <c r="BP206" s="18"/>
      <c r="BQ206" s="15" t="s">
        <v>364</v>
      </c>
      <c r="BR206" s="26"/>
      <c r="BS206" s="26"/>
      <c r="BT206" s="26"/>
      <c r="BU206" s="26"/>
      <c r="BV206" s="26"/>
      <c r="BW206" s="26"/>
      <c r="BX206" s="26"/>
      <c r="BY206" s="18" t="str">
        <f t="shared" si="103"/>
        <v>COMP</v>
      </c>
      <c r="BZ206" s="24" t="str">
        <f t="shared" si="100"/>
        <v>https://drive.google.com/open?id=1_N67j_0v6boUXD8pe2vvQcGmFi_dkMj5</v>
      </c>
      <c r="CA206" s="24" t="str">
        <f t="shared" si="101"/>
        <v>https://drive.google.com/open?id=1wdBBN5UNel0SpRf_YLg-NF3_qjb3-ywQ</v>
      </c>
      <c r="CB206" s="15" t="s">
        <v>2821</v>
      </c>
      <c r="CC206" s="15" t="s">
        <v>2821</v>
      </c>
      <c r="CD206" s="25" t="s">
        <v>2797</v>
      </c>
      <c r="CE206" s="18"/>
      <c r="CF206" s="18"/>
      <c r="CG206" s="18"/>
    </row>
    <row r="207" ht="18.75" customHeight="1">
      <c r="A207" s="14">
        <v>44736.57189099537</v>
      </c>
      <c r="B207" s="15" t="s">
        <v>7757</v>
      </c>
      <c r="C207" s="16" t="s">
        <v>7758</v>
      </c>
      <c r="D207" s="15" t="str">
        <f>IFERROR(__xludf.DUMMYFUNCTION("QUERY(TY_ALL_2023_Batch!$A$1:$E$824, ""SELECT E WHERE C='""&amp;B207&amp;""'"", 0)"),"#N/A")</f>
        <v>#N/A</v>
      </c>
      <c r="E207" s="15" t="s">
        <v>7759</v>
      </c>
      <c r="F207" s="18"/>
      <c r="G207" s="15" t="s">
        <v>7760</v>
      </c>
      <c r="H207" s="15" t="s">
        <v>2785</v>
      </c>
      <c r="I207" s="17">
        <v>37152.0</v>
      </c>
      <c r="J207" s="15">
        <v>2019.0</v>
      </c>
      <c r="K207" s="15" t="s">
        <v>2786</v>
      </c>
      <c r="L207" s="15" t="s">
        <v>2787</v>
      </c>
      <c r="M207" s="18"/>
      <c r="N207" s="15" t="s">
        <v>7761</v>
      </c>
      <c r="O207" s="15" t="s">
        <v>7757</v>
      </c>
      <c r="P207" s="19" t="s">
        <v>7762</v>
      </c>
      <c r="Q207" s="15">
        <v>9.284654961E9</v>
      </c>
      <c r="R207" s="15">
        <v>9.284654961E9</v>
      </c>
      <c r="S207" s="18"/>
      <c r="T207" s="15" t="s">
        <v>7760</v>
      </c>
      <c r="U207" s="15" t="s">
        <v>7763</v>
      </c>
      <c r="V207" s="15" t="s">
        <v>7764</v>
      </c>
      <c r="W207" s="18"/>
      <c r="X207" s="15">
        <v>92.0</v>
      </c>
      <c r="Y207" s="15" t="s">
        <v>2795</v>
      </c>
      <c r="Z207" s="15">
        <v>8.57</v>
      </c>
      <c r="AA207" s="15">
        <v>8.48</v>
      </c>
      <c r="AB207" s="15" t="s">
        <v>2796</v>
      </c>
      <c r="AC207" s="15" t="s">
        <v>2796</v>
      </c>
      <c r="AD207" s="15" t="s">
        <v>2796</v>
      </c>
      <c r="AE207" s="15" t="s">
        <v>2796</v>
      </c>
      <c r="AF207" s="15">
        <v>8.05</v>
      </c>
      <c r="AG207" s="15">
        <v>7.9</v>
      </c>
      <c r="AH207" s="15">
        <v>71.0</v>
      </c>
      <c r="AI207" s="18"/>
      <c r="AJ207" s="15" t="s">
        <v>2787</v>
      </c>
      <c r="AK207" s="15" t="s">
        <v>2787</v>
      </c>
      <c r="AL207" s="15">
        <v>578.0</v>
      </c>
      <c r="AM207" s="15">
        <v>483.0</v>
      </c>
      <c r="AN207" s="15" t="s">
        <v>2797</v>
      </c>
      <c r="AO207" s="18"/>
      <c r="AP207" s="18"/>
      <c r="AQ207" s="15" t="s">
        <v>7765</v>
      </c>
      <c r="AR207" s="15"/>
      <c r="AS207" s="18"/>
      <c r="AT207" s="18"/>
      <c r="AU207" s="15" t="s">
        <v>7766</v>
      </c>
      <c r="AV207" s="15" t="s">
        <v>7767</v>
      </c>
      <c r="AW207" s="15" t="s">
        <v>7768</v>
      </c>
      <c r="AX207" s="18"/>
      <c r="AY207" s="15" t="s">
        <v>6856</v>
      </c>
      <c r="AZ207" s="15" t="s">
        <v>5625</v>
      </c>
      <c r="BA207" s="15" t="s">
        <v>5552</v>
      </c>
      <c r="BB207" s="15" t="s">
        <v>5803</v>
      </c>
      <c r="BC207" s="15" t="s">
        <v>7769</v>
      </c>
      <c r="BD207" s="15" t="s">
        <v>4556</v>
      </c>
      <c r="BE207" s="15" t="s">
        <v>7770</v>
      </c>
      <c r="BF207" s="18"/>
      <c r="BG207" s="18"/>
      <c r="BH207" s="18"/>
      <c r="BI207" s="15" t="s">
        <v>7771</v>
      </c>
      <c r="BJ207" s="19" t="s">
        <v>7772</v>
      </c>
      <c r="BK207" s="19" t="s">
        <v>7773</v>
      </c>
      <c r="BL207" s="19" t="s">
        <v>7774</v>
      </c>
      <c r="BM207" s="19" t="s">
        <v>7775</v>
      </c>
      <c r="BN207" s="19" t="s">
        <v>7776</v>
      </c>
      <c r="BO207" s="19" t="s">
        <v>7777</v>
      </c>
      <c r="BP207" s="19" t="s">
        <v>7778</v>
      </c>
      <c r="BQ207" s="15" t="s">
        <v>364</v>
      </c>
      <c r="BR207" s="26"/>
      <c r="BS207" s="26"/>
      <c r="BT207" s="26"/>
      <c r="BU207" s="26"/>
      <c r="BV207" s="26"/>
      <c r="BW207" s="26"/>
      <c r="BX207" s="26"/>
      <c r="BY207" s="18" t="str">
        <f t="shared" si="103"/>
        <v>COMP</v>
      </c>
      <c r="BZ207" s="24" t="str">
        <f t="shared" si="100"/>
        <v>https://drive.google.com/open?id=1zYAM1z42jyoC7pO4ng6GEHZSUkSlA5o-</v>
      </c>
      <c r="CA207" s="24" t="str">
        <f t="shared" si="101"/>
        <v>https://drive.google.com/open?id=1aJqrPbycb3q7Eycu3rGKt1zxcuBu9XWX</v>
      </c>
      <c r="CB207" s="15" t="s">
        <v>2821</v>
      </c>
      <c r="CC207" s="15" t="s">
        <v>2821</v>
      </c>
      <c r="CD207" s="25" t="s">
        <v>2797</v>
      </c>
      <c r="CE207" s="18"/>
      <c r="CF207" s="18"/>
      <c r="CG207" s="18"/>
    </row>
    <row r="208">
      <c r="A208" s="14">
        <v>44735.641225451385</v>
      </c>
      <c r="B208" s="15" t="s">
        <v>7779</v>
      </c>
      <c r="C208" s="16" t="s">
        <v>7780</v>
      </c>
      <c r="D208" s="15" t="str">
        <f>IFERROR(__xludf.DUMMYFUNCTION("QUERY(TY_ALL_2023_Batch!$A$1:$E$824, ""SELECT E WHERE C='""&amp;B208&amp;""'"", 0)"),"#N/A")</f>
        <v>#N/A</v>
      </c>
      <c r="E208" s="15" t="s">
        <v>7781</v>
      </c>
      <c r="F208" s="15" t="s">
        <v>7782</v>
      </c>
      <c r="G208" s="15" t="s">
        <v>7783</v>
      </c>
      <c r="H208" s="15" t="s">
        <v>2785</v>
      </c>
      <c r="I208" s="17">
        <v>37223.0</v>
      </c>
      <c r="J208" s="15">
        <v>2019.0</v>
      </c>
      <c r="K208" s="15" t="s">
        <v>2786</v>
      </c>
      <c r="L208" s="15" t="s">
        <v>2787</v>
      </c>
      <c r="M208" s="18"/>
      <c r="N208" s="15" t="s">
        <v>7784</v>
      </c>
      <c r="O208" s="15" t="s">
        <v>7785</v>
      </c>
      <c r="P208" s="19" t="s">
        <v>7786</v>
      </c>
      <c r="Q208" s="15">
        <v>9.246882071E9</v>
      </c>
      <c r="R208" s="15">
        <v>9.246882071E9</v>
      </c>
      <c r="S208" s="15">
        <v>9.623445685E9</v>
      </c>
      <c r="T208" s="15" t="s">
        <v>7787</v>
      </c>
      <c r="U208" s="15" t="s">
        <v>7788</v>
      </c>
      <c r="V208" s="15" t="s">
        <v>7789</v>
      </c>
      <c r="W208" s="15" t="s">
        <v>7790</v>
      </c>
      <c r="X208" s="15">
        <v>93.0</v>
      </c>
      <c r="Y208" s="15" t="s">
        <v>2795</v>
      </c>
      <c r="Z208" s="15">
        <v>8.29</v>
      </c>
      <c r="AA208" s="15">
        <v>8.49</v>
      </c>
      <c r="AB208" s="15" t="s">
        <v>2796</v>
      </c>
      <c r="AC208" s="15" t="s">
        <v>2796</v>
      </c>
      <c r="AD208" s="15" t="s">
        <v>2796</v>
      </c>
      <c r="AE208" s="15" t="s">
        <v>2796</v>
      </c>
      <c r="AF208" s="15">
        <v>9.18</v>
      </c>
      <c r="AG208" s="15">
        <v>7.95</v>
      </c>
      <c r="AH208" s="15">
        <v>83.0</v>
      </c>
      <c r="AI208" s="18"/>
      <c r="AJ208" s="15" t="s">
        <v>2787</v>
      </c>
      <c r="AK208" s="15" t="s">
        <v>2787</v>
      </c>
      <c r="AL208" s="15">
        <v>701.67</v>
      </c>
      <c r="AM208" s="15">
        <v>701.67</v>
      </c>
      <c r="AN208" s="15" t="s">
        <v>2797</v>
      </c>
      <c r="AO208" s="15" t="s">
        <v>2796</v>
      </c>
      <c r="AP208" s="15" t="s">
        <v>2796</v>
      </c>
      <c r="AQ208" s="15" t="s">
        <v>5356</v>
      </c>
      <c r="AR208" s="18"/>
      <c r="AS208" s="18"/>
      <c r="AT208" s="18"/>
      <c r="AU208" s="15" t="s">
        <v>7791</v>
      </c>
      <c r="AV208" s="15" t="s">
        <v>7792</v>
      </c>
      <c r="AW208" s="15" t="s">
        <v>7793</v>
      </c>
      <c r="AX208" s="18"/>
      <c r="AY208" s="15" t="s">
        <v>7794</v>
      </c>
      <c r="AZ208" s="15" t="s">
        <v>5335</v>
      </c>
      <c r="BA208" s="15" t="s">
        <v>5552</v>
      </c>
      <c r="BB208" s="15" t="s">
        <v>5673</v>
      </c>
      <c r="BC208" s="15" t="s">
        <v>7795</v>
      </c>
      <c r="BD208" s="15" t="s">
        <v>7796</v>
      </c>
      <c r="BE208" s="15" t="s">
        <v>7797</v>
      </c>
      <c r="BF208" s="15" t="s">
        <v>7798</v>
      </c>
      <c r="BG208" s="18"/>
      <c r="BH208" s="18"/>
      <c r="BI208" s="18"/>
      <c r="BJ208" s="19" t="s">
        <v>7799</v>
      </c>
      <c r="BK208" s="19" t="s">
        <v>7800</v>
      </c>
      <c r="BL208" s="19" t="s">
        <v>7801</v>
      </c>
      <c r="BM208" s="19" t="s">
        <v>7802</v>
      </c>
      <c r="BN208" s="19" t="s">
        <v>7803</v>
      </c>
      <c r="BO208" s="19" t="s">
        <v>7804</v>
      </c>
      <c r="BP208" s="19" t="s">
        <v>7805</v>
      </c>
      <c r="BQ208" s="15" t="s">
        <v>364</v>
      </c>
      <c r="BR208" s="26"/>
      <c r="BS208" s="26"/>
      <c r="BT208" s="26"/>
      <c r="BU208" s="26"/>
      <c r="BV208" s="26"/>
      <c r="BW208" s="26"/>
      <c r="BX208" s="26"/>
      <c r="BY208" s="18" t="str">
        <f t="shared" si="103"/>
        <v>COMP</v>
      </c>
      <c r="BZ208" s="24" t="str">
        <f t="shared" si="100"/>
        <v>https://drive.google.com/open?id=1zJAVQThgS_sqVlTOgHkFdS_5q_-h5kyV</v>
      </c>
      <c r="CA208" s="24" t="str">
        <f t="shared" si="101"/>
        <v>https://drive.google.com/open?id=1Y93rGGAxbVSoCy5DGWzgHKOpMepkvdry</v>
      </c>
      <c r="CB208" s="15" t="s">
        <v>2821</v>
      </c>
      <c r="CC208" s="15" t="s">
        <v>2821</v>
      </c>
      <c r="CD208" s="25" t="s">
        <v>2797</v>
      </c>
      <c r="CE208" s="18"/>
      <c r="CF208" s="18"/>
      <c r="CG208" s="18"/>
    </row>
    <row r="209" ht="18.75" customHeight="1">
      <c r="A209" s="14">
        <v>44735.91716710648</v>
      </c>
      <c r="B209" s="15" t="s">
        <v>7806</v>
      </c>
      <c r="C209" s="16" t="s">
        <v>7807</v>
      </c>
      <c r="D209" s="15" t="str">
        <f>IFERROR(__xludf.DUMMYFUNCTION("QUERY(TY_ALL_2023_Batch!$A$1:$E$824, ""SELECT E WHERE C='""&amp;B209&amp;""'"", 0)"),"#N/A")</f>
        <v>#N/A</v>
      </c>
      <c r="E209" s="15" t="s">
        <v>3498</v>
      </c>
      <c r="F209" s="15" t="s">
        <v>3977</v>
      </c>
      <c r="G209" s="15" t="s">
        <v>3852</v>
      </c>
      <c r="H209" s="15" t="s">
        <v>2785</v>
      </c>
      <c r="I209" s="17">
        <v>36899.0</v>
      </c>
      <c r="J209" s="15">
        <v>2020.0</v>
      </c>
      <c r="K209" s="15" t="s">
        <v>2941</v>
      </c>
      <c r="L209" s="15" t="s">
        <v>2787</v>
      </c>
      <c r="M209" s="18"/>
      <c r="N209" s="15" t="s">
        <v>392</v>
      </c>
      <c r="O209" s="15" t="s">
        <v>7806</v>
      </c>
      <c r="P209" s="19" t="s">
        <v>7808</v>
      </c>
      <c r="Q209" s="15">
        <v>9.552014951E9</v>
      </c>
      <c r="R209" s="15">
        <v>9.552014951E9</v>
      </c>
      <c r="S209" s="15">
        <v>7.028825065E9</v>
      </c>
      <c r="T209" s="15" t="s">
        <v>7809</v>
      </c>
      <c r="U209" s="15" t="s">
        <v>7810</v>
      </c>
      <c r="V209" s="15" t="s">
        <v>7811</v>
      </c>
      <c r="W209" s="18"/>
      <c r="X209" s="15">
        <v>92.0</v>
      </c>
      <c r="Y209" s="15" t="s">
        <v>2948</v>
      </c>
      <c r="Z209" s="15">
        <v>9.05</v>
      </c>
      <c r="AA209" s="15">
        <v>9.43</v>
      </c>
      <c r="AB209" s="15" t="s">
        <v>2796</v>
      </c>
      <c r="AC209" s="15" t="s">
        <v>2796</v>
      </c>
      <c r="AD209" s="15" t="s">
        <v>2796</v>
      </c>
      <c r="AE209" s="15" t="s">
        <v>2796</v>
      </c>
      <c r="AF209" s="18"/>
      <c r="AG209" s="18"/>
      <c r="AH209" s="18"/>
      <c r="AI209" s="15">
        <v>81.8</v>
      </c>
      <c r="AJ209" s="15" t="s">
        <v>2787</v>
      </c>
      <c r="AK209" s="15" t="s">
        <v>2787</v>
      </c>
      <c r="AL209" s="15">
        <v>618.33</v>
      </c>
      <c r="AM209" s="15">
        <v>633.33</v>
      </c>
      <c r="AN209" s="15" t="s">
        <v>2797</v>
      </c>
      <c r="AO209" s="18"/>
      <c r="AP209" s="18"/>
      <c r="AQ209" s="15" t="s">
        <v>5356</v>
      </c>
      <c r="AR209" s="15" t="s">
        <v>7812</v>
      </c>
      <c r="AS209" s="15" t="s">
        <v>7813</v>
      </c>
      <c r="AT209" s="18"/>
      <c r="AU209" s="18"/>
      <c r="AV209" s="18"/>
      <c r="AW209" s="15" t="s">
        <v>7814</v>
      </c>
      <c r="AX209" s="18"/>
      <c r="AY209" s="15" t="s">
        <v>7815</v>
      </c>
      <c r="AZ209" s="15" t="s">
        <v>5260</v>
      </c>
      <c r="BA209" s="15" t="s">
        <v>5552</v>
      </c>
      <c r="BB209" s="15" t="s">
        <v>7816</v>
      </c>
      <c r="BC209" s="15" t="s">
        <v>5604</v>
      </c>
      <c r="BD209" s="15" t="s">
        <v>2807</v>
      </c>
      <c r="BE209" s="15" t="s">
        <v>2796</v>
      </c>
      <c r="BF209" s="18"/>
      <c r="BG209" s="18"/>
      <c r="BH209" s="15" t="s">
        <v>7817</v>
      </c>
      <c r="BI209" s="15" t="s">
        <v>7818</v>
      </c>
      <c r="BJ209" s="19" t="s">
        <v>7819</v>
      </c>
      <c r="BK209" s="19" t="s">
        <v>7820</v>
      </c>
      <c r="BL209" s="19" t="s">
        <v>7821</v>
      </c>
      <c r="BM209" s="19" t="s">
        <v>7822</v>
      </c>
      <c r="BN209" s="19" t="s">
        <v>7823</v>
      </c>
      <c r="BO209" s="19" t="s">
        <v>7824</v>
      </c>
      <c r="BP209" s="18"/>
      <c r="BQ209" s="15" t="s">
        <v>364</v>
      </c>
      <c r="BR209" s="26"/>
      <c r="BS209" s="26"/>
      <c r="BT209" s="26"/>
      <c r="BU209" s="26"/>
      <c r="BV209" s="26"/>
      <c r="BW209" s="26"/>
      <c r="BX209" s="26"/>
      <c r="BY209" s="18" t="str">
        <f t="shared" si="103"/>
        <v>COMP</v>
      </c>
      <c r="BZ209" s="24" t="str">
        <f t="shared" si="100"/>
        <v>https://drive.google.com/open?id=1rFVsRqt2UoQelRZc3PzrS21bOQcuwSHt</v>
      </c>
      <c r="CA209" s="24" t="str">
        <f t="shared" si="101"/>
        <v>https://drive.google.com/open?id=15VoLA9cXhCYwLfliDsrZUgpTXYeDRhC9</v>
      </c>
      <c r="CB209" s="15" t="s">
        <v>2821</v>
      </c>
      <c r="CC209" s="15" t="s">
        <v>2821</v>
      </c>
      <c r="CD209" s="25" t="s">
        <v>2797</v>
      </c>
      <c r="CE209" s="18"/>
      <c r="CF209" s="18"/>
      <c r="CG209" s="18"/>
    </row>
    <row r="210" ht="18.75" customHeight="1">
      <c r="A210" s="14">
        <v>44742.492960104166</v>
      </c>
      <c r="B210" s="15" t="s">
        <v>7825</v>
      </c>
      <c r="C210" s="16" t="s">
        <v>7826</v>
      </c>
      <c r="D210" s="15" t="str">
        <f>IFERROR(__xludf.DUMMYFUNCTION("QUERY(TY_ALL_2023_Batch!$A$1:$E$824, ""SELECT E WHERE C='""&amp;B210&amp;""'"", 0)"),"#N/A")</f>
        <v>#N/A</v>
      </c>
      <c r="E210" s="15" t="s">
        <v>7827</v>
      </c>
      <c r="F210" s="15" t="s">
        <v>7828</v>
      </c>
      <c r="G210" s="15" t="s">
        <v>7829</v>
      </c>
      <c r="H210" s="15" t="s">
        <v>2826</v>
      </c>
      <c r="I210" s="17">
        <v>37161.0</v>
      </c>
      <c r="J210" s="15">
        <v>2020.0</v>
      </c>
      <c r="K210" s="15" t="s">
        <v>2941</v>
      </c>
      <c r="L210" s="15" t="s">
        <v>2787</v>
      </c>
      <c r="M210" s="18"/>
      <c r="N210" s="15" t="s">
        <v>375</v>
      </c>
      <c r="O210" s="15" t="s">
        <v>7830</v>
      </c>
      <c r="P210" s="19" t="s">
        <v>7831</v>
      </c>
      <c r="Q210" s="15">
        <v>9.373958472E9</v>
      </c>
      <c r="R210" s="15">
        <v>9.373958472E9</v>
      </c>
      <c r="S210" s="15">
        <v>8.329108177E9</v>
      </c>
      <c r="T210" s="15" t="s">
        <v>7832</v>
      </c>
      <c r="U210" s="15" t="s">
        <v>7833</v>
      </c>
      <c r="V210" s="15" t="s">
        <v>7834</v>
      </c>
      <c r="W210" s="18"/>
      <c r="X210" s="15">
        <v>81.7</v>
      </c>
      <c r="Y210" s="15" t="s">
        <v>2948</v>
      </c>
      <c r="Z210" s="15">
        <v>8.86</v>
      </c>
      <c r="AA210" s="15">
        <v>9.81</v>
      </c>
      <c r="AB210" s="15">
        <v>8.9</v>
      </c>
      <c r="AC210" s="15">
        <v>9.3</v>
      </c>
      <c r="AD210" s="15" t="s">
        <v>2796</v>
      </c>
      <c r="AE210" s="15" t="s">
        <v>2796</v>
      </c>
      <c r="AF210" s="18"/>
      <c r="AG210" s="18"/>
      <c r="AH210" s="18"/>
      <c r="AI210" s="15">
        <v>92.46</v>
      </c>
      <c r="AJ210" s="15" t="s">
        <v>2787</v>
      </c>
      <c r="AK210" s="15" t="s">
        <v>2787</v>
      </c>
      <c r="AL210" s="15">
        <v>545.0</v>
      </c>
      <c r="AM210" s="15">
        <v>638.0</v>
      </c>
      <c r="AN210" s="15" t="s">
        <v>2797</v>
      </c>
      <c r="AO210" s="18"/>
      <c r="AP210" s="18"/>
      <c r="AQ210" s="15" t="s">
        <v>5356</v>
      </c>
      <c r="AR210" s="18"/>
      <c r="AS210" s="15" t="s">
        <v>7835</v>
      </c>
      <c r="AT210" s="18"/>
      <c r="AU210" s="15" t="s">
        <v>7836</v>
      </c>
      <c r="AV210" s="15" t="s">
        <v>7837</v>
      </c>
      <c r="AW210" s="15" t="s">
        <v>7838</v>
      </c>
      <c r="AX210" s="18"/>
      <c r="AY210" s="15" t="s">
        <v>7839</v>
      </c>
      <c r="AZ210" s="15" t="s">
        <v>5287</v>
      </c>
      <c r="BA210" s="15" t="s">
        <v>7840</v>
      </c>
      <c r="BB210" s="15" t="s">
        <v>7841</v>
      </c>
      <c r="BC210" s="15" t="s">
        <v>6980</v>
      </c>
      <c r="BD210" s="15" t="s">
        <v>2807</v>
      </c>
      <c r="BE210" s="15" t="s">
        <v>7842</v>
      </c>
      <c r="BF210" s="18"/>
      <c r="BG210" s="18"/>
      <c r="BH210" s="15" t="s">
        <v>7843</v>
      </c>
      <c r="BI210" s="15" t="s">
        <v>7844</v>
      </c>
      <c r="BJ210" s="19" t="s">
        <v>7845</v>
      </c>
      <c r="BK210" s="19" t="s">
        <v>7846</v>
      </c>
      <c r="BL210" s="19" t="s">
        <v>7847</v>
      </c>
      <c r="BM210" s="19" t="s">
        <v>7848</v>
      </c>
      <c r="BN210" s="19" t="s">
        <v>7849</v>
      </c>
      <c r="BO210" s="19" t="s">
        <v>7850</v>
      </c>
      <c r="BP210" s="19" t="s">
        <v>7851</v>
      </c>
      <c r="BQ210" s="15" t="s">
        <v>364</v>
      </c>
      <c r="BR210" s="15"/>
      <c r="BS210" s="26"/>
      <c r="BT210" s="26"/>
      <c r="BU210" s="26"/>
      <c r="BV210" s="26"/>
      <c r="BW210" s="15" t="s">
        <v>2796</v>
      </c>
      <c r="BX210" s="26"/>
      <c r="BY210" s="18" t="str">
        <f t="shared" si="103"/>
        <v>COMP</v>
      </c>
      <c r="BZ210" s="24" t="str">
        <f t="shared" si="100"/>
        <v>https://drive.google.com/open?id=1IjdOq2KL-tA4skD9QvmLOFFwReX5Zoax</v>
      </c>
      <c r="CA210" s="24" t="str">
        <f t="shared" si="101"/>
        <v>https://drive.google.com/open?id=181STrEVea-5Ktp55ZmAKmwSSIU7uY8mv</v>
      </c>
      <c r="CB210" s="15" t="s">
        <v>2821</v>
      </c>
      <c r="CC210" s="15" t="s">
        <v>2821</v>
      </c>
      <c r="CD210" s="25" t="s">
        <v>2797</v>
      </c>
      <c r="CE210" s="18"/>
      <c r="CF210" s="18"/>
      <c r="CG210" s="18"/>
    </row>
    <row r="211" ht="18.75" customHeight="1">
      <c r="A211" s="14">
        <v>44736.45540946759</v>
      </c>
      <c r="B211" s="15" t="s">
        <v>7852</v>
      </c>
      <c r="C211" s="16" t="s">
        <v>7853</v>
      </c>
      <c r="D211" s="15" t="str">
        <f>IFERROR(__xludf.DUMMYFUNCTION("QUERY(TY_ALL_2023_Batch!$A$1:$E$824, ""SELECT E WHERE C='""&amp;B211&amp;""'"", 0)"),"#N/A")</f>
        <v>#N/A</v>
      </c>
      <c r="E211" s="15" t="s">
        <v>7854</v>
      </c>
      <c r="F211" s="15" t="s">
        <v>7855</v>
      </c>
      <c r="G211" s="15" t="s">
        <v>7856</v>
      </c>
      <c r="H211" s="15" t="s">
        <v>2785</v>
      </c>
      <c r="I211" s="17">
        <v>37049.0</v>
      </c>
      <c r="J211" s="15">
        <v>2020.0</v>
      </c>
      <c r="K211" s="15" t="s">
        <v>2941</v>
      </c>
      <c r="L211" s="15" t="s">
        <v>2787</v>
      </c>
      <c r="M211" s="18"/>
      <c r="N211" s="15" t="s">
        <v>390</v>
      </c>
      <c r="O211" s="15" t="s">
        <v>7852</v>
      </c>
      <c r="P211" s="19" t="s">
        <v>7857</v>
      </c>
      <c r="Q211" s="15">
        <v>9.172899907E9</v>
      </c>
      <c r="R211" s="15">
        <v>9.172899907E9</v>
      </c>
      <c r="S211" s="15">
        <v>7.756917428E9</v>
      </c>
      <c r="T211" s="15" t="s">
        <v>7858</v>
      </c>
      <c r="U211" s="15" t="s">
        <v>3693</v>
      </c>
      <c r="V211" s="16" t="s">
        <v>7859</v>
      </c>
      <c r="W211" s="16" t="s">
        <v>7860</v>
      </c>
      <c r="X211" s="15">
        <v>89.8</v>
      </c>
      <c r="Y211" s="15" t="s">
        <v>2948</v>
      </c>
      <c r="Z211" s="15">
        <v>9.1</v>
      </c>
      <c r="AA211" s="15">
        <v>9.29</v>
      </c>
      <c r="AB211" s="15" t="s">
        <v>2796</v>
      </c>
      <c r="AC211" s="15" t="s">
        <v>2796</v>
      </c>
      <c r="AD211" s="15" t="s">
        <v>2796</v>
      </c>
      <c r="AE211" s="15" t="s">
        <v>2796</v>
      </c>
      <c r="AF211" s="18"/>
      <c r="AG211" s="18"/>
      <c r="AH211" s="18"/>
      <c r="AI211" s="15">
        <v>93.09</v>
      </c>
      <c r="AJ211" s="15" t="s">
        <v>2787</v>
      </c>
      <c r="AK211" s="15" t="s">
        <v>2787</v>
      </c>
      <c r="AL211" s="15">
        <v>576.0</v>
      </c>
      <c r="AM211" s="15">
        <v>628.0</v>
      </c>
      <c r="AN211" s="15" t="s">
        <v>2797</v>
      </c>
      <c r="AO211" s="15"/>
      <c r="AP211" s="15"/>
      <c r="AQ211" s="15" t="s">
        <v>5415</v>
      </c>
      <c r="AR211" s="15" t="s">
        <v>7861</v>
      </c>
      <c r="AS211" s="18"/>
      <c r="AT211" s="18"/>
      <c r="AU211" s="15"/>
      <c r="AV211" s="15"/>
      <c r="AW211" s="15" t="s">
        <v>7862</v>
      </c>
      <c r="AX211" s="18"/>
      <c r="AY211" s="15" t="s">
        <v>7863</v>
      </c>
      <c r="AZ211" s="15" t="s">
        <v>5287</v>
      </c>
      <c r="BA211" s="15" t="s">
        <v>6193</v>
      </c>
      <c r="BB211" s="15" t="s">
        <v>7864</v>
      </c>
      <c r="BC211" s="15" t="s">
        <v>5604</v>
      </c>
      <c r="BD211" s="15" t="s">
        <v>2807</v>
      </c>
      <c r="BE211" s="15" t="s">
        <v>7865</v>
      </c>
      <c r="BF211" s="18"/>
      <c r="BG211" s="18"/>
      <c r="BH211" s="18"/>
      <c r="BI211" s="18"/>
      <c r="BJ211" s="19" t="s">
        <v>7866</v>
      </c>
      <c r="BK211" s="19" t="s">
        <v>7867</v>
      </c>
      <c r="BL211" s="19" t="s">
        <v>7868</v>
      </c>
      <c r="BM211" s="19" t="s">
        <v>7869</v>
      </c>
      <c r="BN211" s="19" t="s">
        <v>7870</v>
      </c>
      <c r="BO211" s="19" t="s">
        <v>7871</v>
      </c>
      <c r="BP211" s="18"/>
      <c r="BQ211" s="15" t="s">
        <v>364</v>
      </c>
      <c r="BR211" s="26"/>
      <c r="BS211" s="26"/>
      <c r="BT211" s="26"/>
      <c r="BU211" s="26"/>
      <c r="BV211" s="26"/>
      <c r="BW211" s="26"/>
      <c r="BX211" s="26"/>
      <c r="BY211" s="18" t="str">
        <f t="shared" si="103"/>
        <v>COMP</v>
      </c>
      <c r="BZ211" s="24" t="str">
        <f t="shared" si="100"/>
        <v>https://drive.google.com/open?id=1oUrOJox8eoXZIaxHbayQZ0S5XdjbIdZk</v>
      </c>
      <c r="CA211" s="24" t="str">
        <f t="shared" si="101"/>
        <v>https://drive.google.com/open?id=13HoWzX-sWNzQ0LY8_4EBnxDKpsQ_jydn</v>
      </c>
      <c r="CB211" s="15" t="s">
        <v>2821</v>
      </c>
      <c r="CC211" s="15" t="s">
        <v>2821</v>
      </c>
      <c r="CD211" s="25" t="s">
        <v>2797</v>
      </c>
      <c r="CE211" s="18"/>
      <c r="CF211" s="18"/>
      <c r="CG211" s="18"/>
    </row>
    <row r="212" ht="18.75" customHeight="1">
      <c r="A212" s="14">
        <v>44740.64859224537</v>
      </c>
      <c r="B212" s="15" t="s">
        <v>7872</v>
      </c>
      <c r="C212" s="16" t="s">
        <v>7873</v>
      </c>
      <c r="D212" s="15" t="str">
        <f>IFERROR(__xludf.DUMMYFUNCTION("QUERY(TY_ALL_2023_Batch!$A$1:$E$824, ""SELECT E WHERE C='""&amp;B212&amp;""'"", 0)"),"#N/A")</f>
        <v>#N/A</v>
      </c>
      <c r="E212" s="15" t="s">
        <v>6568</v>
      </c>
      <c r="F212" s="15" t="s">
        <v>5565</v>
      </c>
      <c r="G212" s="15" t="s">
        <v>7874</v>
      </c>
      <c r="H212" s="15" t="s">
        <v>2826</v>
      </c>
      <c r="I212" s="17">
        <v>37016.0</v>
      </c>
      <c r="J212" s="15">
        <v>2020.0</v>
      </c>
      <c r="K212" s="15" t="s">
        <v>2941</v>
      </c>
      <c r="L212" s="15" t="s">
        <v>2787</v>
      </c>
      <c r="M212" s="18"/>
      <c r="N212" s="15" t="s">
        <v>387</v>
      </c>
      <c r="O212" s="15" t="s">
        <v>7872</v>
      </c>
      <c r="P212" s="19" t="s">
        <v>7875</v>
      </c>
      <c r="Q212" s="15">
        <v>9.356612714E9</v>
      </c>
      <c r="R212" s="15">
        <v>9.356612714E9</v>
      </c>
      <c r="S212" s="15">
        <v>8.007853585E9</v>
      </c>
      <c r="T212" s="15" t="s">
        <v>7876</v>
      </c>
      <c r="U212" s="15" t="s">
        <v>7877</v>
      </c>
      <c r="V212" s="15" t="s">
        <v>7878</v>
      </c>
      <c r="W212" s="15" t="s">
        <v>7879</v>
      </c>
      <c r="X212" s="15">
        <v>94.2</v>
      </c>
      <c r="Y212" s="15" t="s">
        <v>2948</v>
      </c>
      <c r="Z212" s="15">
        <v>8.57</v>
      </c>
      <c r="AA212" s="15">
        <v>9.24</v>
      </c>
      <c r="AB212" s="15">
        <v>9.1</v>
      </c>
      <c r="AC212" s="15">
        <v>9.2</v>
      </c>
      <c r="AD212" s="15" t="s">
        <v>2796</v>
      </c>
      <c r="AE212" s="15" t="s">
        <v>2796</v>
      </c>
      <c r="AF212" s="18"/>
      <c r="AG212" s="18"/>
      <c r="AH212" s="18"/>
      <c r="AI212" s="15">
        <v>93.09</v>
      </c>
      <c r="AJ212" s="15" t="s">
        <v>2787</v>
      </c>
      <c r="AK212" s="15" t="s">
        <v>2787</v>
      </c>
      <c r="AL212" s="15">
        <v>655.0</v>
      </c>
      <c r="AM212" s="15">
        <v>693.0</v>
      </c>
      <c r="AN212" s="15" t="s">
        <v>2797</v>
      </c>
      <c r="AO212" s="18"/>
      <c r="AP212" s="18"/>
      <c r="AQ212" s="15" t="s">
        <v>5356</v>
      </c>
      <c r="AR212" s="15" t="s">
        <v>7880</v>
      </c>
      <c r="AS212" s="18"/>
      <c r="AT212" s="18"/>
      <c r="AU212" s="15" t="s">
        <v>2796</v>
      </c>
      <c r="AV212" s="15" t="s">
        <v>7881</v>
      </c>
      <c r="AW212" s="15" t="s">
        <v>7882</v>
      </c>
      <c r="AX212" s="18"/>
      <c r="AY212" s="15" t="s">
        <v>7883</v>
      </c>
      <c r="AZ212" s="15" t="s">
        <v>5335</v>
      </c>
      <c r="BA212" s="15" t="s">
        <v>6193</v>
      </c>
      <c r="BB212" s="15" t="s">
        <v>6754</v>
      </c>
      <c r="BC212" s="15" t="s">
        <v>3686</v>
      </c>
      <c r="BD212" s="15" t="s">
        <v>4556</v>
      </c>
      <c r="BE212" s="15" t="s">
        <v>7884</v>
      </c>
      <c r="BF212" s="18"/>
      <c r="BG212" s="15" t="s">
        <v>7885</v>
      </c>
      <c r="BH212" s="18"/>
      <c r="BI212" s="15" t="s">
        <v>3590</v>
      </c>
      <c r="BJ212" s="19" t="s">
        <v>7886</v>
      </c>
      <c r="BK212" s="19" t="s">
        <v>7887</v>
      </c>
      <c r="BL212" s="19" t="s">
        <v>7888</v>
      </c>
      <c r="BM212" s="19" t="s">
        <v>7889</v>
      </c>
      <c r="BN212" s="19" t="s">
        <v>7890</v>
      </c>
      <c r="BO212" s="19" t="s">
        <v>7891</v>
      </c>
      <c r="BP212" s="19" t="s">
        <v>7892</v>
      </c>
      <c r="BQ212" s="15" t="s">
        <v>364</v>
      </c>
      <c r="BR212" s="26"/>
      <c r="BS212" s="26"/>
      <c r="BT212" s="19" t="s">
        <v>7893</v>
      </c>
      <c r="BU212" s="26"/>
      <c r="BV212" s="19" t="s">
        <v>7894</v>
      </c>
      <c r="BW212" s="15" t="s">
        <v>7895</v>
      </c>
      <c r="BX212" s="26"/>
      <c r="BY212" s="18" t="str">
        <f t="shared" si="103"/>
        <v>COMP</v>
      </c>
      <c r="BZ212" s="24" t="str">
        <f t="shared" si="100"/>
        <v>https://drive.google.com/open?id=1htpkmVEtIAgWPHBfYuBH-bGdzEDYbQ8C</v>
      </c>
      <c r="CA212" s="24" t="str">
        <f t="shared" si="101"/>
        <v>https://drive.google.com/open?id=1-8OZMjXVCx5xSFl-pD_9NWOWbmWCTBJ5</v>
      </c>
      <c r="CB212" s="15" t="s">
        <v>2821</v>
      </c>
      <c r="CC212" s="15" t="s">
        <v>2821</v>
      </c>
      <c r="CD212" s="25" t="s">
        <v>2909</v>
      </c>
      <c r="CE212" s="18"/>
      <c r="CF212" s="18"/>
      <c r="CG212" s="18"/>
    </row>
    <row r="213" ht="18.75" customHeight="1">
      <c r="A213" s="14">
        <v>44737.89304603009</v>
      </c>
      <c r="B213" s="15" t="s">
        <v>7896</v>
      </c>
      <c r="C213" s="16" t="s">
        <v>7897</v>
      </c>
      <c r="D213" s="15" t="str">
        <f>IFERROR(__xludf.DUMMYFUNCTION("QUERY(TY_ALL_2023_Batch!$A$1:$E$824, ""SELECT E WHERE C='""&amp;B213&amp;""'"", 0)"),"#N/A")</f>
        <v>#N/A</v>
      </c>
      <c r="E213" s="15" t="s">
        <v>7898</v>
      </c>
      <c r="F213" s="15" t="s">
        <v>6041</v>
      </c>
      <c r="G213" s="15" t="s">
        <v>7899</v>
      </c>
      <c r="H213" s="15" t="s">
        <v>2785</v>
      </c>
      <c r="I213" s="17">
        <v>37007.0</v>
      </c>
      <c r="J213" s="15">
        <v>2020.0</v>
      </c>
      <c r="K213" s="15" t="s">
        <v>2941</v>
      </c>
      <c r="L213" s="15" t="s">
        <v>2787</v>
      </c>
      <c r="M213" s="18"/>
      <c r="N213" s="15" t="s">
        <v>366</v>
      </c>
      <c r="O213" s="15" t="s">
        <v>7896</v>
      </c>
      <c r="P213" s="19" t="s">
        <v>7900</v>
      </c>
      <c r="Q213" s="15">
        <v>7.387624528E9</v>
      </c>
      <c r="R213" s="15">
        <v>7.387624528E9</v>
      </c>
      <c r="S213" s="15">
        <v>9.32578778E9</v>
      </c>
      <c r="T213" s="15" t="s">
        <v>7901</v>
      </c>
      <c r="U213" s="15" t="s">
        <v>7902</v>
      </c>
      <c r="V213" s="15" t="s">
        <v>7903</v>
      </c>
      <c r="W213" s="15" t="s">
        <v>7904</v>
      </c>
      <c r="X213" s="15">
        <v>57.0</v>
      </c>
      <c r="Y213" s="15" t="s">
        <v>2948</v>
      </c>
      <c r="Z213" s="15">
        <v>8.2</v>
      </c>
      <c r="AA213" s="15">
        <v>8.2</v>
      </c>
      <c r="AB213" s="15" t="s">
        <v>2796</v>
      </c>
      <c r="AC213" s="15" t="s">
        <v>2796</v>
      </c>
      <c r="AD213" s="15" t="s">
        <v>2796</v>
      </c>
      <c r="AE213" s="15" t="s">
        <v>2796</v>
      </c>
      <c r="AF213" s="18"/>
      <c r="AG213" s="18"/>
      <c r="AH213" s="18"/>
      <c r="AI213" s="15">
        <v>83.26</v>
      </c>
      <c r="AJ213" s="15" t="s">
        <v>2797</v>
      </c>
      <c r="AK213" s="15" t="s">
        <v>2787</v>
      </c>
      <c r="AL213" s="18"/>
      <c r="AM213" s="15">
        <v>581.0</v>
      </c>
      <c r="AN213" s="15" t="s">
        <v>2787</v>
      </c>
      <c r="AO213" s="15" t="s">
        <v>7905</v>
      </c>
      <c r="AP213" s="18"/>
      <c r="AQ213" s="15" t="s">
        <v>7906</v>
      </c>
      <c r="AR213" s="18"/>
      <c r="AS213" s="18"/>
      <c r="AT213" s="18"/>
      <c r="AU213" s="18"/>
      <c r="AV213" s="18"/>
      <c r="AW213" s="15" t="s">
        <v>7907</v>
      </c>
      <c r="AX213" s="15" t="s">
        <v>7908</v>
      </c>
      <c r="AY213" s="15" t="s">
        <v>7908</v>
      </c>
      <c r="AZ213" s="15" t="s">
        <v>5335</v>
      </c>
      <c r="BA213" s="15" t="s">
        <v>6488</v>
      </c>
      <c r="BB213" s="15" t="s">
        <v>5729</v>
      </c>
      <c r="BC213" s="15" t="s">
        <v>7909</v>
      </c>
      <c r="BD213" s="15" t="s">
        <v>4556</v>
      </c>
      <c r="BE213" s="15" t="s">
        <v>2796</v>
      </c>
      <c r="BF213" s="15" t="s">
        <v>7910</v>
      </c>
      <c r="BG213" s="18"/>
      <c r="BH213" s="15" t="s">
        <v>7911</v>
      </c>
      <c r="BI213" s="15" t="s">
        <v>7912</v>
      </c>
      <c r="BJ213" s="19" t="s">
        <v>7913</v>
      </c>
      <c r="BK213" s="19" t="s">
        <v>7914</v>
      </c>
      <c r="BL213" s="18"/>
      <c r="BM213" s="18"/>
      <c r="BN213" s="18"/>
      <c r="BO213" s="19" t="s">
        <v>7915</v>
      </c>
      <c r="BP213" s="19" t="s">
        <v>7916</v>
      </c>
      <c r="BQ213" s="15" t="s">
        <v>364</v>
      </c>
      <c r="BR213" s="26"/>
      <c r="BS213" s="26"/>
      <c r="BT213" s="26"/>
      <c r="BU213" s="26"/>
      <c r="BV213" s="26"/>
      <c r="BW213" s="15" t="s">
        <v>7917</v>
      </c>
      <c r="BX213" s="26"/>
      <c r="BY213" s="18" t="str">
        <f t="shared" si="103"/>
        <v>COMP</v>
      </c>
      <c r="BZ213" s="18" t="str">
        <f t="shared" si="100"/>
        <v/>
      </c>
      <c r="CA213" s="18" t="str">
        <f t="shared" si="101"/>
        <v/>
      </c>
      <c r="CB213" s="15" t="s">
        <v>2908</v>
      </c>
      <c r="CC213" s="15" t="s">
        <v>2908</v>
      </c>
      <c r="CD213" s="25" t="s">
        <v>2797</v>
      </c>
      <c r="CE213" s="18"/>
      <c r="CF213" s="18"/>
      <c r="CG213" s="18"/>
    </row>
    <row r="214" ht="18.75" customHeight="1">
      <c r="A214" s="14">
        <v>44742.412298877316</v>
      </c>
      <c r="B214" s="15" t="s">
        <v>7918</v>
      </c>
      <c r="C214" s="16" t="s">
        <v>7919</v>
      </c>
      <c r="D214" s="15" t="str">
        <f>IFERROR(__xludf.DUMMYFUNCTION("QUERY(TY_ALL_2023_Batch!$A$1:$E$824, ""SELECT E WHERE C='""&amp;B214&amp;""'"", 0)"),"#N/A")</f>
        <v>#N/A</v>
      </c>
      <c r="E214" s="15" t="s">
        <v>7920</v>
      </c>
      <c r="F214" s="15" t="s">
        <v>7921</v>
      </c>
      <c r="G214" s="15" t="s">
        <v>7922</v>
      </c>
      <c r="H214" s="15" t="s">
        <v>2785</v>
      </c>
      <c r="I214" s="17">
        <v>37233.0</v>
      </c>
      <c r="J214" s="15">
        <v>2020.0</v>
      </c>
      <c r="K214" s="15" t="s">
        <v>2941</v>
      </c>
      <c r="L214" s="15" t="s">
        <v>2787</v>
      </c>
      <c r="M214" s="18"/>
      <c r="N214" s="15" t="s">
        <v>362</v>
      </c>
      <c r="O214" s="15" t="s">
        <v>7918</v>
      </c>
      <c r="P214" s="19" t="s">
        <v>7923</v>
      </c>
      <c r="Q214" s="15">
        <v>7.773937764E9</v>
      </c>
      <c r="R214" s="15">
        <v>7.219411601E9</v>
      </c>
      <c r="S214" s="15">
        <v>7.219411601E9</v>
      </c>
      <c r="T214" s="15" t="s">
        <v>7921</v>
      </c>
      <c r="U214" s="15" t="s">
        <v>7924</v>
      </c>
      <c r="V214" s="15" t="s">
        <v>7925</v>
      </c>
      <c r="W214" s="15" t="s">
        <v>7926</v>
      </c>
      <c r="X214" s="15">
        <v>79.8</v>
      </c>
      <c r="Y214" s="15" t="s">
        <v>2948</v>
      </c>
      <c r="Z214" s="15">
        <v>8.18</v>
      </c>
      <c r="AA214" s="15">
        <v>8.48</v>
      </c>
      <c r="AB214" s="15" t="s">
        <v>3005</v>
      </c>
      <c r="AC214" s="15" t="s">
        <v>3005</v>
      </c>
      <c r="AD214" s="15" t="s">
        <v>3005</v>
      </c>
      <c r="AE214" s="15" t="s">
        <v>3005</v>
      </c>
      <c r="AF214" s="18"/>
      <c r="AG214" s="18"/>
      <c r="AH214" s="18"/>
      <c r="AI214" s="15">
        <v>90.23</v>
      </c>
      <c r="AJ214" s="15" t="s">
        <v>2787</v>
      </c>
      <c r="AK214" s="15" t="s">
        <v>2787</v>
      </c>
      <c r="AL214" s="15">
        <v>611.0</v>
      </c>
      <c r="AM214" s="15">
        <v>643.0</v>
      </c>
      <c r="AN214" s="15" t="s">
        <v>2797</v>
      </c>
      <c r="AO214" s="18"/>
      <c r="AP214" s="15" t="s">
        <v>7927</v>
      </c>
      <c r="AQ214" s="15" t="s">
        <v>7928</v>
      </c>
      <c r="AR214" s="15" t="s">
        <v>7929</v>
      </c>
      <c r="AS214" s="18"/>
      <c r="AT214" s="18"/>
      <c r="AU214" s="18"/>
      <c r="AV214" s="18"/>
      <c r="AW214" s="15" t="s">
        <v>7930</v>
      </c>
      <c r="AX214" s="15" t="s">
        <v>5798</v>
      </c>
      <c r="AY214" s="15" t="s">
        <v>7931</v>
      </c>
      <c r="AZ214" s="15" t="s">
        <v>5625</v>
      </c>
      <c r="BA214" s="15" t="s">
        <v>5552</v>
      </c>
      <c r="BB214" s="15" t="s">
        <v>7932</v>
      </c>
      <c r="BC214" s="15" t="s">
        <v>6148</v>
      </c>
      <c r="BD214" s="15" t="s">
        <v>7933</v>
      </c>
      <c r="BE214" s="15" t="s">
        <v>7934</v>
      </c>
      <c r="BF214" s="18"/>
      <c r="BG214" s="18"/>
      <c r="BH214" s="18"/>
      <c r="BI214" s="18"/>
      <c r="BJ214" s="19" t="s">
        <v>7935</v>
      </c>
      <c r="BK214" s="19" t="s">
        <v>7936</v>
      </c>
      <c r="BL214" s="18"/>
      <c r="BM214" s="18"/>
      <c r="BN214" s="19" t="s">
        <v>7937</v>
      </c>
      <c r="BO214" s="19" t="s">
        <v>7938</v>
      </c>
      <c r="BP214" s="18"/>
      <c r="BQ214" s="15" t="s">
        <v>364</v>
      </c>
      <c r="BR214" s="19" t="s">
        <v>7939</v>
      </c>
      <c r="BS214" s="26"/>
      <c r="BT214" s="19" t="s">
        <v>7940</v>
      </c>
      <c r="BU214" s="19" t="s">
        <v>7941</v>
      </c>
      <c r="BV214" s="19" t="s">
        <v>7942</v>
      </c>
      <c r="BW214" s="15" t="s">
        <v>7943</v>
      </c>
      <c r="BX214" s="26"/>
      <c r="BY214" s="18" t="str">
        <f t="shared" si="103"/>
        <v>COMP</v>
      </c>
      <c r="BZ214" s="24" t="str">
        <f t="shared" si="100"/>
        <v>https://drive.google.com/open?id=1UPrH8_lvPcBYZsItX8kQGnpqqQO9zhz7</v>
      </c>
      <c r="CA214" s="24" t="str">
        <f t="shared" si="101"/>
        <v>https://drive.google.com/open?id=1OU9Lu39XCRiiSZSw3IzqCLwrBd7ayhca</v>
      </c>
      <c r="CB214" s="15" t="s">
        <v>2908</v>
      </c>
      <c r="CC214" s="15" t="s">
        <v>2908</v>
      </c>
      <c r="CD214" s="25" t="s">
        <v>2909</v>
      </c>
      <c r="CE214" s="18"/>
      <c r="CF214" s="18"/>
      <c r="CG214" s="18"/>
    </row>
    <row r="215" ht="18.75" customHeight="1">
      <c r="A215" s="14">
        <v>44743.9969160301</v>
      </c>
      <c r="B215" s="15" t="s">
        <v>7944</v>
      </c>
      <c r="C215" s="16" t="s">
        <v>7945</v>
      </c>
      <c r="D215" s="15" t="str">
        <f>IFERROR(__xludf.DUMMYFUNCTION("QUERY(TY_ALL_2023_Batch!$A$1:$E$824, ""SELECT E WHERE C='""&amp;B215&amp;""'"", 0)"),"#N/A")</f>
        <v>#N/A</v>
      </c>
      <c r="E215" s="15" t="s">
        <v>7946</v>
      </c>
      <c r="F215" s="15" t="s">
        <v>7947</v>
      </c>
      <c r="G215" s="15" t="s">
        <v>7948</v>
      </c>
      <c r="H215" s="15" t="s">
        <v>2826</v>
      </c>
      <c r="I215" s="17">
        <v>36712.0</v>
      </c>
      <c r="J215" s="15">
        <v>2020.0</v>
      </c>
      <c r="K215" s="15" t="s">
        <v>2941</v>
      </c>
      <c r="L215" s="15" t="s">
        <v>2787</v>
      </c>
      <c r="M215" s="18"/>
      <c r="N215" s="15" t="s">
        <v>433</v>
      </c>
      <c r="O215" s="15" t="s">
        <v>7949</v>
      </c>
      <c r="P215" s="19" t="s">
        <v>7950</v>
      </c>
      <c r="Q215" s="15">
        <v>9.284717369E9</v>
      </c>
      <c r="R215" s="15">
        <v>9.63777406E9</v>
      </c>
      <c r="S215" s="15">
        <v>9.284717369E9</v>
      </c>
      <c r="T215" s="15" t="s">
        <v>7951</v>
      </c>
      <c r="U215" s="15" t="s">
        <v>4350</v>
      </c>
      <c r="V215" s="15" t="s">
        <v>7952</v>
      </c>
      <c r="W215" s="18"/>
      <c r="X215" s="15">
        <v>78.4</v>
      </c>
      <c r="Y215" s="15" t="s">
        <v>2948</v>
      </c>
      <c r="Z215" s="15">
        <v>7.29</v>
      </c>
      <c r="AA215" s="15">
        <v>8.76</v>
      </c>
      <c r="AB215" s="15" t="s">
        <v>2796</v>
      </c>
      <c r="AC215" s="15" t="s">
        <v>2796</v>
      </c>
      <c r="AD215" s="15" t="s">
        <v>2796</v>
      </c>
      <c r="AE215" s="15" t="s">
        <v>2796</v>
      </c>
      <c r="AF215" s="18"/>
      <c r="AG215" s="18"/>
      <c r="AH215" s="18"/>
      <c r="AI215" s="15">
        <v>83.54</v>
      </c>
      <c r="AJ215" s="15" t="s">
        <v>2787</v>
      </c>
      <c r="AK215" s="15" t="s">
        <v>2787</v>
      </c>
      <c r="AL215" s="15">
        <v>603.0</v>
      </c>
      <c r="AM215" s="15">
        <v>610.0</v>
      </c>
      <c r="AN215" s="15" t="s">
        <v>2797</v>
      </c>
      <c r="AO215" s="15">
        <v>0.0</v>
      </c>
      <c r="AP215" s="15">
        <v>0.0</v>
      </c>
      <c r="AQ215" s="15" t="s">
        <v>5356</v>
      </c>
      <c r="AR215" s="15" t="s">
        <v>7953</v>
      </c>
      <c r="AS215" s="18"/>
      <c r="AT215" s="18"/>
      <c r="AU215" s="15" t="s">
        <v>7954</v>
      </c>
      <c r="AV215" s="18"/>
      <c r="AW215" s="15" t="s">
        <v>7955</v>
      </c>
      <c r="AX215" s="18"/>
      <c r="AY215" s="15" t="s">
        <v>7956</v>
      </c>
      <c r="AZ215" s="15" t="s">
        <v>5260</v>
      </c>
      <c r="BA215" s="15" t="s">
        <v>7957</v>
      </c>
      <c r="BB215" s="15" t="s">
        <v>7958</v>
      </c>
      <c r="BC215" s="15" t="s">
        <v>5577</v>
      </c>
      <c r="BD215" s="15" t="s">
        <v>2842</v>
      </c>
      <c r="BE215" s="15" t="s">
        <v>2796</v>
      </c>
      <c r="BF215" s="18"/>
      <c r="BG215" s="18"/>
      <c r="BH215" s="18"/>
      <c r="BI215" s="15" t="s">
        <v>7959</v>
      </c>
      <c r="BJ215" s="19" t="s">
        <v>7960</v>
      </c>
      <c r="BK215" s="19" t="s">
        <v>7961</v>
      </c>
      <c r="BL215" s="19" t="s">
        <v>7962</v>
      </c>
      <c r="BM215" s="19" t="s">
        <v>7963</v>
      </c>
      <c r="BN215" s="18"/>
      <c r="BO215" s="19" t="s">
        <v>7964</v>
      </c>
      <c r="BP215" s="18"/>
      <c r="BQ215" s="15" t="s">
        <v>364</v>
      </c>
      <c r="BR215" s="26"/>
      <c r="BS215" s="26"/>
      <c r="BT215" s="19" t="s">
        <v>7965</v>
      </c>
      <c r="BU215" s="19" t="s">
        <v>7966</v>
      </c>
      <c r="BV215" s="19" t="s">
        <v>7967</v>
      </c>
      <c r="BW215" s="15" t="s">
        <v>7968</v>
      </c>
      <c r="BX215" s="26"/>
      <c r="BY215" s="18" t="str">
        <f t="shared" si="103"/>
        <v>COMP</v>
      </c>
      <c r="BZ215" s="24" t="str">
        <f t="shared" si="100"/>
        <v>https://drive.google.com/open?id=1R0xdibbpWTk1hhqy5FKVszmxwyvOtxdH</v>
      </c>
      <c r="CA215" s="24" t="str">
        <f t="shared" si="101"/>
        <v>https://drive.google.com/open?id=1vznIYz71_LDozkEuGd-OjkpYTfplNZq-</v>
      </c>
      <c r="CB215" s="15" t="s">
        <v>2821</v>
      </c>
      <c r="CC215" s="15" t="s">
        <v>2821</v>
      </c>
      <c r="CD215" s="25" t="s">
        <v>2909</v>
      </c>
      <c r="CE215" s="18"/>
      <c r="CF215" s="18"/>
      <c r="CG215" s="18"/>
    </row>
    <row r="216" ht="18.75" customHeight="1">
      <c r="A216" s="14">
        <v>44739.88397456019</v>
      </c>
      <c r="B216" s="15" t="s">
        <v>7969</v>
      </c>
      <c r="C216" s="16" t="s">
        <v>7970</v>
      </c>
      <c r="D216" s="15" t="str">
        <f>IFERROR(__xludf.DUMMYFUNCTION("QUERY(TY_ALL_2023_Batch!$A$1:$E$824, ""SELECT E WHERE C='""&amp;B216&amp;""'"", 0)"),"#N/A")</f>
        <v>#N/A</v>
      </c>
      <c r="E216" s="15" t="s">
        <v>7971</v>
      </c>
      <c r="F216" s="15" t="s">
        <v>7972</v>
      </c>
      <c r="G216" s="15" t="s">
        <v>5325</v>
      </c>
      <c r="H216" s="15" t="s">
        <v>2826</v>
      </c>
      <c r="I216" s="17">
        <v>37111.0</v>
      </c>
      <c r="J216" s="15">
        <v>2020.0</v>
      </c>
      <c r="K216" s="15" t="s">
        <v>2941</v>
      </c>
      <c r="L216" s="15" t="s">
        <v>2787</v>
      </c>
      <c r="M216" s="18"/>
      <c r="N216" s="15" t="s">
        <v>369</v>
      </c>
      <c r="O216" s="15" t="s">
        <v>7973</v>
      </c>
      <c r="P216" s="19" t="s">
        <v>7974</v>
      </c>
      <c r="Q216" s="15">
        <v>9.28473213E9</v>
      </c>
      <c r="R216" s="15">
        <v>9.28473213E9</v>
      </c>
      <c r="S216" s="15">
        <v>7.498888312E9</v>
      </c>
      <c r="T216" s="15" t="s">
        <v>7975</v>
      </c>
      <c r="U216" s="15" t="s">
        <v>7976</v>
      </c>
      <c r="V216" s="16" t="s">
        <v>7977</v>
      </c>
      <c r="W216" s="15" t="s">
        <v>7978</v>
      </c>
      <c r="X216" s="15">
        <v>84.4</v>
      </c>
      <c r="Y216" s="15" t="s">
        <v>2948</v>
      </c>
      <c r="Z216" s="15">
        <v>6.4</v>
      </c>
      <c r="AA216" s="15">
        <v>7.04</v>
      </c>
      <c r="AB216" s="15" t="s">
        <v>7979</v>
      </c>
      <c r="AC216" s="15" t="s">
        <v>7980</v>
      </c>
      <c r="AD216" s="15">
        <v>7.67</v>
      </c>
      <c r="AE216" s="15">
        <v>7.9</v>
      </c>
      <c r="AF216" s="18"/>
      <c r="AG216" s="18"/>
      <c r="AH216" s="18"/>
      <c r="AI216" s="15">
        <v>80.46</v>
      </c>
      <c r="AJ216" s="15" t="s">
        <v>2787</v>
      </c>
      <c r="AK216" s="15" t="s">
        <v>2787</v>
      </c>
      <c r="AL216" s="15" t="s">
        <v>7981</v>
      </c>
      <c r="AM216" s="15" t="s">
        <v>7982</v>
      </c>
      <c r="AN216" s="15" t="s">
        <v>2797</v>
      </c>
      <c r="AO216" s="15" t="s">
        <v>3003</v>
      </c>
      <c r="AP216" s="18"/>
      <c r="AQ216" s="15" t="s">
        <v>7983</v>
      </c>
      <c r="AR216" s="15" t="s">
        <v>7984</v>
      </c>
      <c r="AS216" s="15" t="s">
        <v>7985</v>
      </c>
      <c r="AT216" s="18"/>
      <c r="AU216" s="18"/>
      <c r="AV216" s="15" t="s">
        <v>7986</v>
      </c>
      <c r="AW216" s="15" t="s">
        <v>7987</v>
      </c>
      <c r="AX216" s="18"/>
      <c r="AY216" s="15" t="s">
        <v>7988</v>
      </c>
      <c r="AZ216" s="15" t="s">
        <v>4670</v>
      </c>
      <c r="BA216" s="15" t="s">
        <v>6193</v>
      </c>
      <c r="BB216" s="15" t="s">
        <v>6714</v>
      </c>
      <c r="BC216" s="15" t="s">
        <v>7989</v>
      </c>
      <c r="BD216" s="15" t="s">
        <v>2842</v>
      </c>
      <c r="BE216" s="15" t="s">
        <v>7990</v>
      </c>
      <c r="BF216" s="18"/>
      <c r="BG216" s="18"/>
      <c r="BH216" s="15" t="s">
        <v>7991</v>
      </c>
      <c r="BI216" s="15" t="s">
        <v>7992</v>
      </c>
      <c r="BJ216" s="19" t="s">
        <v>7993</v>
      </c>
      <c r="BK216" s="19" t="s">
        <v>7994</v>
      </c>
      <c r="BL216" s="18"/>
      <c r="BM216" s="18"/>
      <c r="BN216" s="19" t="s">
        <v>7995</v>
      </c>
      <c r="BO216" s="19" t="s">
        <v>7996</v>
      </c>
      <c r="BP216" s="19" t="s">
        <v>7997</v>
      </c>
      <c r="BQ216" s="15" t="s">
        <v>364</v>
      </c>
      <c r="BR216" s="26"/>
      <c r="BS216" s="26"/>
      <c r="BT216" s="26"/>
      <c r="BU216" s="26"/>
      <c r="BV216" s="26"/>
      <c r="BW216" s="15" t="s">
        <v>7998</v>
      </c>
      <c r="BX216" s="26"/>
      <c r="BY216" s="18" t="str">
        <f t="shared" si="103"/>
        <v>COMP</v>
      </c>
      <c r="BZ216" s="18" t="str">
        <f t="shared" si="100"/>
        <v/>
      </c>
      <c r="CA216" s="18" t="str">
        <f t="shared" si="101"/>
        <v/>
      </c>
      <c r="CB216" s="15" t="s">
        <v>2908</v>
      </c>
      <c r="CC216" s="15" t="s">
        <v>2908</v>
      </c>
      <c r="CD216" s="25" t="s">
        <v>2787</v>
      </c>
      <c r="CE216" s="18"/>
      <c r="CF216" s="18"/>
      <c r="CG216" s="18"/>
    </row>
    <row r="217" ht="18.75" customHeight="1">
      <c r="A217" s="14">
        <v>44741.8606177662</v>
      </c>
      <c r="B217" s="15" t="s">
        <v>7999</v>
      </c>
      <c r="C217" s="16" t="s">
        <v>8000</v>
      </c>
      <c r="D217" s="15" t="str">
        <f>IFERROR(__xludf.DUMMYFUNCTION("QUERY(TY_ALL_2023_Batch!$A$1:$E$824, ""SELECT E WHERE C='""&amp;B217&amp;""'"", 0)"),"#N/A")</f>
        <v>#N/A</v>
      </c>
      <c r="E217" s="15" t="s">
        <v>5324</v>
      </c>
      <c r="F217" s="15" t="s">
        <v>3247</v>
      </c>
      <c r="G217" s="15" t="s">
        <v>2973</v>
      </c>
      <c r="H217" s="15" t="s">
        <v>2826</v>
      </c>
      <c r="I217" s="17">
        <v>36848.0</v>
      </c>
      <c r="J217" s="15">
        <v>2020.0</v>
      </c>
      <c r="K217" s="15" t="s">
        <v>2941</v>
      </c>
      <c r="L217" s="15" t="s">
        <v>2787</v>
      </c>
      <c r="M217" s="18"/>
      <c r="N217" s="15" t="s">
        <v>8001</v>
      </c>
      <c r="O217" s="15" t="s">
        <v>7999</v>
      </c>
      <c r="P217" s="19" t="s">
        <v>8002</v>
      </c>
      <c r="Q217" s="15">
        <v>9.552318622E9</v>
      </c>
      <c r="R217" s="15">
        <v>9.145335077E9</v>
      </c>
      <c r="S217" s="15">
        <v>9.552318622E9</v>
      </c>
      <c r="T217" s="15" t="s">
        <v>8003</v>
      </c>
      <c r="U217" s="15" t="s">
        <v>8004</v>
      </c>
      <c r="V217" s="15" t="s">
        <v>8005</v>
      </c>
      <c r="W217" s="18"/>
      <c r="X217" s="15">
        <v>84.0</v>
      </c>
      <c r="Y217" s="15" t="s">
        <v>2948</v>
      </c>
      <c r="Z217" s="15">
        <v>7.62</v>
      </c>
      <c r="AA217" s="15">
        <v>7.62</v>
      </c>
      <c r="AB217" s="15" t="s">
        <v>2796</v>
      </c>
      <c r="AC217" s="15" t="s">
        <v>2796</v>
      </c>
      <c r="AD217" s="15" t="s">
        <v>2796</v>
      </c>
      <c r="AE217" s="15" t="s">
        <v>2796</v>
      </c>
      <c r="AF217" s="18"/>
      <c r="AG217" s="18"/>
      <c r="AH217" s="18"/>
      <c r="AI217" s="15">
        <v>78.0</v>
      </c>
      <c r="AJ217" s="15" t="s">
        <v>2787</v>
      </c>
      <c r="AK217" s="15" t="s">
        <v>2787</v>
      </c>
      <c r="AL217" s="15">
        <v>340.0</v>
      </c>
      <c r="AM217" s="15">
        <v>543.33</v>
      </c>
      <c r="AN217" s="15" t="s">
        <v>2787</v>
      </c>
      <c r="AO217" s="15" t="s">
        <v>8006</v>
      </c>
      <c r="AP217" s="15" t="s">
        <v>8007</v>
      </c>
      <c r="AQ217" s="15" t="s">
        <v>8008</v>
      </c>
      <c r="AR217" s="18"/>
      <c r="AS217" s="18"/>
      <c r="AT217" s="18"/>
      <c r="AU217" s="18"/>
      <c r="AV217" s="18"/>
      <c r="AW217" s="15" t="s">
        <v>8009</v>
      </c>
      <c r="AX217" s="18"/>
      <c r="AY217" s="15" t="s">
        <v>8010</v>
      </c>
      <c r="AZ217" s="15" t="s">
        <v>4670</v>
      </c>
      <c r="BA217" s="15" t="s">
        <v>6193</v>
      </c>
      <c r="BB217" s="15" t="s">
        <v>6558</v>
      </c>
      <c r="BC217" s="15" t="s">
        <v>3686</v>
      </c>
      <c r="BD217" s="15" t="s">
        <v>2807</v>
      </c>
      <c r="BE217" s="15" t="s">
        <v>2796</v>
      </c>
      <c r="BF217" s="18"/>
      <c r="BG217" s="18"/>
      <c r="BH217" s="18"/>
      <c r="BI217" s="18"/>
      <c r="BJ217" s="19" t="s">
        <v>8011</v>
      </c>
      <c r="BK217" s="19" t="s">
        <v>8012</v>
      </c>
      <c r="BL217" s="19" t="s">
        <v>8013</v>
      </c>
      <c r="BM217" s="19" t="s">
        <v>8014</v>
      </c>
      <c r="BN217" s="18"/>
      <c r="BO217" s="19" t="s">
        <v>8015</v>
      </c>
      <c r="BP217" s="18"/>
      <c r="BQ217" s="15" t="s">
        <v>364</v>
      </c>
      <c r="BR217" s="26"/>
      <c r="BS217" s="19" t="s">
        <v>8016</v>
      </c>
      <c r="BT217" s="26"/>
      <c r="BU217" s="19" t="s">
        <v>8017</v>
      </c>
      <c r="BV217" s="19" t="s">
        <v>8018</v>
      </c>
      <c r="BW217" s="15" t="s">
        <v>8019</v>
      </c>
      <c r="BX217" s="26"/>
      <c r="BY217" s="18" t="str">
        <f t="shared" si="103"/>
        <v>COMP</v>
      </c>
      <c r="BZ217" s="24" t="str">
        <f t="shared" si="100"/>
        <v>https://drive.google.com/open?id=1AjXsObDaivS_YKOVtNBdLSj9QDZnIAMa</v>
      </c>
      <c r="CA217" s="24" t="str">
        <f t="shared" si="101"/>
        <v>https://drive.google.com/open?id=1i8twQ7S91PFvkp5JNSHYA5kimMXLXne1</v>
      </c>
      <c r="CB217" s="15" t="s">
        <v>2821</v>
      </c>
      <c r="CC217" s="15" t="s">
        <v>2821</v>
      </c>
      <c r="CD217" s="25" t="s">
        <v>2797</v>
      </c>
      <c r="CE217" s="18"/>
      <c r="CF217" s="18"/>
      <c r="CG217" s="18"/>
    </row>
    <row r="218" ht="18.75" customHeight="1">
      <c r="A218" s="14">
        <v>44736.45112336805</v>
      </c>
      <c r="B218" s="15" t="s">
        <v>8020</v>
      </c>
      <c r="C218" s="16" t="s">
        <v>8021</v>
      </c>
      <c r="D218" s="15" t="str">
        <f>IFERROR(__xludf.DUMMYFUNCTION("QUERY(TY_ALL_2023_Batch!$A$1:$E$824, ""SELECT E WHERE C='""&amp;B218&amp;""'"", 0)"),"#N/A")</f>
        <v>#N/A</v>
      </c>
      <c r="E218" s="15" t="s">
        <v>8022</v>
      </c>
      <c r="F218" s="15" t="s">
        <v>3247</v>
      </c>
      <c r="G218" s="15" t="s">
        <v>8023</v>
      </c>
      <c r="H218" s="15" t="s">
        <v>2826</v>
      </c>
      <c r="I218" s="17">
        <v>36777.0</v>
      </c>
      <c r="J218" s="15">
        <v>2020.0</v>
      </c>
      <c r="K218" s="15" t="s">
        <v>2941</v>
      </c>
      <c r="L218" s="15" t="s">
        <v>2787</v>
      </c>
      <c r="M218" s="18"/>
      <c r="N218" s="15" t="s">
        <v>381</v>
      </c>
      <c r="O218" s="15" t="s">
        <v>8020</v>
      </c>
      <c r="P218" s="19" t="s">
        <v>8024</v>
      </c>
      <c r="Q218" s="15">
        <v>9.284715923E9</v>
      </c>
      <c r="R218" s="15">
        <v>9.284715923E9</v>
      </c>
      <c r="S218" s="18"/>
      <c r="T218" s="15" t="s">
        <v>3247</v>
      </c>
      <c r="U218" s="15" t="s">
        <v>8025</v>
      </c>
      <c r="V218" s="15" t="s">
        <v>8026</v>
      </c>
      <c r="W218" s="18"/>
      <c r="X218" s="15">
        <v>84.6</v>
      </c>
      <c r="Y218" s="15" t="s">
        <v>2948</v>
      </c>
      <c r="Z218" s="15">
        <v>8.81</v>
      </c>
      <c r="AA218" s="15">
        <v>8.76</v>
      </c>
      <c r="AB218" s="15" t="s">
        <v>2796</v>
      </c>
      <c r="AC218" s="15" t="s">
        <v>2796</v>
      </c>
      <c r="AD218" s="15" t="s">
        <v>2796</v>
      </c>
      <c r="AE218" s="15" t="s">
        <v>2796</v>
      </c>
      <c r="AF218" s="18"/>
      <c r="AG218" s="18"/>
      <c r="AH218" s="18"/>
      <c r="AI218" s="15">
        <v>93.14</v>
      </c>
      <c r="AJ218" s="15" t="s">
        <v>2797</v>
      </c>
      <c r="AK218" s="15" t="s">
        <v>2787</v>
      </c>
      <c r="AL218" s="18"/>
      <c r="AM218" s="15">
        <v>74.0</v>
      </c>
      <c r="AN218" s="15" t="s">
        <v>2787</v>
      </c>
      <c r="AO218" s="15" t="s">
        <v>8027</v>
      </c>
      <c r="AP218" s="18"/>
      <c r="AQ218" s="15" t="s">
        <v>8028</v>
      </c>
      <c r="AR218" s="18"/>
      <c r="AS218" s="18"/>
      <c r="AT218" s="18"/>
      <c r="AU218" s="18"/>
      <c r="AV218" s="18"/>
      <c r="AW218" s="15" t="s">
        <v>8029</v>
      </c>
      <c r="AX218" s="18"/>
      <c r="AY218" s="15" t="s">
        <v>8030</v>
      </c>
      <c r="AZ218" s="15" t="s">
        <v>5287</v>
      </c>
      <c r="BA218" s="15" t="s">
        <v>2806</v>
      </c>
      <c r="BB218" s="15" t="s">
        <v>5729</v>
      </c>
      <c r="BC218" s="15" t="s">
        <v>8031</v>
      </c>
      <c r="BD218" s="15" t="s">
        <v>8032</v>
      </c>
      <c r="BE218" s="15" t="s">
        <v>8033</v>
      </c>
      <c r="BF218" s="15" t="s">
        <v>8034</v>
      </c>
      <c r="BG218" s="18"/>
      <c r="BH218" s="18"/>
      <c r="BI218" s="18"/>
      <c r="BJ218" s="19" t="s">
        <v>8035</v>
      </c>
      <c r="BK218" s="19" t="s">
        <v>8036</v>
      </c>
      <c r="BL218" s="18"/>
      <c r="BM218" s="19" t="s">
        <v>8037</v>
      </c>
      <c r="BN218" s="19" t="s">
        <v>8038</v>
      </c>
      <c r="BO218" s="19" t="s">
        <v>8039</v>
      </c>
      <c r="BP218" s="18"/>
      <c r="BQ218" s="15" t="s">
        <v>364</v>
      </c>
      <c r="BR218" s="26"/>
      <c r="BS218" s="26"/>
      <c r="BT218" s="26"/>
      <c r="BU218" s="26"/>
      <c r="BV218" s="26"/>
      <c r="BW218" s="26"/>
      <c r="BX218" s="26"/>
      <c r="BY218" s="18" t="str">
        <f t="shared" si="103"/>
        <v>COMP</v>
      </c>
      <c r="BZ218" s="18" t="str">
        <f t="shared" si="100"/>
        <v/>
      </c>
      <c r="CA218" s="24" t="str">
        <f t="shared" si="101"/>
        <v>https://drive.google.com/open?id=1JtGlfwk_D7VumYgtLb5JBhzIBVEbESaw</v>
      </c>
      <c r="CB218" s="15" t="s">
        <v>2908</v>
      </c>
      <c r="CC218" s="15" t="s">
        <v>2821</v>
      </c>
      <c r="CD218" s="25" t="s">
        <v>2797</v>
      </c>
      <c r="CE218" s="18"/>
      <c r="CF218" s="18"/>
      <c r="CG218" s="18"/>
    </row>
    <row r="219" ht="18.75" customHeight="1">
      <c r="A219" s="14">
        <v>44742.94395972222</v>
      </c>
      <c r="B219" s="15" t="s">
        <v>8040</v>
      </c>
      <c r="C219" s="16" t="s">
        <v>8041</v>
      </c>
      <c r="D219" s="15" t="str">
        <f>IFERROR(__xludf.DUMMYFUNCTION("QUERY(TY_ALL_2023_Batch!$A$1:$E$824, ""SELECT E WHERE C='""&amp;B219&amp;""'"", 0)"),"#N/A")</f>
        <v>#N/A</v>
      </c>
      <c r="E219" s="15" t="s">
        <v>8042</v>
      </c>
      <c r="F219" s="18"/>
      <c r="G219" s="15" t="s">
        <v>8043</v>
      </c>
      <c r="H219" s="15" t="s">
        <v>2785</v>
      </c>
      <c r="I219" s="17">
        <v>37391.0</v>
      </c>
      <c r="J219" s="15">
        <v>2019.0</v>
      </c>
      <c r="K219" s="15" t="s">
        <v>2786</v>
      </c>
      <c r="L219" s="15" t="s">
        <v>2787</v>
      </c>
      <c r="M219" s="18"/>
      <c r="N219" s="15" t="s">
        <v>8044</v>
      </c>
      <c r="O219" s="15" t="s">
        <v>8040</v>
      </c>
      <c r="P219" s="19" t="s">
        <v>8045</v>
      </c>
      <c r="Q219" s="15">
        <v>8.3900988E9</v>
      </c>
      <c r="R219" s="15">
        <v>8.3900988E9</v>
      </c>
      <c r="S219" s="18"/>
      <c r="T219" s="15" t="s">
        <v>8046</v>
      </c>
      <c r="U219" s="15" t="s">
        <v>8047</v>
      </c>
      <c r="V219" s="15" t="s">
        <v>8048</v>
      </c>
      <c r="W219" s="18"/>
      <c r="X219" s="15">
        <v>78.0</v>
      </c>
      <c r="Y219" s="15" t="s">
        <v>2795</v>
      </c>
      <c r="Z219" s="15">
        <v>6.0</v>
      </c>
      <c r="AA219" s="15">
        <v>3.8</v>
      </c>
      <c r="AB219" s="15" t="s">
        <v>2796</v>
      </c>
      <c r="AC219" s="15" t="s">
        <v>2796</v>
      </c>
      <c r="AD219" s="15" t="s">
        <v>2796</v>
      </c>
      <c r="AE219" s="15" t="s">
        <v>2796</v>
      </c>
      <c r="AF219" s="15">
        <v>7.0</v>
      </c>
      <c r="AG219" s="15">
        <v>5.8</v>
      </c>
      <c r="AH219" s="15">
        <v>79.0</v>
      </c>
      <c r="AI219" s="18"/>
      <c r="AJ219" s="15" t="s">
        <v>2787</v>
      </c>
      <c r="AK219" s="15" t="s">
        <v>2787</v>
      </c>
      <c r="AL219" s="18"/>
      <c r="AM219" s="18"/>
      <c r="AN219" s="15" t="s">
        <v>2787</v>
      </c>
      <c r="AO219" s="15" t="s">
        <v>8049</v>
      </c>
      <c r="AP219" s="15" t="s">
        <v>8050</v>
      </c>
      <c r="AQ219" s="15" t="s">
        <v>5699</v>
      </c>
      <c r="AR219" s="18"/>
      <c r="AS219" s="18"/>
      <c r="AT219" s="18"/>
      <c r="AU219" s="18"/>
      <c r="AV219" s="18"/>
      <c r="AW219" s="15" t="s">
        <v>8051</v>
      </c>
      <c r="AX219" s="18"/>
      <c r="AY219" s="15" t="s">
        <v>8052</v>
      </c>
      <c r="AZ219" s="15" t="s">
        <v>5625</v>
      </c>
      <c r="BA219" s="15" t="s">
        <v>2839</v>
      </c>
      <c r="BB219" s="15" t="s">
        <v>6927</v>
      </c>
      <c r="BC219" s="15" t="s">
        <v>3686</v>
      </c>
      <c r="BD219" s="15" t="s">
        <v>3393</v>
      </c>
      <c r="BE219" s="15" t="s">
        <v>2796</v>
      </c>
      <c r="BF219" s="18"/>
      <c r="BG219" s="18"/>
      <c r="BH219" s="18"/>
      <c r="BI219" s="18"/>
      <c r="BJ219" s="19" t="s">
        <v>8053</v>
      </c>
      <c r="BK219" s="19" t="s">
        <v>8054</v>
      </c>
      <c r="BL219" s="18"/>
      <c r="BM219" s="18"/>
      <c r="BN219" s="18"/>
      <c r="BO219" s="19" t="s">
        <v>8055</v>
      </c>
      <c r="BP219" s="18"/>
      <c r="BQ219" s="15" t="s">
        <v>364</v>
      </c>
      <c r="BR219" s="26"/>
      <c r="BS219" s="26"/>
      <c r="BT219" s="19" t="s">
        <v>8056</v>
      </c>
      <c r="BU219" s="26"/>
      <c r="BV219" s="26"/>
      <c r="BW219" s="15" t="s">
        <v>8057</v>
      </c>
      <c r="BX219" s="26"/>
      <c r="BY219" s="18" t="str">
        <f t="shared" si="103"/>
        <v>COMP</v>
      </c>
      <c r="BZ219" s="18" t="str">
        <f t="shared" si="100"/>
        <v/>
      </c>
      <c r="CA219" s="18" t="str">
        <f t="shared" si="101"/>
        <v/>
      </c>
      <c r="CB219" s="15" t="s">
        <v>2908</v>
      </c>
      <c r="CC219" s="15" t="s">
        <v>2908</v>
      </c>
      <c r="CD219" s="25" t="s">
        <v>2787</v>
      </c>
      <c r="CE219" s="18"/>
      <c r="CF219" s="18"/>
      <c r="CG219" s="18"/>
    </row>
    <row r="220" ht="18.75" customHeight="1">
      <c r="A220" s="14">
        <v>44742.99358101852</v>
      </c>
      <c r="B220" s="15" t="s">
        <v>8058</v>
      </c>
      <c r="C220" s="16" t="s">
        <v>8059</v>
      </c>
      <c r="D220" s="15" t="str">
        <f>IFERROR(__xludf.DUMMYFUNCTION("QUERY(TY_ALL_2023_Batch!$A$1:$E$824, ""SELECT E WHERE C='""&amp;B220&amp;""'"", 0)"),"#N/A")</f>
        <v>#N/A</v>
      </c>
      <c r="E220" s="15" t="s">
        <v>8060</v>
      </c>
      <c r="F220" s="15" t="s">
        <v>3806</v>
      </c>
      <c r="G220" s="15" t="s">
        <v>8061</v>
      </c>
      <c r="H220" s="15" t="s">
        <v>2785</v>
      </c>
      <c r="I220" s="17">
        <v>36986.0</v>
      </c>
      <c r="J220" s="15">
        <v>2019.0</v>
      </c>
      <c r="K220" s="15" t="s">
        <v>2786</v>
      </c>
      <c r="L220" s="15" t="s">
        <v>2787</v>
      </c>
      <c r="M220" s="18"/>
      <c r="N220" s="15" t="s">
        <v>8062</v>
      </c>
      <c r="O220" s="15" t="s">
        <v>8058</v>
      </c>
      <c r="P220" s="19" t="s">
        <v>8063</v>
      </c>
      <c r="Q220" s="15">
        <v>7.741057855E9</v>
      </c>
      <c r="R220" s="15">
        <v>7.741057855E9</v>
      </c>
      <c r="S220" s="15">
        <v>8.010358301E9</v>
      </c>
      <c r="T220" s="15" t="s">
        <v>8064</v>
      </c>
      <c r="U220" s="15" t="s">
        <v>8065</v>
      </c>
      <c r="V220" s="15" t="s">
        <v>8066</v>
      </c>
      <c r="W220" s="15" t="s">
        <v>4453</v>
      </c>
      <c r="X220" s="15">
        <v>94.4</v>
      </c>
      <c r="Y220" s="15" t="s">
        <v>2795</v>
      </c>
      <c r="Z220" s="15">
        <v>8.9</v>
      </c>
      <c r="AA220" s="15">
        <v>8.52</v>
      </c>
      <c r="AB220" s="15" t="s">
        <v>2796</v>
      </c>
      <c r="AC220" s="15" t="s">
        <v>2796</v>
      </c>
      <c r="AD220" s="15" t="s">
        <v>2796</v>
      </c>
      <c r="AE220" s="15" t="s">
        <v>2796</v>
      </c>
      <c r="AF220" s="15">
        <v>8.74</v>
      </c>
      <c r="AG220" s="15">
        <v>6.9</v>
      </c>
      <c r="AH220" s="15">
        <v>79.69</v>
      </c>
      <c r="AI220" s="18"/>
      <c r="AJ220" s="15" t="s">
        <v>2787</v>
      </c>
      <c r="AK220" s="15" t="s">
        <v>2787</v>
      </c>
      <c r="AL220" s="15">
        <v>621.67</v>
      </c>
      <c r="AM220" s="15">
        <v>661.33</v>
      </c>
      <c r="AN220" s="15" t="s">
        <v>2797</v>
      </c>
      <c r="AO220" s="18"/>
      <c r="AP220" s="18"/>
      <c r="AQ220" s="15" t="s">
        <v>5415</v>
      </c>
      <c r="AR220" s="15" t="s">
        <v>8067</v>
      </c>
      <c r="AS220" s="18"/>
      <c r="AT220" s="18"/>
      <c r="AU220" s="15" t="s">
        <v>8068</v>
      </c>
      <c r="AV220" s="15" t="s">
        <v>8069</v>
      </c>
      <c r="AW220" s="15" t="s">
        <v>8070</v>
      </c>
      <c r="AX220" s="18"/>
      <c r="AY220" s="15" t="s">
        <v>8071</v>
      </c>
      <c r="AZ220" s="15" t="s">
        <v>5260</v>
      </c>
      <c r="BA220" s="15" t="s">
        <v>5468</v>
      </c>
      <c r="BB220" s="15" t="s">
        <v>7462</v>
      </c>
      <c r="BC220" s="15" t="s">
        <v>5604</v>
      </c>
      <c r="BD220" s="15" t="s">
        <v>2807</v>
      </c>
      <c r="BE220" s="15" t="s">
        <v>2796</v>
      </c>
      <c r="BF220" s="18"/>
      <c r="BG220" s="18"/>
      <c r="BH220" s="18"/>
      <c r="BI220" s="15" t="s">
        <v>8072</v>
      </c>
      <c r="BJ220" s="19" t="s">
        <v>8073</v>
      </c>
      <c r="BK220" s="19" t="s">
        <v>8074</v>
      </c>
      <c r="BL220" s="19" t="s">
        <v>8075</v>
      </c>
      <c r="BM220" s="19" t="s">
        <v>8076</v>
      </c>
      <c r="BN220" s="19" t="s">
        <v>8077</v>
      </c>
      <c r="BO220" s="19" t="s">
        <v>8078</v>
      </c>
      <c r="BP220" s="19" t="s">
        <v>8079</v>
      </c>
      <c r="BQ220" s="15" t="s">
        <v>364</v>
      </c>
      <c r="BR220" s="26"/>
      <c r="BS220" s="26"/>
      <c r="BT220" s="26"/>
      <c r="BU220" s="26"/>
      <c r="BV220" s="26"/>
      <c r="BW220" s="15" t="s">
        <v>8080</v>
      </c>
      <c r="BX220" s="26"/>
      <c r="BY220" s="18" t="str">
        <f t="shared" si="103"/>
        <v>COMP</v>
      </c>
      <c r="BZ220" s="24" t="str">
        <f t="shared" si="100"/>
        <v>https://drive.google.com/open?id=1tfFBCdaTRSTEOs7mJAVso4cXD_yiMdDG</v>
      </c>
      <c r="CA220" s="24" t="str">
        <f t="shared" si="101"/>
        <v>https://drive.google.com/open?id=1em2MfdXysztNQR6_LCUbHj1Yq6_s0hTI</v>
      </c>
      <c r="CB220" s="15" t="s">
        <v>2821</v>
      </c>
      <c r="CC220" s="15" t="s">
        <v>2821</v>
      </c>
      <c r="CD220" s="25" t="s">
        <v>2797</v>
      </c>
      <c r="CE220" s="18"/>
      <c r="CF220" s="18"/>
      <c r="CG220" s="18"/>
    </row>
    <row r="221" ht="18.75" customHeight="1">
      <c r="A221" s="14">
        <v>44749.77735263889</v>
      </c>
      <c r="B221" s="15" t="s">
        <v>8081</v>
      </c>
      <c r="C221" s="16" t="s">
        <v>8082</v>
      </c>
      <c r="D221" s="15" t="str">
        <f>IFERROR(__xludf.DUMMYFUNCTION("QUERY(TY_ALL_2023_Batch!$A$1:$E$824, ""SELECT E WHERE C='""&amp;B221&amp;""'"", 0)"),"#N/A")</f>
        <v>#N/A</v>
      </c>
      <c r="E221" s="15" t="s">
        <v>8083</v>
      </c>
      <c r="F221" s="15" t="s">
        <v>8084</v>
      </c>
      <c r="G221" s="15" t="s">
        <v>8085</v>
      </c>
      <c r="H221" s="15" t="s">
        <v>2826</v>
      </c>
      <c r="I221" s="17">
        <v>36816.0</v>
      </c>
      <c r="J221" s="15">
        <v>2020.0</v>
      </c>
      <c r="K221" s="15" t="s">
        <v>2941</v>
      </c>
      <c r="L221" s="15" t="s">
        <v>2787</v>
      </c>
      <c r="M221" s="18"/>
      <c r="N221" s="15" t="s">
        <v>424</v>
      </c>
      <c r="O221" s="15" t="s">
        <v>8081</v>
      </c>
      <c r="P221" s="19" t="s">
        <v>8086</v>
      </c>
      <c r="Q221" s="15">
        <v>9.527738448E9</v>
      </c>
      <c r="R221" s="15">
        <v>9.527738448E9</v>
      </c>
      <c r="S221" s="15">
        <v>9.637182153E9</v>
      </c>
      <c r="T221" s="15" t="s">
        <v>8084</v>
      </c>
      <c r="U221" s="15" t="s">
        <v>4717</v>
      </c>
      <c r="V221" s="15" t="s">
        <v>8087</v>
      </c>
      <c r="W221" s="18"/>
      <c r="X221" s="15">
        <v>86.8</v>
      </c>
      <c r="Y221" s="15" t="s">
        <v>2948</v>
      </c>
      <c r="Z221" s="15">
        <v>8.33</v>
      </c>
      <c r="AA221" s="15">
        <v>8.05</v>
      </c>
      <c r="AB221" s="15">
        <v>7.48</v>
      </c>
      <c r="AC221" s="15" t="s">
        <v>2796</v>
      </c>
      <c r="AD221" s="15" t="s">
        <v>2796</v>
      </c>
      <c r="AE221" s="15" t="s">
        <v>2796</v>
      </c>
      <c r="AF221" s="18"/>
      <c r="AG221" s="18"/>
      <c r="AH221" s="18"/>
      <c r="AI221" s="15">
        <v>84.0</v>
      </c>
      <c r="AJ221" s="15" t="s">
        <v>2787</v>
      </c>
      <c r="AK221" s="15" t="s">
        <v>2787</v>
      </c>
      <c r="AL221" s="15">
        <v>400.0</v>
      </c>
      <c r="AM221" s="15">
        <v>680.0</v>
      </c>
      <c r="AN221" s="15" t="s">
        <v>2797</v>
      </c>
      <c r="AO221" s="15" t="s">
        <v>2908</v>
      </c>
      <c r="AP221" s="15" t="s">
        <v>2908</v>
      </c>
      <c r="AQ221" s="15" t="s">
        <v>8088</v>
      </c>
      <c r="AR221" s="18"/>
      <c r="AS221" s="18"/>
      <c r="AT221" s="18"/>
      <c r="AU221" s="18"/>
      <c r="AV221" s="18"/>
      <c r="AW221" s="15" t="s">
        <v>8089</v>
      </c>
      <c r="AX221" s="18"/>
      <c r="AY221" s="15" t="s">
        <v>8090</v>
      </c>
      <c r="AZ221" s="15" t="s">
        <v>5335</v>
      </c>
      <c r="BA221" s="15" t="s">
        <v>2839</v>
      </c>
      <c r="BB221" s="15" t="s">
        <v>4554</v>
      </c>
      <c r="BC221" s="15" t="s">
        <v>5604</v>
      </c>
      <c r="BD221" s="15" t="s">
        <v>2807</v>
      </c>
      <c r="BE221" s="15" t="s">
        <v>2796</v>
      </c>
      <c r="BF221" s="18"/>
      <c r="BG221" s="18"/>
      <c r="BH221" s="18"/>
      <c r="BI221" s="18"/>
      <c r="BJ221" s="19" t="s">
        <v>8091</v>
      </c>
      <c r="BK221" s="19" t="s">
        <v>8092</v>
      </c>
      <c r="BL221" s="19" t="s">
        <v>8093</v>
      </c>
      <c r="BM221" s="19" t="s">
        <v>8094</v>
      </c>
      <c r="BN221" s="18"/>
      <c r="BO221" s="19" t="s">
        <v>8095</v>
      </c>
      <c r="BP221" s="19" t="s">
        <v>8096</v>
      </c>
      <c r="BQ221" s="15" t="s">
        <v>364</v>
      </c>
      <c r="BR221" s="26"/>
      <c r="BS221" s="26"/>
      <c r="BT221" s="26"/>
      <c r="BU221" s="26"/>
      <c r="BV221" s="26"/>
      <c r="BW221" s="15" t="s">
        <v>8097</v>
      </c>
      <c r="BX221" s="26"/>
      <c r="BY221" s="18" t="str">
        <f t="shared" si="103"/>
        <v>COMP</v>
      </c>
      <c r="BZ221" s="24" t="str">
        <f t="shared" si="100"/>
        <v>https://drive.google.com/open?id=1JhsGexIdAR-oWWwGgQ2XSZvOM4nZuonB</v>
      </c>
      <c r="CA221" s="24" t="str">
        <f t="shared" si="101"/>
        <v>https://drive.google.com/open?id=1uuHaTGq6EcH2G_P9H0wuh0sdIb3DrMkx</v>
      </c>
      <c r="CB221" s="15" t="s">
        <v>2908</v>
      </c>
      <c r="CC221" s="15" t="s">
        <v>2908</v>
      </c>
      <c r="CD221" s="25" t="s">
        <v>2797</v>
      </c>
      <c r="CE221" s="18"/>
      <c r="CF221" s="18"/>
      <c r="CG221" s="18"/>
    </row>
    <row r="222" ht="18.75" customHeight="1">
      <c r="A222" s="14">
        <v>44736.848861631945</v>
      </c>
      <c r="B222" s="15" t="s">
        <v>8098</v>
      </c>
      <c r="C222" s="16" t="s">
        <v>8099</v>
      </c>
      <c r="D222" s="15" t="str">
        <f>IFERROR(__xludf.DUMMYFUNCTION("QUERY(TY_ALL_2023_Batch!$A$1:$E$824, ""SELECT E WHERE C='""&amp;B222&amp;""'"", 0)"),"#N/A")</f>
        <v>#N/A</v>
      </c>
      <c r="E222" s="15" t="s">
        <v>8100</v>
      </c>
      <c r="F222" s="15" t="s">
        <v>8101</v>
      </c>
      <c r="G222" s="15" t="s">
        <v>8102</v>
      </c>
      <c r="H222" s="15" t="s">
        <v>2785</v>
      </c>
      <c r="I222" s="17">
        <v>37039.0</v>
      </c>
      <c r="J222" s="15">
        <v>2020.0</v>
      </c>
      <c r="K222" s="15" t="s">
        <v>2941</v>
      </c>
      <c r="L222" s="15" t="s">
        <v>2787</v>
      </c>
      <c r="M222" s="18"/>
      <c r="N222" s="15" t="s">
        <v>394</v>
      </c>
      <c r="O222" s="15" t="s">
        <v>8098</v>
      </c>
      <c r="P222" s="19" t="s">
        <v>8103</v>
      </c>
      <c r="Q222" s="15">
        <v>8.600981839E9</v>
      </c>
      <c r="R222" s="15">
        <v>8.600981839E9</v>
      </c>
      <c r="S222" s="15">
        <v>7.499665497E9</v>
      </c>
      <c r="T222" s="15" t="s">
        <v>8104</v>
      </c>
      <c r="U222" s="15" t="s">
        <v>8105</v>
      </c>
      <c r="V222" s="15" t="s">
        <v>8106</v>
      </c>
      <c r="W222" s="18"/>
      <c r="X222" s="15">
        <v>91.8</v>
      </c>
      <c r="Y222" s="15" t="s">
        <v>2948</v>
      </c>
      <c r="Z222" s="15">
        <v>9.05</v>
      </c>
      <c r="AA222" s="15">
        <v>8.81</v>
      </c>
      <c r="AB222" s="15" t="s">
        <v>2796</v>
      </c>
      <c r="AC222" s="15" t="s">
        <v>2796</v>
      </c>
      <c r="AD222" s="15" t="s">
        <v>2796</v>
      </c>
      <c r="AE222" s="15" t="s">
        <v>2796</v>
      </c>
      <c r="AF222" s="18"/>
      <c r="AG222" s="18"/>
      <c r="AH222" s="18"/>
      <c r="AI222" s="15">
        <v>87.8</v>
      </c>
      <c r="AJ222" s="15" t="s">
        <v>2787</v>
      </c>
      <c r="AK222" s="15" t="s">
        <v>2787</v>
      </c>
      <c r="AL222" s="15">
        <v>93.6</v>
      </c>
      <c r="AM222" s="15">
        <v>98.2</v>
      </c>
      <c r="AN222" s="15" t="s">
        <v>2797</v>
      </c>
      <c r="AO222" s="18"/>
      <c r="AP222" s="18"/>
      <c r="AQ222" s="15" t="s">
        <v>8107</v>
      </c>
      <c r="AR222" s="15" t="s">
        <v>8108</v>
      </c>
      <c r="AS222" s="15" t="s">
        <v>2796</v>
      </c>
      <c r="AT222" s="15" t="s">
        <v>2796</v>
      </c>
      <c r="AU222" s="15" t="s">
        <v>2796</v>
      </c>
      <c r="AV222" s="15" t="s">
        <v>2796</v>
      </c>
      <c r="AW222" s="15" t="s">
        <v>8109</v>
      </c>
      <c r="AX222" s="18"/>
      <c r="AY222" s="15" t="s">
        <v>8110</v>
      </c>
      <c r="AZ222" s="15" t="s">
        <v>5260</v>
      </c>
      <c r="BA222" s="15" t="s">
        <v>8111</v>
      </c>
      <c r="BB222" s="15" t="s">
        <v>8112</v>
      </c>
      <c r="BC222" s="15" t="s">
        <v>8113</v>
      </c>
      <c r="BD222" s="15" t="s">
        <v>2807</v>
      </c>
      <c r="BE222" s="15" t="s">
        <v>8114</v>
      </c>
      <c r="BF222" s="15" t="s">
        <v>8115</v>
      </c>
      <c r="BG222" s="15" t="s">
        <v>8116</v>
      </c>
      <c r="BH222" s="18"/>
      <c r="BI222" s="15" t="s">
        <v>8117</v>
      </c>
      <c r="BJ222" s="19" t="s">
        <v>8118</v>
      </c>
      <c r="BK222" s="19" t="s">
        <v>8119</v>
      </c>
      <c r="BL222" s="19" t="s">
        <v>8120</v>
      </c>
      <c r="BM222" s="19" t="s">
        <v>8121</v>
      </c>
      <c r="BN222" s="19" t="s">
        <v>8122</v>
      </c>
      <c r="BO222" s="19" t="s">
        <v>8123</v>
      </c>
      <c r="BP222" s="18"/>
      <c r="BQ222" s="15" t="s">
        <v>364</v>
      </c>
      <c r="BR222" s="26"/>
      <c r="BS222" s="26"/>
      <c r="BT222" s="26"/>
      <c r="BU222" s="26"/>
      <c r="BV222" s="26"/>
      <c r="BW222" s="15" t="s">
        <v>8124</v>
      </c>
      <c r="BX222" s="26"/>
      <c r="BY222" s="18" t="str">
        <f t="shared" si="103"/>
        <v>COMP</v>
      </c>
      <c r="BZ222" s="24" t="str">
        <f t="shared" si="100"/>
        <v>https://drive.google.com/open?id=1qr52TGrhWSxyfmSMocYVvoGKoRBiOWGr</v>
      </c>
      <c r="CA222" s="24" t="str">
        <f t="shared" si="101"/>
        <v>https://drive.google.com/open?id=1uZ6ml3PyMY-XsKYQSWocHndh3vKW0YwG</v>
      </c>
      <c r="CB222" s="15" t="s">
        <v>2821</v>
      </c>
      <c r="CC222" s="15" t="s">
        <v>2821</v>
      </c>
      <c r="CD222" s="25" t="s">
        <v>2797</v>
      </c>
      <c r="CE222" s="18"/>
      <c r="CF222" s="18"/>
      <c r="CG222" s="18"/>
    </row>
    <row r="223" ht="18.75" customHeight="1">
      <c r="A223" s="30">
        <v>44737.077219375</v>
      </c>
      <c r="B223" s="5" t="s">
        <v>582</v>
      </c>
      <c r="C223" s="31" t="s">
        <v>8125</v>
      </c>
      <c r="E223" s="5" t="s">
        <v>8126</v>
      </c>
      <c r="G223" s="5" t="s">
        <v>6246</v>
      </c>
      <c r="H223" s="5" t="s">
        <v>2785</v>
      </c>
      <c r="I223" s="32">
        <v>37109.0</v>
      </c>
      <c r="J223" s="5">
        <v>2019.0</v>
      </c>
      <c r="K223" s="5" t="s">
        <v>2786</v>
      </c>
      <c r="L223" s="5" t="s">
        <v>2787</v>
      </c>
      <c r="N223" s="5" t="s">
        <v>8127</v>
      </c>
      <c r="O223" s="5" t="s">
        <v>582</v>
      </c>
      <c r="P223" s="33" t="s">
        <v>8128</v>
      </c>
      <c r="Q223" s="5">
        <v>7.350975415E9</v>
      </c>
      <c r="R223" s="5">
        <v>7.350975415E9</v>
      </c>
      <c r="T223" s="5" t="s">
        <v>8129</v>
      </c>
      <c r="U223" s="5" t="s">
        <v>8130</v>
      </c>
      <c r="V223" s="5" t="s">
        <v>8131</v>
      </c>
      <c r="W223" s="5" t="s">
        <v>8132</v>
      </c>
      <c r="X223" s="5">
        <v>96.0</v>
      </c>
      <c r="Y223" s="5" t="s">
        <v>2795</v>
      </c>
      <c r="Z223" s="5">
        <v>9.1</v>
      </c>
      <c r="AA223" s="5">
        <v>7.81</v>
      </c>
      <c r="AB223" s="5">
        <v>8.1</v>
      </c>
      <c r="AC223" s="5">
        <v>8.1</v>
      </c>
      <c r="AD223" s="5" t="s">
        <v>2796</v>
      </c>
      <c r="AE223" s="5" t="s">
        <v>2796</v>
      </c>
      <c r="AF223" s="5">
        <v>8.21</v>
      </c>
      <c r="AG223" s="5">
        <v>8.05</v>
      </c>
      <c r="AH223" s="5">
        <v>91.0</v>
      </c>
      <c r="AJ223" s="5" t="s">
        <v>2787</v>
      </c>
      <c r="AK223" s="5" t="s">
        <v>2787</v>
      </c>
      <c r="AL223" s="5" t="s">
        <v>8133</v>
      </c>
      <c r="AM223" s="5" t="s">
        <v>8134</v>
      </c>
      <c r="AN223" s="5" t="s">
        <v>2797</v>
      </c>
      <c r="AO223" s="5" t="s">
        <v>2796</v>
      </c>
      <c r="AP223" s="5" t="s">
        <v>2796</v>
      </c>
      <c r="AQ223" s="5" t="s">
        <v>8135</v>
      </c>
      <c r="AR223" s="5" t="s">
        <v>8136</v>
      </c>
      <c r="AS223" s="5" t="s">
        <v>5572</v>
      </c>
      <c r="AT223" s="5" t="s">
        <v>2796</v>
      </c>
      <c r="AU223" s="5" t="s">
        <v>8137</v>
      </c>
      <c r="AV223" s="5" t="s">
        <v>8138</v>
      </c>
      <c r="AW223" s="5" t="s">
        <v>8139</v>
      </c>
      <c r="AX223" s="5" t="s">
        <v>8140</v>
      </c>
      <c r="AY223" s="5" t="s">
        <v>8141</v>
      </c>
      <c r="AZ223" s="5" t="s">
        <v>5335</v>
      </c>
      <c r="BA223" s="5" t="s">
        <v>5552</v>
      </c>
      <c r="BB223" s="5" t="s">
        <v>8142</v>
      </c>
      <c r="BC223" s="5" t="s">
        <v>4485</v>
      </c>
      <c r="BD223" s="5" t="s">
        <v>2807</v>
      </c>
      <c r="BE223" s="5" t="s">
        <v>8143</v>
      </c>
      <c r="BF223" s="5" t="s">
        <v>8144</v>
      </c>
      <c r="BG223" s="5" t="s">
        <v>2796</v>
      </c>
      <c r="BH223" s="5" t="s">
        <v>8145</v>
      </c>
      <c r="BI223" s="5" t="s">
        <v>8146</v>
      </c>
      <c r="BJ223" s="33" t="s">
        <v>8147</v>
      </c>
      <c r="BK223" s="33" t="s">
        <v>8148</v>
      </c>
      <c r="BL223" s="33" t="s">
        <v>8149</v>
      </c>
      <c r="BM223" s="33" t="s">
        <v>8150</v>
      </c>
      <c r="BN223" s="33" t="s">
        <v>8151</v>
      </c>
      <c r="BO223" s="33" t="s">
        <v>8152</v>
      </c>
      <c r="BP223" s="33" t="s">
        <v>8153</v>
      </c>
      <c r="BQ223" s="5" t="s">
        <v>364</v>
      </c>
      <c r="BR223" s="4"/>
      <c r="BS223" s="4"/>
      <c r="BT223" s="4"/>
      <c r="BU223" s="4"/>
      <c r="BV223" s="4"/>
      <c r="BW223" s="5" t="s">
        <v>3313</v>
      </c>
      <c r="BX223" s="4"/>
      <c r="BZ223" s="24" t="str">
        <f t="shared" si="100"/>
        <v>https://drive.google.com/open?id=1BSepHKJRmxYKYNHeTtWgmKxNRnjaIpTv</v>
      </c>
      <c r="CA223" s="24" t="str">
        <f t="shared" si="101"/>
        <v>https://drive.google.com/open?id=1HS1TTnojEE72jr2cwNFOY46wIroU3Gmk</v>
      </c>
      <c r="CB223" s="5" t="s">
        <v>2821</v>
      </c>
      <c r="CC223" s="5" t="s">
        <v>2821</v>
      </c>
      <c r="CD223" s="34" t="s">
        <v>2797</v>
      </c>
      <c r="CG223" s="18"/>
    </row>
    <row r="224" ht="18.75" customHeight="1">
      <c r="A224" s="30">
        <v>44743.50739491898</v>
      </c>
      <c r="B224" s="5" t="s">
        <v>651</v>
      </c>
      <c r="C224" s="31" t="s">
        <v>8154</v>
      </c>
      <c r="E224" s="5" t="s">
        <v>8155</v>
      </c>
      <c r="F224" s="5" t="s">
        <v>8156</v>
      </c>
      <c r="G224" s="5" t="s">
        <v>5661</v>
      </c>
      <c r="H224" s="5" t="s">
        <v>2785</v>
      </c>
      <c r="I224" s="32">
        <v>37107.0</v>
      </c>
      <c r="J224" s="5">
        <v>2019.0</v>
      </c>
      <c r="K224" s="5" t="s">
        <v>2786</v>
      </c>
      <c r="L224" s="5" t="s">
        <v>2787</v>
      </c>
      <c r="N224" s="5" t="s">
        <v>8157</v>
      </c>
      <c r="O224" s="5" t="s">
        <v>651</v>
      </c>
      <c r="P224" s="33" t="s">
        <v>8158</v>
      </c>
      <c r="Q224" s="5">
        <v>9.022495243E9</v>
      </c>
      <c r="R224" s="5">
        <v>9.022495243E9</v>
      </c>
      <c r="S224" s="5">
        <v>8.421884321E9</v>
      </c>
      <c r="T224" s="5" t="s">
        <v>8159</v>
      </c>
      <c r="U224" s="5" t="s">
        <v>8160</v>
      </c>
      <c r="V224" s="5" t="s">
        <v>8161</v>
      </c>
      <c r="W224" s="5" t="s">
        <v>8162</v>
      </c>
      <c r="X224" s="5">
        <v>68.4</v>
      </c>
      <c r="Y224" s="5" t="s">
        <v>2795</v>
      </c>
      <c r="Z224" s="5">
        <v>6.57</v>
      </c>
      <c r="AA224" s="5">
        <v>6.57</v>
      </c>
      <c r="AB224" s="5" t="s">
        <v>2796</v>
      </c>
      <c r="AC224" s="5" t="s">
        <v>2796</v>
      </c>
      <c r="AD224" s="5" t="s">
        <v>2796</v>
      </c>
      <c r="AE224" s="5" t="s">
        <v>2796</v>
      </c>
      <c r="AF224" s="5">
        <v>7.14</v>
      </c>
      <c r="AG224" s="5">
        <v>7.34</v>
      </c>
      <c r="AH224" s="5">
        <v>60.0</v>
      </c>
      <c r="AJ224" s="5" t="s">
        <v>2787</v>
      </c>
      <c r="AK224" s="5" t="s">
        <v>2787</v>
      </c>
      <c r="AN224" s="5" t="s">
        <v>2797</v>
      </c>
      <c r="AQ224" s="5" t="s">
        <v>8163</v>
      </c>
      <c r="AU224" s="5" t="s">
        <v>8164</v>
      </c>
      <c r="AV224" s="5" t="s">
        <v>8165</v>
      </c>
      <c r="AW224" s="5" t="s">
        <v>8166</v>
      </c>
      <c r="AY224" s="5" t="s">
        <v>8166</v>
      </c>
      <c r="AZ224" s="5" t="s">
        <v>8167</v>
      </c>
      <c r="BA224" s="5" t="s">
        <v>8168</v>
      </c>
      <c r="BB224" s="5" t="s">
        <v>6147</v>
      </c>
      <c r="BC224" s="5" t="s">
        <v>4702</v>
      </c>
      <c r="BD224" s="5" t="s">
        <v>2842</v>
      </c>
      <c r="BE224" s="5" t="s">
        <v>7637</v>
      </c>
      <c r="BJ224" s="33" t="s">
        <v>7577</v>
      </c>
      <c r="BK224" s="33" t="s">
        <v>8169</v>
      </c>
      <c r="BO224" s="33" t="s">
        <v>8170</v>
      </c>
      <c r="BQ224" s="5" t="s">
        <v>364</v>
      </c>
      <c r="BT224" s="33" t="s">
        <v>8171</v>
      </c>
      <c r="BW224" s="5" t="s">
        <v>8172</v>
      </c>
      <c r="BZ224" s="18" t="str">
        <f t="shared" si="100"/>
        <v/>
      </c>
      <c r="CA224" s="18" t="str">
        <f t="shared" si="101"/>
        <v/>
      </c>
      <c r="CB224" s="5" t="s">
        <v>2908</v>
      </c>
      <c r="CC224" s="5" t="s">
        <v>2908</v>
      </c>
      <c r="CD224" s="34" t="s">
        <v>2787</v>
      </c>
      <c r="CG224" s="18"/>
    </row>
    <row r="225" ht="18.75" customHeight="1">
      <c r="A225" s="30">
        <v>44744.50836128472</v>
      </c>
      <c r="B225" s="5" t="s">
        <v>894</v>
      </c>
      <c r="C225" s="31" t="s">
        <v>8173</v>
      </c>
      <c r="E225" s="5" t="s">
        <v>8174</v>
      </c>
      <c r="F225" s="5" t="s">
        <v>5565</v>
      </c>
      <c r="G225" s="5" t="s">
        <v>4471</v>
      </c>
      <c r="H225" s="5" t="s">
        <v>2785</v>
      </c>
      <c r="I225" s="32">
        <v>36985.0</v>
      </c>
      <c r="J225" s="5">
        <v>2019.0</v>
      </c>
      <c r="K225" s="5" t="s">
        <v>2786</v>
      </c>
      <c r="L225" s="5" t="s">
        <v>2787</v>
      </c>
      <c r="N225" s="5" t="s">
        <v>8175</v>
      </c>
      <c r="O225" s="5" t="s">
        <v>894</v>
      </c>
      <c r="P225" s="33" t="s">
        <v>8176</v>
      </c>
      <c r="Q225" s="5">
        <v>8.080511206E9</v>
      </c>
      <c r="R225" s="5">
        <v>8.080511206E9</v>
      </c>
      <c r="T225" s="5" t="s">
        <v>5565</v>
      </c>
      <c r="U225" s="5" t="s">
        <v>8177</v>
      </c>
      <c r="V225" s="5" t="s">
        <v>8178</v>
      </c>
      <c r="X225" s="5">
        <v>76.0</v>
      </c>
      <c r="Y225" s="5" t="s">
        <v>2795</v>
      </c>
      <c r="Z225" s="5">
        <v>7.76</v>
      </c>
      <c r="AA225" s="5">
        <v>7.29</v>
      </c>
      <c r="AB225" s="5" t="s">
        <v>2796</v>
      </c>
      <c r="AC225" s="5" t="s">
        <v>2796</v>
      </c>
      <c r="AD225" s="5" t="s">
        <v>2796</v>
      </c>
      <c r="AE225" s="5" t="s">
        <v>2796</v>
      </c>
      <c r="AF225" s="5">
        <v>8.68</v>
      </c>
      <c r="AG225" s="5">
        <v>8.65</v>
      </c>
      <c r="AH225" s="5">
        <v>60.77</v>
      </c>
      <c r="AJ225" s="5" t="s">
        <v>2797</v>
      </c>
      <c r="AK225" s="5" t="s">
        <v>2787</v>
      </c>
      <c r="AN225" s="5" t="s">
        <v>2787</v>
      </c>
      <c r="AO225" s="5" t="s">
        <v>2796</v>
      </c>
      <c r="AP225" s="5" t="s">
        <v>8179</v>
      </c>
      <c r="AQ225" s="5" t="s">
        <v>8180</v>
      </c>
      <c r="AW225" s="5" t="s">
        <v>8181</v>
      </c>
      <c r="AY225" s="5" t="s">
        <v>8182</v>
      </c>
      <c r="AZ225" s="5" t="s">
        <v>5625</v>
      </c>
      <c r="BA225" s="5" t="s">
        <v>8183</v>
      </c>
      <c r="BB225" s="5" t="s">
        <v>6489</v>
      </c>
      <c r="BC225" s="5" t="s">
        <v>3686</v>
      </c>
      <c r="BD225" s="5" t="s">
        <v>2807</v>
      </c>
      <c r="BE225" s="5" t="s">
        <v>8184</v>
      </c>
      <c r="BG225" s="5" t="s">
        <v>8185</v>
      </c>
      <c r="BH225" s="5" t="s">
        <v>8186</v>
      </c>
      <c r="BJ225" s="33" t="s">
        <v>8187</v>
      </c>
      <c r="BK225" s="33" t="s">
        <v>8188</v>
      </c>
      <c r="BO225" s="33" t="s">
        <v>8189</v>
      </c>
      <c r="BQ225" s="5" t="s">
        <v>364</v>
      </c>
      <c r="BW225" s="5" t="s">
        <v>2796</v>
      </c>
      <c r="BZ225" s="18" t="str">
        <f t="shared" si="100"/>
        <v/>
      </c>
      <c r="CA225" s="18" t="str">
        <f t="shared" si="101"/>
        <v/>
      </c>
      <c r="CB225" s="5" t="s">
        <v>2908</v>
      </c>
      <c r="CC225" s="5" t="s">
        <v>2908</v>
      </c>
      <c r="CD225" s="34" t="s">
        <v>2797</v>
      </c>
      <c r="CG225" s="18"/>
    </row>
    <row r="226" ht="18.75" hidden="1" customHeight="1">
      <c r="A226" s="14">
        <v>44742.559090625</v>
      </c>
      <c r="B226" s="15" t="s">
        <v>1893</v>
      </c>
      <c r="C226" s="16" t="s">
        <v>8190</v>
      </c>
      <c r="D226" s="15" t="str">
        <f>IFERROR(__xludf.DUMMYFUNCTION("QUERY(TY_ALL_2023_Batch!$A$1:$E$824, ""SELECT E WHERE C='""&amp;B226&amp;""'"", 0)"),"E&amp;TC")</f>
        <v>E&amp;TC</v>
      </c>
      <c r="E226" s="15" t="s">
        <v>8191</v>
      </c>
      <c r="F226" s="15" t="s">
        <v>3247</v>
      </c>
      <c r="G226" s="15" t="s">
        <v>8192</v>
      </c>
      <c r="H226" s="15" t="s">
        <v>2826</v>
      </c>
      <c r="I226" s="17">
        <v>36696.0</v>
      </c>
      <c r="J226" s="15">
        <v>2019.0</v>
      </c>
      <c r="K226" s="15" t="s">
        <v>2786</v>
      </c>
      <c r="L226" s="15" t="s">
        <v>2787</v>
      </c>
      <c r="M226" s="18"/>
      <c r="N226" s="15" t="s">
        <v>8193</v>
      </c>
      <c r="O226" s="15" t="s">
        <v>1893</v>
      </c>
      <c r="P226" s="19" t="s">
        <v>8194</v>
      </c>
      <c r="Q226" s="15">
        <v>8.080113001E9</v>
      </c>
      <c r="R226" s="15">
        <v>8.080113001E9</v>
      </c>
      <c r="S226" s="15">
        <v>9.860371442E9</v>
      </c>
      <c r="T226" s="15" t="s">
        <v>8195</v>
      </c>
      <c r="U226" s="15" t="s">
        <v>8196</v>
      </c>
      <c r="V226" s="15" t="s">
        <v>8197</v>
      </c>
      <c r="W226" s="15" t="s">
        <v>8197</v>
      </c>
      <c r="X226" s="15">
        <v>61.8</v>
      </c>
      <c r="Y226" s="15" t="s">
        <v>2795</v>
      </c>
      <c r="Z226" s="15">
        <v>8.0</v>
      </c>
      <c r="AA226" s="15">
        <v>7.65</v>
      </c>
      <c r="AB226" s="15" t="s">
        <v>3313</v>
      </c>
      <c r="AC226" s="15" t="s">
        <v>3313</v>
      </c>
      <c r="AD226" s="15" t="s">
        <v>3313</v>
      </c>
      <c r="AE226" s="15" t="s">
        <v>3313</v>
      </c>
      <c r="AF226" s="15">
        <v>7.21</v>
      </c>
      <c r="AG226" s="15">
        <v>7.1</v>
      </c>
      <c r="AH226" s="15">
        <v>53.54</v>
      </c>
      <c r="AI226" s="18"/>
      <c r="AJ226" s="15" t="s">
        <v>2787</v>
      </c>
      <c r="AK226" s="15" t="s">
        <v>2787</v>
      </c>
      <c r="AL226" s="29">
        <v>5.6050557E8</v>
      </c>
      <c r="AM226" s="18"/>
      <c r="AN226" s="15" t="s">
        <v>2797</v>
      </c>
      <c r="AO226" s="18"/>
      <c r="AP226" s="18"/>
      <c r="AQ226" s="15" t="s">
        <v>8198</v>
      </c>
      <c r="AR226" s="18"/>
      <c r="AS226" s="18"/>
      <c r="AT226" s="18"/>
      <c r="AU226" s="15" t="s">
        <v>8199</v>
      </c>
      <c r="AV226" s="15" t="s">
        <v>8200</v>
      </c>
      <c r="AW226" s="15" t="s">
        <v>8201</v>
      </c>
      <c r="AX226" s="18"/>
      <c r="AY226" s="15" t="s">
        <v>8201</v>
      </c>
      <c r="AZ226" s="15" t="s">
        <v>5625</v>
      </c>
      <c r="BA226" s="15" t="s">
        <v>2839</v>
      </c>
      <c r="BB226" s="15" t="s">
        <v>3109</v>
      </c>
      <c r="BC226" s="15" t="s">
        <v>4746</v>
      </c>
      <c r="BD226" s="15" t="s">
        <v>2807</v>
      </c>
      <c r="BE226" s="15" t="s">
        <v>2796</v>
      </c>
      <c r="BF226" s="18"/>
      <c r="BG226" s="18"/>
      <c r="BH226" s="18"/>
      <c r="BI226" s="18"/>
      <c r="BJ226" s="19" t="s">
        <v>8202</v>
      </c>
      <c r="BK226" s="19" t="s">
        <v>8203</v>
      </c>
      <c r="BL226" s="18"/>
      <c r="BM226" s="18"/>
      <c r="BN226" s="19" t="s">
        <v>8204</v>
      </c>
      <c r="BO226" s="19" t="s">
        <v>8205</v>
      </c>
      <c r="BP226" s="19" t="s">
        <v>8206</v>
      </c>
      <c r="BQ226" s="15" t="s">
        <v>1193</v>
      </c>
      <c r="BR226" s="26"/>
      <c r="BS226" s="26"/>
      <c r="BT226" s="26"/>
      <c r="BU226" s="26"/>
      <c r="BV226" s="26"/>
      <c r="BW226" s="15" t="s">
        <v>8207</v>
      </c>
      <c r="BX226" s="26"/>
      <c r="BY226" s="18" t="str">
        <f t="shared" ref="BY226:BY328" si="104">IF(NOT(ISBLANK(BQ226)), BQ226, D226)</f>
        <v>E&amp;TC</v>
      </c>
      <c r="BZ226" s="18" t="str">
        <f t="shared" si="100"/>
        <v/>
      </c>
      <c r="CA226" s="18" t="str">
        <f t="shared" si="101"/>
        <v/>
      </c>
      <c r="CB226" s="15" t="s">
        <v>2908</v>
      </c>
      <c r="CC226" s="15" t="s">
        <v>2908</v>
      </c>
      <c r="CD226" s="25" t="s">
        <v>2787</v>
      </c>
      <c r="CE226" s="18"/>
      <c r="CF226" s="18"/>
      <c r="CG226" s="18"/>
    </row>
    <row r="227" hidden="1">
      <c r="A227" s="14">
        <v>44742.93001196759</v>
      </c>
      <c r="B227" s="15" t="s">
        <v>1785</v>
      </c>
      <c r="C227" s="16" t="s">
        <v>8208</v>
      </c>
      <c r="D227" s="15" t="str">
        <f>IFERROR(__xludf.DUMMYFUNCTION("QUERY(TY_ALL_2023_Batch!$A$1:$E$824, ""SELECT E WHERE C='""&amp;B227&amp;""'"", 0)"),"E&amp;TC")</f>
        <v>E&amp;TC</v>
      </c>
      <c r="E227" s="15" t="s">
        <v>8209</v>
      </c>
      <c r="F227" s="15" t="s">
        <v>3379</v>
      </c>
      <c r="G227" s="15" t="s">
        <v>5325</v>
      </c>
      <c r="H227" s="15" t="s">
        <v>2785</v>
      </c>
      <c r="I227" s="17">
        <v>36903.0</v>
      </c>
      <c r="J227" s="15">
        <v>2019.0</v>
      </c>
      <c r="K227" s="15" t="s">
        <v>2786</v>
      </c>
      <c r="L227" s="15" t="s">
        <v>2787</v>
      </c>
      <c r="M227" s="18"/>
      <c r="N227" s="15" t="s">
        <v>8210</v>
      </c>
      <c r="O227" s="15" t="s">
        <v>1785</v>
      </c>
      <c r="P227" s="19" t="s">
        <v>8211</v>
      </c>
      <c r="Q227" s="15">
        <v>9.075017971E9</v>
      </c>
      <c r="R227" s="15">
        <v>9.075017971E9</v>
      </c>
      <c r="S227" s="15">
        <v>9.822867971E9</v>
      </c>
      <c r="T227" s="15" t="s">
        <v>8212</v>
      </c>
      <c r="U227" s="15" t="s">
        <v>8213</v>
      </c>
      <c r="V227" s="15" t="s">
        <v>8214</v>
      </c>
      <c r="W227" s="15" t="s">
        <v>8214</v>
      </c>
      <c r="X227" s="15">
        <v>88.4</v>
      </c>
      <c r="Y227" s="15" t="s">
        <v>2795</v>
      </c>
      <c r="Z227" s="15">
        <v>8.52</v>
      </c>
      <c r="AA227" s="15">
        <v>7.9</v>
      </c>
      <c r="AB227" s="15" t="s">
        <v>2796</v>
      </c>
      <c r="AC227" s="15" t="s">
        <v>2796</v>
      </c>
      <c r="AD227" s="15" t="s">
        <v>2796</v>
      </c>
      <c r="AE227" s="15" t="s">
        <v>2796</v>
      </c>
      <c r="AF227" s="15">
        <v>8.37</v>
      </c>
      <c r="AG227" s="15">
        <v>8.29</v>
      </c>
      <c r="AH227" s="15">
        <v>69.38</v>
      </c>
      <c r="AI227" s="18"/>
      <c r="AJ227" s="15" t="s">
        <v>2787</v>
      </c>
      <c r="AK227" s="15" t="s">
        <v>2787</v>
      </c>
      <c r="AL227" s="18"/>
      <c r="AM227" s="18"/>
      <c r="AN227" s="15" t="s">
        <v>2797</v>
      </c>
      <c r="AO227" s="15">
        <v>0.0</v>
      </c>
      <c r="AP227" s="15">
        <v>0.0</v>
      </c>
      <c r="AQ227" s="15" t="s">
        <v>8215</v>
      </c>
      <c r="AR227" s="18"/>
      <c r="AS227" s="15" t="s">
        <v>8216</v>
      </c>
      <c r="AT227" s="18"/>
      <c r="AU227" s="15" t="s">
        <v>8217</v>
      </c>
      <c r="AV227" s="15" t="s">
        <v>8218</v>
      </c>
      <c r="AW227" s="15" t="s">
        <v>8219</v>
      </c>
      <c r="AX227" s="18"/>
      <c r="AY227" s="15" t="s">
        <v>8220</v>
      </c>
      <c r="AZ227" s="15" t="s">
        <v>4670</v>
      </c>
      <c r="BA227" s="15" t="s">
        <v>2870</v>
      </c>
      <c r="BB227" s="15" t="s">
        <v>2807</v>
      </c>
      <c r="BC227" s="15" t="s">
        <v>5554</v>
      </c>
      <c r="BD227" s="15" t="s">
        <v>3393</v>
      </c>
      <c r="BE227" s="15" t="s">
        <v>8221</v>
      </c>
      <c r="BF227" s="18"/>
      <c r="BG227" s="18"/>
      <c r="BH227" s="18"/>
      <c r="BI227" s="15" t="s">
        <v>8222</v>
      </c>
      <c r="BJ227" s="19" t="s">
        <v>8223</v>
      </c>
      <c r="BK227" s="19" t="s">
        <v>8224</v>
      </c>
      <c r="BL227" s="19" t="s">
        <v>8225</v>
      </c>
      <c r="BM227" s="19" t="s">
        <v>8226</v>
      </c>
      <c r="BN227" s="18"/>
      <c r="BO227" s="19" t="s">
        <v>8227</v>
      </c>
      <c r="BP227" s="19" t="s">
        <v>8228</v>
      </c>
      <c r="BQ227" s="15" t="s">
        <v>1193</v>
      </c>
      <c r="BR227" s="26"/>
      <c r="BS227" s="26"/>
      <c r="BT227" s="26"/>
      <c r="BU227" s="26"/>
      <c r="BV227" s="26"/>
      <c r="BW227" s="15" t="s">
        <v>8229</v>
      </c>
      <c r="BX227" s="26"/>
      <c r="BY227" s="18" t="str">
        <f t="shared" si="104"/>
        <v>E&amp;TC</v>
      </c>
      <c r="BZ227" s="24" t="str">
        <f t="shared" si="100"/>
        <v>https://drive.google.com/open?id=1LS-rnDBq-70e_2s1xgQuk1jp8IrZuF3f</v>
      </c>
      <c r="CA227" s="24" t="str">
        <f t="shared" si="101"/>
        <v>https://drive.google.com/open?id=1Qq1058r0AaEgEfDQckPZB91lIYzCz_Ck</v>
      </c>
      <c r="CB227" s="15" t="s">
        <v>2821</v>
      </c>
      <c r="CC227" s="15" t="s">
        <v>2821</v>
      </c>
      <c r="CD227" s="25" t="s">
        <v>2797</v>
      </c>
      <c r="CE227" s="18"/>
      <c r="CF227" s="18"/>
      <c r="CG227" s="18"/>
    </row>
    <row r="228" ht="18.75" hidden="1" customHeight="1">
      <c r="A228" s="14">
        <v>44772.03444445602</v>
      </c>
      <c r="B228" s="15" t="s">
        <v>2028</v>
      </c>
      <c r="C228" s="16" t="s">
        <v>8230</v>
      </c>
      <c r="D228" s="15" t="str">
        <f>IFERROR(__xludf.DUMMYFUNCTION("QUERY(TY_ALL_2023_Batch!$A$1:$E$824, ""SELECT E WHERE C='""&amp;B228&amp;""'"", 0)"),"E&amp;TC")</f>
        <v>E&amp;TC</v>
      </c>
      <c r="E228" s="15" t="s">
        <v>8231</v>
      </c>
      <c r="F228" s="15" t="s">
        <v>8232</v>
      </c>
      <c r="G228" s="15" t="s">
        <v>8233</v>
      </c>
      <c r="H228" s="15" t="s">
        <v>2785</v>
      </c>
      <c r="I228" s="17">
        <v>37114.0</v>
      </c>
      <c r="J228" s="15">
        <v>2019.0</v>
      </c>
      <c r="K228" s="15" t="s">
        <v>2786</v>
      </c>
      <c r="L228" s="15" t="s">
        <v>2787</v>
      </c>
      <c r="M228" s="18"/>
      <c r="N228" s="15" t="s">
        <v>8234</v>
      </c>
      <c r="O228" s="15" t="s">
        <v>8235</v>
      </c>
      <c r="P228" s="19" t="s">
        <v>8236</v>
      </c>
      <c r="Q228" s="15">
        <v>9.403916384E9</v>
      </c>
      <c r="R228" s="15">
        <v>9.403916384E9</v>
      </c>
      <c r="S228" s="15">
        <v>9.021553137E9</v>
      </c>
      <c r="T228" s="15" t="s">
        <v>8232</v>
      </c>
      <c r="U228" s="15" t="s">
        <v>4138</v>
      </c>
      <c r="V228" s="15" t="s">
        <v>8237</v>
      </c>
      <c r="W228" s="15" t="s">
        <v>8237</v>
      </c>
      <c r="X228" s="15">
        <v>83.6</v>
      </c>
      <c r="Y228" s="15" t="s">
        <v>2795</v>
      </c>
      <c r="Z228" s="15">
        <v>8.71</v>
      </c>
      <c r="AA228" s="15">
        <v>8.42</v>
      </c>
      <c r="AB228" s="15">
        <v>8.29</v>
      </c>
      <c r="AC228" s="15">
        <v>8.14</v>
      </c>
      <c r="AD228" s="15" t="s">
        <v>2796</v>
      </c>
      <c r="AE228" s="15" t="s">
        <v>2796</v>
      </c>
      <c r="AF228" s="15">
        <v>8.05</v>
      </c>
      <c r="AG228" s="15">
        <v>8.42</v>
      </c>
      <c r="AH228" s="15">
        <v>74.15</v>
      </c>
      <c r="AI228" s="18"/>
      <c r="AJ228" s="15" t="s">
        <v>2787</v>
      </c>
      <c r="AK228" s="15" t="s">
        <v>2787</v>
      </c>
      <c r="AL228" s="29">
        <v>5.8553067E8</v>
      </c>
      <c r="AM228" s="29">
        <v>5.25590755E8</v>
      </c>
      <c r="AN228" s="15" t="s">
        <v>2787</v>
      </c>
      <c r="AO228" s="18"/>
      <c r="AP228" s="15" t="s">
        <v>8238</v>
      </c>
      <c r="AQ228" s="15" t="s">
        <v>8239</v>
      </c>
      <c r="AR228" s="15" t="s">
        <v>8240</v>
      </c>
      <c r="AS228" s="18"/>
      <c r="AT228" s="15" t="s">
        <v>6408</v>
      </c>
      <c r="AU228" s="15" t="s">
        <v>8241</v>
      </c>
      <c r="AV228" s="15" t="s">
        <v>8242</v>
      </c>
      <c r="AW228" s="15" t="s">
        <v>8243</v>
      </c>
      <c r="AX228" s="18"/>
      <c r="AY228" s="15" t="s">
        <v>8244</v>
      </c>
      <c r="AZ228" s="15" t="s">
        <v>4670</v>
      </c>
      <c r="BA228" s="15" t="s">
        <v>2839</v>
      </c>
      <c r="BB228" s="15" t="s">
        <v>4484</v>
      </c>
      <c r="BC228" s="15" t="s">
        <v>4746</v>
      </c>
      <c r="BD228" s="15" t="s">
        <v>2807</v>
      </c>
      <c r="BE228" s="15" t="s">
        <v>8245</v>
      </c>
      <c r="BF228" s="18"/>
      <c r="BG228" s="18"/>
      <c r="BH228" s="18"/>
      <c r="BI228" s="18"/>
      <c r="BJ228" s="19" t="s">
        <v>8246</v>
      </c>
      <c r="BK228" s="19" t="s">
        <v>8247</v>
      </c>
      <c r="BL228" s="19" t="s">
        <v>8248</v>
      </c>
      <c r="BM228" s="19" t="s">
        <v>8249</v>
      </c>
      <c r="BN228" s="19" t="s">
        <v>8250</v>
      </c>
      <c r="BO228" s="19" t="s">
        <v>8251</v>
      </c>
      <c r="BP228" s="19" t="s">
        <v>8252</v>
      </c>
      <c r="BQ228" s="15" t="s">
        <v>1193</v>
      </c>
      <c r="BR228" s="26"/>
      <c r="BS228" s="26"/>
      <c r="BT228" s="26"/>
      <c r="BU228" s="26"/>
      <c r="BV228" s="19" t="s">
        <v>8253</v>
      </c>
      <c r="BW228" s="15" t="s">
        <v>8254</v>
      </c>
      <c r="BX228" s="26"/>
      <c r="BY228" s="18" t="str">
        <f t="shared" si="104"/>
        <v>E&amp;TC</v>
      </c>
      <c r="BZ228" s="24" t="str">
        <f t="shared" si="100"/>
        <v>https://drive.google.com/open?id=19lPk_C7RILuhEcTbCQtaSRJz6h8pwt6g</v>
      </c>
      <c r="CA228" s="24" t="str">
        <f t="shared" si="101"/>
        <v>https://drive.google.com/open?id=1dH6Gat6Kk-mrYoeAhgIyNp_P2-iYiO1W</v>
      </c>
      <c r="CB228" s="15" t="s">
        <v>3599</v>
      </c>
      <c r="CC228" s="15" t="s">
        <v>2821</v>
      </c>
      <c r="CD228" s="25" t="s">
        <v>2787</v>
      </c>
      <c r="CE228" s="18"/>
      <c r="CF228" s="18"/>
      <c r="CG228" s="18"/>
    </row>
    <row r="229" ht="18.75" hidden="1" customHeight="1">
      <c r="A229" s="14">
        <v>44750.52576650463</v>
      </c>
      <c r="B229" s="15" t="s">
        <v>1797</v>
      </c>
      <c r="C229" s="16" t="s">
        <v>8255</v>
      </c>
      <c r="D229" s="15" t="str">
        <f>IFERROR(__xludf.DUMMYFUNCTION("QUERY(TY_ALL_2023_Batch!$A$1:$E$824, ""SELECT E WHERE C='""&amp;B229&amp;""'"", 0)"),"E&amp;TC")</f>
        <v>E&amp;TC</v>
      </c>
      <c r="E229" s="15" t="s">
        <v>8256</v>
      </c>
      <c r="F229" s="15" t="s">
        <v>3628</v>
      </c>
      <c r="G229" s="15" t="s">
        <v>8257</v>
      </c>
      <c r="H229" s="15" t="s">
        <v>2826</v>
      </c>
      <c r="I229" s="17">
        <v>36797.0</v>
      </c>
      <c r="J229" s="15">
        <v>2019.0</v>
      </c>
      <c r="K229" s="15" t="s">
        <v>2786</v>
      </c>
      <c r="L229" s="15" t="s">
        <v>2787</v>
      </c>
      <c r="M229" s="18"/>
      <c r="N229" s="15" t="s">
        <v>8258</v>
      </c>
      <c r="O229" s="15" t="s">
        <v>1797</v>
      </c>
      <c r="P229" s="19" t="s">
        <v>8259</v>
      </c>
      <c r="Q229" s="15">
        <v>7.498243543E9</v>
      </c>
      <c r="R229" s="15">
        <v>7.498243543E9</v>
      </c>
      <c r="S229" s="15">
        <v>7.350900784E9</v>
      </c>
      <c r="T229" s="15" t="s">
        <v>8260</v>
      </c>
      <c r="U229" s="15" t="s">
        <v>8261</v>
      </c>
      <c r="V229" s="15" t="s">
        <v>8262</v>
      </c>
      <c r="W229" s="15" t="s">
        <v>8263</v>
      </c>
      <c r="X229" s="15">
        <v>95.04</v>
      </c>
      <c r="Y229" s="15" t="s">
        <v>2795</v>
      </c>
      <c r="Z229" s="15">
        <v>8.67</v>
      </c>
      <c r="AA229" s="15">
        <v>8.25</v>
      </c>
      <c r="AB229" s="15" t="s">
        <v>2796</v>
      </c>
      <c r="AC229" s="15" t="s">
        <v>2796</v>
      </c>
      <c r="AD229" s="15" t="s">
        <v>2796</v>
      </c>
      <c r="AE229" s="15" t="s">
        <v>2796</v>
      </c>
      <c r="AF229" s="15">
        <v>8.16</v>
      </c>
      <c r="AG229" s="15">
        <v>8.19</v>
      </c>
      <c r="AH229" s="15">
        <v>67.08</v>
      </c>
      <c r="AI229" s="18"/>
      <c r="AJ229" s="15" t="s">
        <v>2787</v>
      </c>
      <c r="AK229" s="15" t="s">
        <v>2787</v>
      </c>
      <c r="AL229" s="18"/>
      <c r="AM229" s="15">
        <v>68.77</v>
      </c>
      <c r="AN229" s="15" t="s">
        <v>2797</v>
      </c>
      <c r="AO229" s="15" t="s">
        <v>6951</v>
      </c>
      <c r="AP229" s="15" t="s">
        <v>6951</v>
      </c>
      <c r="AQ229" s="15" t="s">
        <v>5387</v>
      </c>
      <c r="AR229" s="15" t="s">
        <v>8264</v>
      </c>
      <c r="AS229" s="15" t="s">
        <v>8265</v>
      </c>
      <c r="AT229" s="15" t="s">
        <v>8265</v>
      </c>
      <c r="AU229" s="15" t="s">
        <v>8266</v>
      </c>
      <c r="AV229" s="15" t="s">
        <v>8267</v>
      </c>
      <c r="AW229" s="15" t="s">
        <v>8268</v>
      </c>
      <c r="AX229" s="15" t="s">
        <v>8269</v>
      </c>
      <c r="AY229" s="15" t="s">
        <v>8270</v>
      </c>
      <c r="AZ229" s="15" t="s">
        <v>5260</v>
      </c>
      <c r="BA229" s="15" t="s">
        <v>8271</v>
      </c>
      <c r="BB229" s="15" t="s">
        <v>5779</v>
      </c>
      <c r="BC229" s="15" t="s">
        <v>4746</v>
      </c>
      <c r="BD229" s="15" t="s">
        <v>5780</v>
      </c>
      <c r="BE229" s="15" t="s">
        <v>8272</v>
      </c>
      <c r="BF229" s="15" t="s">
        <v>8265</v>
      </c>
      <c r="BG229" s="15" t="s">
        <v>8265</v>
      </c>
      <c r="BH229" s="15" t="s">
        <v>8265</v>
      </c>
      <c r="BI229" s="15" t="s">
        <v>8273</v>
      </c>
      <c r="BJ229" s="19" t="s">
        <v>8274</v>
      </c>
      <c r="BK229" s="19" t="s">
        <v>8275</v>
      </c>
      <c r="BL229" s="18"/>
      <c r="BM229" s="19" t="s">
        <v>8276</v>
      </c>
      <c r="BN229" s="19" t="s">
        <v>8277</v>
      </c>
      <c r="BO229" s="19" t="s">
        <v>8278</v>
      </c>
      <c r="BP229" s="19" t="s">
        <v>8279</v>
      </c>
      <c r="BQ229" s="15" t="s">
        <v>1193</v>
      </c>
      <c r="BR229" s="18"/>
      <c r="BS229" s="18"/>
      <c r="BT229" s="19" t="s">
        <v>8280</v>
      </c>
      <c r="BU229" s="18"/>
      <c r="BV229" s="18"/>
      <c r="BW229" s="15" t="s">
        <v>8281</v>
      </c>
      <c r="BX229" s="18"/>
      <c r="BY229" s="18" t="str">
        <f t="shared" si="104"/>
        <v>E&amp;TC</v>
      </c>
      <c r="BZ229" s="18" t="str">
        <f t="shared" si="100"/>
        <v/>
      </c>
      <c r="CA229" s="24" t="str">
        <f t="shared" si="101"/>
        <v>https://drive.google.com/open?id=1_4puNbqi2oFVNoxXg94OkDlE-dZhGjH0</v>
      </c>
      <c r="CB229" s="15" t="s">
        <v>2908</v>
      </c>
      <c r="CC229" s="15" t="s">
        <v>2908</v>
      </c>
      <c r="CD229" s="25" t="s">
        <v>2787</v>
      </c>
      <c r="CE229" s="18"/>
      <c r="CF229" s="18"/>
      <c r="CG229" s="18"/>
    </row>
    <row r="230" ht="18.75" hidden="1" customHeight="1">
      <c r="A230" s="14">
        <v>44737.369242175926</v>
      </c>
      <c r="B230" s="15" t="s">
        <v>1207</v>
      </c>
      <c r="C230" s="16" t="s">
        <v>8282</v>
      </c>
      <c r="D230" s="15" t="str">
        <f>IFERROR(__xludf.DUMMYFUNCTION("QUERY(TY_ALL_2023_Batch!$A$1:$E$824, ""SELECT E WHERE C='""&amp;B230&amp;""'"", 0)"),"E&amp;TC")</f>
        <v>E&amp;TC</v>
      </c>
      <c r="E230" s="15" t="s">
        <v>8283</v>
      </c>
      <c r="F230" s="15" t="s">
        <v>2939</v>
      </c>
      <c r="G230" s="15" t="s">
        <v>8284</v>
      </c>
      <c r="H230" s="15" t="s">
        <v>2785</v>
      </c>
      <c r="I230" s="17">
        <v>36990.0</v>
      </c>
      <c r="J230" s="15">
        <v>2020.0</v>
      </c>
      <c r="K230" s="15" t="s">
        <v>2941</v>
      </c>
      <c r="L230" s="15" t="s">
        <v>2787</v>
      </c>
      <c r="M230" s="18"/>
      <c r="N230" s="15" t="s">
        <v>8285</v>
      </c>
      <c r="O230" s="15" t="s">
        <v>8286</v>
      </c>
      <c r="P230" s="19" t="s">
        <v>8287</v>
      </c>
      <c r="Q230" s="15">
        <v>7.385117052E9</v>
      </c>
      <c r="R230" s="15">
        <v>7.385117052E9</v>
      </c>
      <c r="S230" s="15">
        <v>7.385117052E9</v>
      </c>
      <c r="T230" s="15" t="s">
        <v>2939</v>
      </c>
      <c r="U230" s="15" t="s">
        <v>8288</v>
      </c>
      <c r="V230" s="15" t="s">
        <v>8289</v>
      </c>
      <c r="W230" s="18"/>
      <c r="X230" s="15">
        <v>92.2</v>
      </c>
      <c r="Y230" s="15" t="s">
        <v>2948</v>
      </c>
      <c r="Z230" s="15">
        <v>8.6</v>
      </c>
      <c r="AA230" s="15">
        <v>8.9</v>
      </c>
      <c r="AB230" s="15" t="s">
        <v>2796</v>
      </c>
      <c r="AC230" s="15" t="s">
        <v>2796</v>
      </c>
      <c r="AD230" s="15" t="s">
        <v>2796</v>
      </c>
      <c r="AE230" s="15" t="s">
        <v>2796</v>
      </c>
      <c r="AF230" s="18"/>
      <c r="AG230" s="18"/>
      <c r="AH230" s="18"/>
      <c r="AI230" s="15">
        <v>89.93</v>
      </c>
      <c r="AJ230" s="15" t="s">
        <v>2797</v>
      </c>
      <c r="AK230" s="15" t="s">
        <v>2787</v>
      </c>
      <c r="AL230" s="18"/>
      <c r="AM230" s="15" t="s">
        <v>8290</v>
      </c>
      <c r="AN230" s="15" t="s">
        <v>2797</v>
      </c>
      <c r="AO230" s="18"/>
      <c r="AP230" s="18"/>
      <c r="AQ230" s="15" t="s">
        <v>8291</v>
      </c>
      <c r="AR230" s="15" t="s">
        <v>8292</v>
      </c>
      <c r="AS230" s="18"/>
      <c r="AT230" s="18"/>
      <c r="AU230" s="18"/>
      <c r="AV230" s="18"/>
      <c r="AW230" s="15" t="s">
        <v>8293</v>
      </c>
      <c r="AX230" s="18"/>
      <c r="AY230" s="15" t="s">
        <v>8294</v>
      </c>
      <c r="AZ230" s="15" t="s">
        <v>5335</v>
      </c>
      <c r="BA230" s="15" t="s">
        <v>5552</v>
      </c>
      <c r="BB230" s="15" t="s">
        <v>2807</v>
      </c>
      <c r="BC230" s="15" t="s">
        <v>8295</v>
      </c>
      <c r="BD230" s="15" t="s">
        <v>2807</v>
      </c>
      <c r="BE230" s="15" t="s">
        <v>8296</v>
      </c>
      <c r="BF230" s="15" t="s">
        <v>8297</v>
      </c>
      <c r="BG230" s="18"/>
      <c r="BH230" s="18"/>
      <c r="BI230" s="18"/>
      <c r="BJ230" s="19" t="s">
        <v>8298</v>
      </c>
      <c r="BK230" s="19" t="s">
        <v>8299</v>
      </c>
      <c r="BL230" s="18"/>
      <c r="BM230" s="19" t="s">
        <v>8300</v>
      </c>
      <c r="BN230" s="19" t="s">
        <v>8301</v>
      </c>
      <c r="BO230" s="19" t="s">
        <v>8302</v>
      </c>
      <c r="BP230" s="19" t="s">
        <v>8303</v>
      </c>
      <c r="BQ230" s="15" t="s">
        <v>1193</v>
      </c>
      <c r="BR230" s="26"/>
      <c r="BS230" s="26"/>
      <c r="BT230" s="26"/>
      <c r="BU230" s="26"/>
      <c r="BV230" s="26"/>
      <c r="BW230" s="15" t="s">
        <v>8304</v>
      </c>
      <c r="BX230" s="26"/>
      <c r="BY230" s="18" t="str">
        <f t="shared" si="104"/>
        <v>E&amp;TC</v>
      </c>
      <c r="BZ230" s="18" t="str">
        <f t="shared" si="100"/>
        <v/>
      </c>
      <c r="CA230" s="24" t="str">
        <f t="shared" si="101"/>
        <v>https://drive.google.com/open?id=1SmJv8_JkE9ijk6sOvnyPOc8SCY6llEJC</v>
      </c>
      <c r="CB230" s="15" t="s">
        <v>2908</v>
      </c>
      <c r="CC230" s="15" t="s">
        <v>2821</v>
      </c>
      <c r="CD230" s="25" t="s">
        <v>2787</v>
      </c>
      <c r="CE230" s="18"/>
      <c r="CF230" s="18"/>
      <c r="CG230" s="18"/>
    </row>
    <row r="231" ht="18.75" hidden="1" customHeight="1">
      <c r="A231" s="14">
        <v>44745.9718105787</v>
      </c>
      <c r="B231" s="15" t="s">
        <v>1725</v>
      </c>
      <c r="C231" s="16" t="s">
        <v>8305</v>
      </c>
      <c r="D231" s="15" t="str">
        <f>IFERROR(__xludf.DUMMYFUNCTION("QUERY(TY_ALL_2023_Batch!$A$1:$E$824, ""SELECT E WHERE C='""&amp;B231&amp;""'"", 0)"),"E&amp;TC")</f>
        <v>E&amp;TC</v>
      </c>
      <c r="E231" s="15" t="s">
        <v>8306</v>
      </c>
      <c r="F231" s="18"/>
      <c r="G231" s="15" t="s">
        <v>6348</v>
      </c>
      <c r="H231" s="15" t="s">
        <v>2785</v>
      </c>
      <c r="I231" s="17">
        <v>37128.0</v>
      </c>
      <c r="J231" s="15">
        <v>2019.0</v>
      </c>
      <c r="K231" s="15" t="s">
        <v>2786</v>
      </c>
      <c r="L231" s="15" t="s">
        <v>2787</v>
      </c>
      <c r="M231" s="18"/>
      <c r="N231" s="15" t="s">
        <v>8307</v>
      </c>
      <c r="O231" s="15" t="s">
        <v>1725</v>
      </c>
      <c r="P231" s="19" t="s">
        <v>8308</v>
      </c>
      <c r="Q231" s="15">
        <v>7.488259671E9</v>
      </c>
      <c r="R231" s="15">
        <v>7.488259671E9</v>
      </c>
      <c r="S231" s="18"/>
      <c r="T231" s="15" t="s">
        <v>8309</v>
      </c>
      <c r="U231" s="15" t="s">
        <v>8310</v>
      </c>
      <c r="V231" s="15" t="s">
        <v>8311</v>
      </c>
      <c r="W231" s="15" t="s">
        <v>8312</v>
      </c>
      <c r="X231" s="15">
        <v>68.4</v>
      </c>
      <c r="Y231" s="15" t="s">
        <v>2795</v>
      </c>
      <c r="Z231" s="15">
        <v>8.33</v>
      </c>
      <c r="AA231" s="15">
        <v>8.65</v>
      </c>
      <c r="AB231" s="15" t="s">
        <v>2796</v>
      </c>
      <c r="AC231" s="15" t="s">
        <v>2796</v>
      </c>
      <c r="AD231" s="15" t="s">
        <v>2796</v>
      </c>
      <c r="AE231" s="15" t="s">
        <v>2796</v>
      </c>
      <c r="AF231" s="15">
        <v>7.47</v>
      </c>
      <c r="AG231" s="15">
        <v>8.86</v>
      </c>
      <c r="AH231" s="15">
        <v>63.0</v>
      </c>
      <c r="AI231" s="18"/>
      <c r="AJ231" s="15" t="s">
        <v>2787</v>
      </c>
      <c r="AK231" s="15" t="s">
        <v>2787</v>
      </c>
      <c r="AL231" s="15">
        <v>625.0</v>
      </c>
      <c r="AM231" s="15">
        <v>658.0</v>
      </c>
      <c r="AN231" s="15" t="s">
        <v>2797</v>
      </c>
      <c r="AO231" s="15"/>
      <c r="AP231" s="18"/>
      <c r="AQ231" s="15" t="s">
        <v>8313</v>
      </c>
      <c r="AR231" s="18"/>
      <c r="AS231" s="18"/>
      <c r="AT231" s="18"/>
      <c r="AU231" s="18"/>
      <c r="AV231" s="15" t="s">
        <v>8314</v>
      </c>
      <c r="AW231" s="15" t="s">
        <v>8315</v>
      </c>
      <c r="AX231" s="18"/>
      <c r="AY231" s="15" t="s">
        <v>8316</v>
      </c>
      <c r="AZ231" s="15" t="s">
        <v>5335</v>
      </c>
      <c r="BA231" s="15" t="s">
        <v>5552</v>
      </c>
      <c r="BB231" s="15" t="s">
        <v>4484</v>
      </c>
      <c r="BC231" s="15" t="s">
        <v>5604</v>
      </c>
      <c r="BD231" s="15" t="s">
        <v>2807</v>
      </c>
      <c r="BE231" s="15" t="s">
        <v>2796</v>
      </c>
      <c r="BF231" s="15" t="s">
        <v>8317</v>
      </c>
      <c r="BG231" s="18"/>
      <c r="BH231" s="18"/>
      <c r="BI231" s="18"/>
      <c r="BJ231" s="19" t="s">
        <v>8318</v>
      </c>
      <c r="BK231" s="19" t="s">
        <v>8319</v>
      </c>
      <c r="BL231" s="19" t="s">
        <v>8320</v>
      </c>
      <c r="BM231" s="19" t="s">
        <v>8321</v>
      </c>
      <c r="BN231" s="28"/>
      <c r="BO231" s="19" t="s">
        <v>8322</v>
      </c>
      <c r="BP231" s="18"/>
      <c r="BQ231" s="15" t="s">
        <v>1193</v>
      </c>
      <c r="BR231" s="26"/>
      <c r="BS231" s="26"/>
      <c r="BT231" s="19" t="s">
        <v>8323</v>
      </c>
      <c r="BU231" s="26"/>
      <c r="BV231" s="26"/>
      <c r="BW231" s="15" t="s">
        <v>2761</v>
      </c>
      <c r="BX231" s="26"/>
      <c r="BY231" s="18" t="str">
        <f t="shared" si="104"/>
        <v>E&amp;TC</v>
      </c>
      <c r="BZ231" s="24" t="str">
        <f t="shared" si="100"/>
        <v>https://drive.google.com/open?id=1XD1yv4naNxkmFPQJy8oTVISL0hVcYSnr</v>
      </c>
      <c r="CA231" s="24" t="str">
        <f t="shared" si="101"/>
        <v>https://drive.google.com/open?id=1KZ0Vm9W_Vn7RHFYt4Afb2aWqRn82PfJM</v>
      </c>
      <c r="CB231" s="15" t="s">
        <v>2821</v>
      </c>
      <c r="CC231" s="15" t="s">
        <v>2821</v>
      </c>
      <c r="CD231" s="25" t="s">
        <v>2909</v>
      </c>
      <c r="CE231" s="18"/>
      <c r="CF231" s="18"/>
      <c r="CG231" s="18"/>
    </row>
    <row r="232" ht="18.75" hidden="1" customHeight="1">
      <c r="A232" s="14">
        <v>44734.6122452662</v>
      </c>
      <c r="B232" s="15" t="s">
        <v>2007</v>
      </c>
      <c r="C232" s="16" t="s">
        <v>8324</v>
      </c>
      <c r="D232" s="15" t="str">
        <f>IFERROR(__xludf.DUMMYFUNCTION("QUERY(TY_ALL_2023_Batch!$A$1:$E$824, ""SELECT E WHERE C='""&amp;B232&amp;""'"", 0)"),"E&amp;TC")</f>
        <v>E&amp;TC</v>
      </c>
      <c r="E232" s="15" t="s">
        <v>7663</v>
      </c>
      <c r="F232" s="15" t="s">
        <v>7295</v>
      </c>
      <c r="G232" s="15" t="s">
        <v>8325</v>
      </c>
      <c r="H232" s="15" t="s">
        <v>2785</v>
      </c>
      <c r="I232" s="17">
        <v>37021.0</v>
      </c>
      <c r="J232" s="15">
        <v>2019.0</v>
      </c>
      <c r="K232" s="15" t="s">
        <v>2786</v>
      </c>
      <c r="L232" s="15" t="s">
        <v>2787</v>
      </c>
      <c r="M232" s="18"/>
      <c r="N232" s="15" t="s">
        <v>8326</v>
      </c>
      <c r="O232" s="15" t="s">
        <v>2007</v>
      </c>
      <c r="P232" s="19" t="s">
        <v>8327</v>
      </c>
      <c r="Q232" s="15">
        <v>7.05750573E9</v>
      </c>
      <c r="R232" s="15">
        <v>7.05750573E9</v>
      </c>
      <c r="S232" s="15">
        <v>9.766958605E9</v>
      </c>
      <c r="T232" s="15" t="s">
        <v>8328</v>
      </c>
      <c r="U232" s="15" t="s">
        <v>8329</v>
      </c>
      <c r="V232" s="15" t="s">
        <v>8330</v>
      </c>
      <c r="W232" s="18"/>
      <c r="X232" s="15">
        <v>93.8</v>
      </c>
      <c r="Y232" s="15" t="s">
        <v>2795</v>
      </c>
      <c r="Z232" s="15">
        <v>8.81</v>
      </c>
      <c r="AA232" s="15">
        <v>9.3</v>
      </c>
      <c r="AB232" s="15" t="s">
        <v>2796</v>
      </c>
      <c r="AC232" s="15" t="s">
        <v>2796</v>
      </c>
      <c r="AD232" s="15" t="s">
        <v>2796</v>
      </c>
      <c r="AE232" s="15" t="s">
        <v>2796</v>
      </c>
      <c r="AF232" s="15">
        <v>9.16</v>
      </c>
      <c r="AG232" s="15">
        <v>9.76</v>
      </c>
      <c r="AH232" s="15">
        <v>79.38</v>
      </c>
      <c r="AI232" s="18"/>
      <c r="AJ232" s="15" t="s">
        <v>2787</v>
      </c>
      <c r="AK232" s="15" t="s">
        <v>2787</v>
      </c>
      <c r="AL232" s="15">
        <v>728.33</v>
      </c>
      <c r="AM232" s="15">
        <v>745.0</v>
      </c>
      <c r="AN232" s="15" t="s">
        <v>2797</v>
      </c>
      <c r="AO232" s="18"/>
      <c r="AP232" s="18"/>
      <c r="AQ232" s="15" t="s">
        <v>8331</v>
      </c>
      <c r="AR232" s="15" t="s">
        <v>8332</v>
      </c>
      <c r="AS232" s="15"/>
      <c r="AT232" s="18"/>
      <c r="AU232" s="18"/>
      <c r="AV232" s="18"/>
      <c r="AW232" s="15" t="s">
        <v>8333</v>
      </c>
      <c r="AX232" s="18"/>
      <c r="AY232" s="15" t="s">
        <v>8334</v>
      </c>
      <c r="AZ232" s="15" t="s">
        <v>5335</v>
      </c>
      <c r="BA232" s="15" t="s">
        <v>2899</v>
      </c>
      <c r="BB232" s="15" t="s">
        <v>8335</v>
      </c>
      <c r="BC232" s="15" t="s">
        <v>8336</v>
      </c>
      <c r="BD232" s="15" t="s">
        <v>2807</v>
      </c>
      <c r="BE232" s="15" t="s">
        <v>8337</v>
      </c>
      <c r="BF232" s="15" t="s">
        <v>8338</v>
      </c>
      <c r="BG232" s="18"/>
      <c r="BH232" s="15" t="s">
        <v>8339</v>
      </c>
      <c r="BI232" s="18"/>
      <c r="BJ232" s="19" t="s">
        <v>8340</v>
      </c>
      <c r="BK232" s="19" t="s">
        <v>8341</v>
      </c>
      <c r="BL232" s="19" t="s">
        <v>8342</v>
      </c>
      <c r="BM232" s="19" t="s">
        <v>8343</v>
      </c>
      <c r="BN232" s="19" t="s">
        <v>8344</v>
      </c>
      <c r="BO232" s="19" t="s">
        <v>8345</v>
      </c>
      <c r="BP232" s="18"/>
      <c r="BQ232" s="15" t="s">
        <v>1193</v>
      </c>
      <c r="BR232" s="26"/>
      <c r="BS232" s="26"/>
      <c r="BT232" s="26"/>
      <c r="BU232" s="26"/>
      <c r="BV232" s="26"/>
      <c r="BW232" s="26"/>
      <c r="BX232" s="26"/>
      <c r="BY232" s="18" t="str">
        <f t="shared" si="104"/>
        <v>E&amp;TC</v>
      </c>
      <c r="BZ232" s="24" t="str">
        <f t="shared" si="100"/>
        <v>https://drive.google.com/open?id=1CLpUZaUbQF4_AG-a9kba1uLWBVniE0JJ</v>
      </c>
      <c r="CA232" s="24" t="str">
        <f t="shared" si="101"/>
        <v>https://drive.google.com/open?id=1RDgfiGbvHANIzAuKtKftX2XHiRZ6D6aJ</v>
      </c>
      <c r="CB232" s="15" t="s">
        <v>2821</v>
      </c>
      <c r="CC232" s="15" t="s">
        <v>2821</v>
      </c>
      <c r="CD232" s="25" t="s">
        <v>2909</v>
      </c>
      <c r="CE232" s="18"/>
      <c r="CF232" s="18"/>
      <c r="CG232" s="18"/>
    </row>
    <row r="233" ht="18.75" hidden="1" customHeight="1">
      <c r="A233" s="14">
        <v>44742.964225081014</v>
      </c>
      <c r="B233" s="15" t="s">
        <v>1770</v>
      </c>
      <c r="C233" s="16" t="s">
        <v>8346</v>
      </c>
      <c r="D233" s="15" t="str">
        <f>IFERROR(__xludf.DUMMYFUNCTION("QUERY(TY_ALL_2023_Batch!$A$1:$E$824, ""SELECT E WHERE C='""&amp;B233&amp;""'"", 0)"),"E&amp;TC")</f>
        <v>E&amp;TC</v>
      </c>
      <c r="E233" s="15" t="s">
        <v>3714</v>
      </c>
      <c r="F233" s="15" t="s">
        <v>8347</v>
      </c>
      <c r="G233" s="15" t="s">
        <v>8348</v>
      </c>
      <c r="H233" s="15" t="s">
        <v>2785</v>
      </c>
      <c r="I233" s="17">
        <v>37105.0</v>
      </c>
      <c r="J233" s="15">
        <v>2019.0</v>
      </c>
      <c r="K233" s="15" t="s">
        <v>2786</v>
      </c>
      <c r="L233" s="15" t="s">
        <v>2787</v>
      </c>
      <c r="M233" s="18"/>
      <c r="N233" s="15" t="s">
        <v>8349</v>
      </c>
      <c r="O233" s="15" t="s">
        <v>8350</v>
      </c>
      <c r="P233" s="19" t="s">
        <v>8351</v>
      </c>
      <c r="Q233" s="15">
        <v>8.380967204E9</v>
      </c>
      <c r="R233" s="15">
        <v>7.70994605E9</v>
      </c>
      <c r="S233" s="15">
        <v>8.380967204E9</v>
      </c>
      <c r="T233" s="15" t="s">
        <v>8347</v>
      </c>
      <c r="U233" s="15" t="s">
        <v>8352</v>
      </c>
      <c r="V233" s="15" t="s">
        <v>8353</v>
      </c>
      <c r="W233" s="15" t="s">
        <v>8354</v>
      </c>
      <c r="X233" s="15">
        <v>95.0</v>
      </c>
      <c r="Y233" s="15" t="s">
        <v>2795</v>
      </c>
      <c r="Z233" s="15">
        <v>9.0</v>
      </c>
      <c r="AA233" s="15">
        <v>9.2</v>
      </c>
      <c r="AB233" s="15" t="s">
        <v>2796</v>
      </c>
      <c r="AC233" s="15" t="s">
        <v>2796</v>
      </c>
      <c r="AD233" s="15" t="s">
        <v>2796</v>
      </c>
      <c r="AE233" s="15" t="s">
        <v>2796</v>
      </c>
      <c r="AF233" s="15">
        <v>8.98</v>
      </c>
      <c r="AG233" s="15">
        <v>9.0</v>
      </c>
      <c r="AH233" s="15">
        <v>80.15</v>
      </c>
      <c r="AI233" s="18"/>
      <c r="AJ233" s="15" t="s">
        <v>2787</v>
      </c>
      <c r="AK233" s="15" t="s">
        <v>2787</v>
      </c>
      <c r="AL233" s="15">
        <v>94.0</v>
      </c>
      <c r="AM233" s="15">
        <v>89.33</v>
      </c>
      <c r="AN233" s="15" t="s">
        <v>2797</v>
      </c>
      <c r="AO233" s="18"/>
      <c r="AP233" s="18"/>
      <c r="AQ233" s="15" t="s">
        <v>8355</v>
      </c>
      <c r="AR233" s="18"/>
      <c r="AS233" s="15" t="s">
        <v>8356</v>
      </c>
      <c r="AT233" s="18"/>
      <c r="AU233" s="15" t="s">
        <v>8357</v>
      </c>
      <c r="AV233" s="15" t="s">
        <v>8358</v>
      </c>
      <c r="AW233" s="15" t="s">
        <v>8359</v>
      </c>
      <c r="AX233" s="18"/>
      <c r="AY233" s="15" t="s">
        <v>8360</v>
      </c>
      <c r="AZ233" s="15" t="s">
        <v>5260</v>
      </c>
      <c r="BA233" s="15" t="s">
        <v>5552</v>
      </c>
      <c r="BB233" s="15" t="s">
        <v>2807</v>
      </c>
      <c r="BC233" s="15" t="s">
        <v>6980</v>
      </c>
      <c r="BD233" s="15" t="s">
        <v>2807</v>
      </c>
      <c r="BE233" s="15" t="s">
        <v>2796</v>
      </c>
      <c r="BF233" s="18"/>
      <c r="BG233" s="18"/>
      <c r="BH233" s="15" t="s">
        <v>8361</v>
      </c>
      <c r="BI233" s="15" t="s">
        <v>8362</v>
      </c>
      <c r="BJ233" s="19" t="s">
        <v>8363</v>
      </c>
      <c r="BK233" s="19" t="s">
        <v>8364</v>
      </c>
      <c r="BL233" s="19" t="s">
        <v>8365</v>
      </c>
      <c r="BM233" s="19" t="s">
        <v>8366</v>
      </c>
      <c r="BN233" s="19" t="s">
        <v>8367</v>
      </c>
      <c r="BO233" s="19" t="s">
        <v>8368</v>
      </c>
      <c r="BP233" s="19" t="s">
        <v>8369</v>
      </c>
      <c r="BQ233" s="15" t="s">
        <v>1193</v>
      </c>
      <c r="BR233" s="26"/>
      <c r="BS233" s="26"/>
      <c r="BT233" s="26"/>
      <c r="BU233" s="19" t="s">
        <v>8370</v>
      </c>
      <c r="BV233" s="19" t="s">
        <v>8371</v>
      </c>
      <c r="BW233" s="15" t="s">
        <v>8372</v>
      </c>
      <c r="BX233" s="26"/>
      <c r="BY233" s="18" t="str">
        <f t="shared" si="104"/>
        <v>E&amp;TC</v>
      </c>
      <c r="BZ233" s="24" t="str">
        <f t="shared" si="100"/>
        <v>https://drive.google.com/open?id=1371r0Z9zF4GJX2-WWLXJ6z3VJaaxj45A</v>
      </c>
      <c r="CA233" s="24" t="str">
        <f t="shared" si="101"/>
        <v>https://drive.google.com/open?id=1Ez3yJo0-cMLrDqLM-2j6AbW9pYJpfKWW</v>
      </c>
      <c r="CB233" s="15" t="s">
        <v>2821</v>
      </c>
      <c r="CC233" s="15" t="s">
        <v>2821</v>
      </c>
      <c r="CD233" s="25" t="s">
        <v>2797</v>
      </c>
      <c r="CE233" s="18"/>
      <c r="CF233" s="18"/>
      <c r="CG233" s="18"/>
    </row>
    <row r="234" ht="18.75" hidden="1" customHeight="1">
      <c r="A234" s="14">
        <v>44737.421898298606</v>
      </c>
      <c r="B234" s="15" t="s">
        <v>1896</v>
      </c>
      <c r="C234" s="16" t="s">
        <v>8373</v>
      </c>
      <c r="D234" s="15" t="str">
        <f>IFERROR(__xludf.DUMMYFUNCTION("QUERY(TY_ALL_2023_Batch!$A$1:$E$824, ""SELECT E WHERE C='""&amp;B234&amp;""'"", 0)"),"E&amp;TC")</f>
        <v>E&amp;TC</v>
      </c>
      <c r="E234" s="15" t="s">
        <v>8374</v>
      </c>
      <c r="F234" s="15" t="s">
        <v>4761</v>
      </c>
      <c r="G234" s="15" t="s">
        <v>4471</v>
      </c>
      <c r="H234" s="15" t="s">
        <v>2785</v>
      </c>
      <c r="I234" s="17">
        <v>36819.0</v>
      </c>
      <c r="J234" s="15">
        <v>2019.0</v>
      </c>
      <c r="K234" s="15" t="s">
        <v>2786</v>
      </c>
      <c r="L234" s="15" t="s">
        <v>2787</v>
      </c>
      <c r="M234" s="18"/>
      <c r="N234" s="15" t="s">
        <v>8375</v>
      </c>
      <c r="O234" s="15" t="s">
        <v>1896</v>
      </c>
      <c r="P234" s="19" t="s">
        <v>8376</v>
      </c>
      <c r="Q234" s="15">
        <v>9.346706296E9</v>
      </c>
      <c r="R234" s="15">
        <v>9.346706296E9</v>
      </c>
      <c r="S234" s="15">
        <v>8.380967204E9</v>
      </c>
      <c r="T234" s="15" t="s">
        <v>4761</v>
      </c>
      <c r="U234" s="15" t="s">
        <v>8377</v>
      </c>
      <c r="V234" s="15" t="s">
        <v>8378</v>
      </c>
      <c r="W234" s="15" t="s">
        <v>8379</v>
      </c>
      <c r="X234" s="15">
        <v>90.2</v>
      </c>
      <c r="Y234" s="15" t="s">
        <v>2795</v>
      </c>
      <c r="Z234" s="15">
        <v>8.01</v>
      </c>
      <c r="AA234" s="15">
        <v>8.15</v>
      </c>
      <c r="AB234" s="15" t="s">
        <v>2796</v>
      </c>
      <c r="AC234" s="15" t="s">
        <v>2796</v>
      </c>
      <c r="AD234" s="15" t="s">
        <v>2796</v>
      </c>
      <c r="AE234" s="15" t="s">
        <v>2796</v>
      </c>
      <c r="AF234" s="15">
        <v>8.19</v>
      </c>
      <c r="AG234" s="15">
        <v>7.53</v>
      </c>
      <c r="AH234" s="15">
        <v>86.6</v>
      </c>
      <c r="AI234" s="18"/>
      <c r="AJ234" s="15" t="s">
        <v>2787</v>
      </c>
      <c r="AK234" s="15" t="s">
        <v>2787</v>
      </c>
      <c r="AL234" s="15">
        <v>84.66</v>
      </c>
      <c r="AM234" s="15">
        <v>91.0</v>
      </c>
      <c r="AN234" s="15" t="s">
        <v>2787</v>
      </c>
      <c r="AO234" s="15" t="s">
        <v>2796</v>
      </c>
      <c r="AP234" s="15" t="s">
        <v>8380</v>
      </c>
      <c r="AQ234" s="15" t="s">
        <v>8381</v>
      </c>
      <c r="AR234" s="15" t="s">
        <v>8382</v>
      </c>
      <c r="AS234" s="15" t="s">
        <v>8383</v>
      </c>
      <c r="AT234" s="15" t="s">
        <v>2796</v>
      </c>
      <c r="AU234" s="15" t="s">
        <v>8384</v>
      </c>
      <c r="AV234" s="15" t="s">
        <v>8385</v>
      </c>
      <c r="AW234" s="15" t="s">
        <v>8386</v>
      </c>
      <c r="AX234" s="18"/>
      <c r="AY234" s="15" t="s">
        <v>8387</v>
      </c>
      <c r="AZ234" s="15" t="s">
        <v>5260</v>
      </c>
      <c r="BA234" s="15" t="s">
        <v>8388</v>
      </c>
      <c r="BB234" s="15" t="s">
        <v>2807</v>
      </c>
      <c r="BC234" s="15" t="s">
        <v>8389</v>
      </c>
      <c r="BD234" s="15" t="s">
        <v>2807</v>
      </c>
      <c r="BE234" s="15" t="s">
        <v>2796</v>
      </c>
      <c r="BF234" s="18"/>
      <c r="BG234" s="18"/>
      <c r="BH234" s="15" t="s">
        <v>8390</v>
      </c>
      <c r="BI234" s="15" t="s">
        <v>8391</v>
      </c>
      <c r="BJ234" s="19" t="s">
        <v>8392</v>
      </c>
      <c r="BK234" s="19" t="s">
        <v>8393</v>
      </c>
      <c r="BL234" s="19" t="s">
        <v>8394</v>
      </c>
      <c r="BM234" s="19" t="s">
        <v>8395</v>
      </c>
      <c r="BN234" s="19" t="s">
        <v>8396</v>
      </c>
      <c r="BO234" s="19" t="s">
        <v>8397</v>
      </c>
      <c r="BP234" s="19" t="s">
        <v>8398</v>
      </c>
      <c r="BQ234" s="15" t="s">
        <v>1193</v>
      </c>
      <c r="BR234" s="26"/>
      <c r="BS234" s="26"/>
      <c r="BT234" s="19" t="s">
        <v>8399</v>
      </c>
      <c r="BU234" s="26"/>
      <c r="BV234" s="26"/>
      <c r="BW234" s="15" t="s">
        <v>8400</v>
      </c>
      <c r="BX234" s="26"/>
      <c r="BY234" s="18" t="str">
        <f t="shared" si="104"/>
        <v>E&amp;TC</v>
      </c>
      <c r="BZ234" s="24" t="str">
        <f t="shared" si="100"/>
        <v>https://drive.google.com/open?id=1brsHwvktSUn2DeJecJadtpmbA__7THVc</v>
      </c>
      <c r="CA234" s="24" t="str">
        <f t="shared" si="101"/>
        <v>https://drive.google.com/open?id=1bRlzRch8Wtxybw4DqIwrm_Y_NG5mQtJU</v>
      </c>
      <c r="CB234" s="15" t="s">
        <v>2821</v>
      </c>
      <c r="CC234" s="15" t="s">
        <v>2821</v>
      </c>
      <c r="CD234" s="25" t="s">
        <v>2909</v>
      </c>
      <c r="CE234" s="18"/>
      <c r="CF234" s="18"/>
      <c r="CG234" s="18"/>
    </row>
    <row r="235" ht="18.75" hidden="1" customHeight="1">
      <c r="A235" s="14">
        <v>44742.85071783565</v>
      </c>
      <c r="B235" s="15" t="s">
        <v>1731</v>
      </c>
      <c r="C235" s="16" t="s">
        <v>8401</v>
      </c>
      <c r="D235" s="15" t="str">
        <f>IFERROR(__xludf.DUMMYFUNCTION("QUERY(TY_ALL_2023_Batch!$A$1:$E$824, ""SELECT E WHERE C='""&amp;B235&amp;""'"", 0)"),"E&amp;TC")</f>
        <v>E&amp;TC</v>
      </c>
      <c r="E235" s="15" t="s">
        <v>5324</v>
      </c>
      <c r="F235" s="15" t="s">
        <v>4470</v>
      </c>
      <c r="G235" s="15" t="s">
        <v>7179</v>
      </c>
      <c r="H235" s="15" t="s">
        <v>2826</v>
      </c>
      <c r="I235" s="17">
        <v>37362.0</v>
      </c>
      <c r="J235" s="15">
        <v>2019.0</v>
      </c>
      <c r="K235" s="15" t="s">
        <v>2786</v>
      </c>
      <c r="L235" s="15" t="s">
        <v>2787</v>
      </c>
      <c r="M235" s="18"/>
      <c r="N235" s="15" t="s">
        <v>8402</v>
      </c>
      <c r="O235" s="15" t="s">
        <v>1731</v>
      </c>
      <c r="P235" s="19" t="s">
        <v>8403</v>
      </c>
      <c r="Q235" s="15">
        <v>9.588407826E9</v>
      </c>
      <c r="R235" s="15">
        <v>9.588407826E9</v>
      </c>
      <c r="S235" s="15">
        <v>9.404180045E9</v>
      </c>
      <c r="T235" s="15" t="s">
        <v>8404</v>
      </c>
      <c r="U235" s="15" t="s">
        <v>8405</v>
      </c>
      <c r="V235" s="15" t="s">
        <v>8406</v>
      </c>
      <c r="W235" s="18"/>
      <c r="X235" s="15">
        <v>96.8</v>
      </c>
      <c r="Y235" s="15" t="s">
        <v>2795</v>
      </c>
      <c r="Z235" s="15">
        <v>9.0</v>
      </c>
      <c r="AA235" s="15">
        <v>8.74</v>
      </c>
      <c r="AB235" s="15" t="s">
        <v>2796</v>
      </c>
      <c r="AC235" s="15" t="s">
        <v>2796</v>
      </c>
      <c r="AD235" s="15" t="s">
        <v>2796</v>
      </c>
      <c r="AE235" s="15" t="s">
        <v>2796</v>
      </c>
      <c r="AF235" s="15">
        <v>9.14</v>
      </c>
      <c r="AG235" s="15">
        <v>8.22</v>
      </c>
      <c r="AH235" s="15">
        <v>67.54</v>
      </c>
      <c r="AI235" s="18"/>
      <c r="AJ235" s="15" t="s">
        <v>2787</v>
      </c>
      <c r="AK235" s="15" t="s">
        <v>2787</v>
      </c>
      <c r="AL235" s="15">
        <v>685.0</v>
      </c>
      <c r="AM235" s="15">
        <v>660.0</v>
      </c>
      <c r="AN235" s="15" t="s">
        <v>2787</v>
      </c>
      <c r="AO235" s="15" t="s">
        <v>2796</v>
      </c>
      <c r="AP235" s="15" t="s">
        <v>8407</v>
      </c>
      <c r="AQ235" s="15" t="s">
        <v>8408</v>
      </c>
      <c r="AR235" s="18"/>
      <c r="AS235" s="15" t="s">
        <v>8409</v>
      </c>
      <c r="AT235" s="18"/>
      <c r="AU235" s="15" t="s">
        <v>8410</v>
      </c>
      <c r="AV235" s="15" t="s">
        <v>8411</v>
      </c>
      <c r="AW235" s="15" t="s">
        <v>8412</v>
      </c>
      <c r="AX235" s="18"/>
      <c r="AY235" s="15" t="s">
        <v>8413</v>
      </c>
      <c r="AZ235" s="15" t="s">
        <v>5287</v>
      </c>
      <c r="BA235" s="15" t="s">
        <v>8414</v>
      </c>
      <c r="BB235" s="15" t="s">
        <v>5729</v>
      </c>
      <c r="BC235" s="15" t="s">
        <v>4746</v>
      </c>
      <c r="BD235" s="15" t="s">
        <v>2807</v>
      </c>
      <c r="BE235" s="15" t="s">
        <v>8415</v>
      </c>
      <c r="BF235" s="15" t="s">
        <v>8416</v>
      </c>
      <c r="BG235" s="18"/>
      <c r="BH235" s="15" t="s">
        <v>8417</v>
      </c>
      <c r="BI235" s="18"/>
      <c r="BJ235" s="19" t="s">
        <v>8418</v>
      </c>
      <c r="BK235" s="19" t="s">
        <v>8419</v>
      </c>
      <c r="BL235" s="19" t="s">
        <v>8420</v>
      </c>
      <c r="BM235" s="20" t="s">
        <v>8421</v>
      </c>
      <c r="BN235" s="19" t="s">
        <v>8422</v>
      </c>
      <c r="BO235" s="19" t="s">
        <v>8423</v>
      </c>
      <c r="BP235" s="19" t="s">
        <v>8424</v>
      </c>
      <c r="BQ235" s="15" t="s">
        <v>1193</v>
      </c>
      <c r="BR235" s="26"/>
      <c r="BS235" s="26"/>
      <c r="BT235" s="19" t="s">
        <v>8425</v>
      </c>
      <c r="BU235" s="19" t="s">
        <v>8426</v>
      </c>
      <c r="BV235" s="19" t="s">
        <v>8427</v>
      </c>
      <c r="BW235" s="15" t="s">
        <v>8428</v>
      </c>
      <c r="BX235" s="26"/>
      <c r="BY235" s="18" t="str">
        <f t="shared" si="104"/>
        <v>E&amp;TC</v>
      </c>
      <c r="BZ235" s="24" t="str">
        <f t="shared" si="100"/>
        <v>https://drive.google.com/open?id=1LJZzN42oksDqxh7x5zEcuh_ECdNlpgDw</v>
      </c>
      <c r="CA235" s="24" t="str">
        <f t="shared" si="101"/>
        <v>https://drive.google.com/open?id=1WRT059_H1SUzm9-KYFznN2tt6n7_vFWf</v>
      </c>
      <c r="CB235" s="15" t="s">
        <v>2821</v>
      </c>
      <c r="CC235" s="15" t="s">
        <v>2821</v>
      </c>
      <c r="CD235" s="25" t="s">
        <v>2909</v>
      </c>
      <c r="CE235" s="18"/>
      <c r="CF235" s="18"/>
      <c r="CG235" s="18"/>
    </row>
    <row r="236" hidden="1">
      <c r="A236" s="14">
        <v>44737.703814444445</v>
      </c>
      <c r="B236" s="15" t="s">
        <v>1836</v>
      </c>
      <c r="C236" s="16" t="s">
        <v>8429</v>
      </c>
      <c r="D236" s="15" t="str">
        <f>IFERROR(__xludf.DUMMYFUNCTION("QUERY(TY_ALL_2023_Batch!$A$1:$E$824, ""SELECT E WHERE C='""&amp;B236&amp;""'"", 0)"),"E&amp;TC")</f>
        <v>E&amp;TC</v>
      </c>
      <c r="E236" s="15" t="s">
        <v>7249</v>
      </c>
      <c r="F236" s="15" t="s">
        <v>2939</v>
      </c>
      <c r="G236" s="15" t="s">
        <v>6086</v>
      </c>
      <c r="H236" s="15" t="s">
        <v>2785</v>
      </c>
      <c r="I236" s="17">
        <v>37134.0</v>
      </c>
      <c r="J236" s="15">
        <v>2019.0</v>
      </c>
      <c r="K236" s="15" t="s">
        <v>2786</v>
      </c>
      <c r="L236" s="15" t="s">
        <v>2787</v>
      </c>
      <c r="M236" s="18"/>
      <c r="N236" s="15" t="s">
        <v>8430</v>
      </c>
      <c r="O236" s="15" t="s">
        <v>8431</v>
      </c>
      <c r="P236" s="19" t="s">
        <v>8432</v>
      </c>
      <c r="Q236" s="15">
        <v>9.922064901E9</v>
      </c>
      <c r="R236" s="15">
        <v>9.922064901E9</v>
      </c>
      <c r="S236" s="18"/>
      <c r="T236" s="15" t="s">
        <v>8433</v>
      </c>
      <c r="U236" s="15" t="s">
        <v>8434</v>
      </c>
      <c r="V236" s="15" t="s">
        <v>8435</v>
      </c>
      <c r="W236" s="18"/>
      <c r="X236" s="15">
        <v>67.0</v>
      </c>
      <c r="Y236" s="15" t="s">
        <v>2795</v>
      </c>
      <c r="Z236" s="15">
        <v>8.0</v>
      </c>
      <c r="AA236" s="15">
        <v>7.74</v>
      </c>
      <c r="AB236" s="15" t="s">
        <v>2796</v>
      </c>
      <c r="AC236" s="15" t="s">
        <v>2796</v>
      </c>
      <c r="AD236" s="15" t="s">
        <v>2796</v>
      </c>
      <c r="AE236" s="15" t="s">
        <v>2796</v>
      </c>
      <c r="AF236" s="15">
        <v>7.48</v>
      </c>
      <c r="AG236" s="15">
        <v>7.79</v>
      </c>
      <c r="AH236" s="15">
        <v>68.77</v>
      </c>
      <c r="AI236" s="18"/>
      <c r="AJ236" s="15" t="s">
        <v>2787</v>
      </c>
      <c r="AK236" s="15" t="s">
        <v>2787</v>
      </c>
      <c r="AL236" s="18"/>
      <c r="AM236" s="18"/>
      <c r="AN236" s="15" t="s">
        <v>2797</v>
      </c>
      <c r="AO236" s="18"/>
      <c r="AP236" s="18"/>
      <c r="AQ236" s="15" t="s">
        <v>8436</v>
      </c>
      <c r="AR236" s="15" t="s">
        <v>8437</v>
      </c>
      <c r="AS236" s="15"/>
      <c r="AT236" s="18"/>
      <c r="AU236" s="18"/>
      <c r="AV236" s="15" t="s">
        <v>8438</v>
      </c>
      <c r="AW236" s="15" t="s">
        <v>8439</v>
      </c>
      <c r="AX236" s="18"/>
      <c r="AY236" s="15" t="s">
        <v>2796</v>
      </c>
      <c r="AZ236" s="15" t="s">
        <v>8440</v>
      </c>
      <c r="BA236" s="15" t="s">
        <v>8441</v>
      </c>
      <c r="BB236" s="15" t="s">
        <v>5729</v>
      </c>
      <c r="BC236" s="15" t="s">
        <v>8442</v>
      </c>
      <c r="BD236" s="15" t="s">
        <v>2807</v>
      </c>
      <c r="BE236" s="15" t="s">
        <v>8443</v>
      </c>
      <c r="BF236" s="18"/>
      <c r="BG236" s="18"/>
      <c r="BH236" s="18"/>
      <c r="BI236" s="15" t="s">
        <v>8444</v>
      </c>
      <c r="BJ236" s="19" t="s">
        <v>8445</v>
      </c>
      <c r="BK236" s="19" t="s">
        <v>8446</v>
      </c>
      <c r="BL236" s="18"/>
      <c r="BM236" s="18"/>
      <c r="BN236" s="18"/>
      <c r="BO236" s="19" t="s">
        <v>8447</v>
      </c>
      <c r="BP236" s="19" t="s">
        <v>8448</v>
      </c>
      <c r="BQ236" s="15" t="s">
        <v>1193</v>
      </c>
      <c r="BR236" s="19" t="s">
        <v>8449</v>
      </c>
      <c r="BS236" s="19" t="s">
        <v>8450</v>
      </c>
      <c r="BT236" s="19" t="s">
        <v>8451</v>
      </c>
      <c r="BU236" s="19" t="s">
        <v>8452</v>
      </c>
      <c r="BV236" s="19" t="s">
        <v>8453</v>
      </c>
      <c r="BW236" s="15" t="s">
        <v>8454</v>
      </c>
      <c r="BX236" s="26"/>
      <c r="BY236" s="18" t="str">
        <f t="shared" si="104"/>
        <v>E&amp;TC</v>
      </c>
      <c r="BZ236" s="24" t="str">
        <f t="shared" si="100"/>
        <v>https://drive.google.com/open?id=1CLqk3eDgg1-M-UIZ8Zw2LLMjddaXVB8p</v>
      </c>
      <c r="CA236" s="24" t="str">
        <f t="shared" si="101"/>
        <v>https://drive.google.com/open?id=1NVo1eJOn05Pf8_5ez5k5smoVR7N_2COA</v>
      </c>
      <c r="CB236" s="15" t="s">
        <v>2908</v>
      </c>
      <c r="CC236" s="15" t="s">
        <v>2908</v>
      </c>
      <c r="CD236" s="25" t="s">
        <v>2909</v>
      </c>
      <c r="CE236" s="18"/>
      <c r="CF236" s="18"/>
      <c r="CG236" s="18"/>
    </row>
    <row r="237" ht="18.75" hidden="1" customHeight="1">
      <c r="A237" s="14">
        <v>44742.47050934027</v>
      </c>
      <c r="B237" s="15" t="s">
        <v>1629</v>
      </c>
      <c r="C237" s="16" t="s">
        <v>8455</v>
      </c>
      <c r="D237" s="15" t="str">
        <f>IFERROR(__xludf.DUMMYFUNCTION("QUERY(TY_ALL_2023_Batch!$A$1:$E$824, ""SELECT E WHERE C='""&amp;B237&amp;""'"", 0)"),"E&amp;TC")</f>
        <v>E&amp;TC</v>
      </c>
      <c r="E237" s="15" t="s">
        <v>8456</v>
      </c>
      <c r="F237" s="15" t="s">
        <v>8457</v>
      </c>
      <c r="G237" s="15" t="s">
        <v>8458</v>
      </c>
      <c r="H237" s="15" t="s">
        <v>2785</v>
      </c>
      <c r="I237" s="17">
        <v>37167.0</v>
      </c>
      <c r="J237" s="15">
        <v>2019.0</v>
      </c>
      <c r="K237" s="15" t="s">
        <v>2786</v>
      </c>
      <c r="L237" s="15" t="s">
        <v>2787</v>
      </c>
      <c r="M237" s="18"/>
      <c r="N237" s="15" t="s">
        <v>8459</v>
      </c>
      <c r="O237" s="15" t="s">
        <v>1629</v>
      </c>
      <c r="P237" s="19" t="s">
        <v>8460</v>
      </c>
      <c r="Q237" s="15">
        <v>7.058980878E9</v>
      </c>
      <c r="R237" s="15">
        <v>7.058980878E9</v>
      </c>
      <c r="S237" s="15">
        <v>7.218792147E9</v>
      </c>
      <c r="T237" s="15" t="s">
        <v>8461</v>
      </c>
      <c r="U237" s="15" t="s">
        <v>4451</v>
      </c>
      <c r="V237" s="15" t="s">
        <v>8462</v>
      </c>
      <c r="W237" s="15" t="s">
        <v>8463</v>
      </c>
      <c r="X237" s="15">
        <v>88.0</v>
      </c>
      <c r="Y237" s="15" t="s">
        <v>2795</v>
      </c>
      <c r="Z237" s="15">
        <v>9.67</v>
      </c>
      <c r="AA237" s="15">
        <v>9.55</v>
      </c>
      <c r="AB237" s="15" t="s">
        <v>2796</v>
      </c>
      <c r="AC237" s="15" t="s">
        <v>2796</v>
      </c>
      <c r="AD237" s="15" t="s">
        <v>2796</v>
      </c>
      <c r="AE237" s="15" t="s">
        <v>2796</v>
      </c>
      <c r="AF237" s="15">
        <v>9.0</v>
      </c>
      <c r="AG237" s="15">
        <v>9.43</v>
      </c>
      <c r="AH237" s="15">
        <v>76.62</v>
      </c>
      <c r="AI237" s="18"/>
      <c r="AJ237" s="15" t="s">
        <v>2787</v>
      </c>
      <c r="AK237" s="15" t="s">
        <v>2787</v>
      </c>
      <c r="AL237" s="15">
        <v>620.0</v>
      </c>
      <c r="AM237" s="15">
        <v>626.67</v>
      </c>
      <c r="AN237" s="15" t="s">
        <v>2797</v>
      </c>
      <c r="AO237" s="18"/>
      <c r="AP237" s="18"/>
      <c r="AQ237" s="15" t="s">
        <v>5356</v>
      </c>
      <c r="AR237" s="15" t="s">
        <v>5415</v>
      </c>
      <c r="AS237" s="15" t="s">
        <v>8331</v>
      </c>
      <c r="AT237" s="18"/>
      <c r="AU237" s="15" t="s">
        <v>8464</v>
      </c>
      <c r="AV237" s="15" t="s">
        <v>8465</v>
      </c>
      <c r="AW237" s="15" t="s">
        <v>8466</v>
      </c>
      <c r="AX237" s="18"/>
      <c r="AY237" s="15" t="s">
        <v>8467</v>
      </c>
      <c r="AZ237" s="15" t="s">
        <v>5335</v>
      </c>
      <c r="BA237" s="15" t="s">
        <v>2839</v>
      </c>
      <c r="BB237" s="15" t="s">
        <v>2807</v>
      </c>
      <c r="BC237" s="15" t="s">
        <v>4746</v>
      </c>
      <c r="BD237" s="15" t="s">
        <v>2807</v>
      </c>
      <c r="BE237" s="15" t="s">
        <v>8468</v>
      </c>
      <c r="BF237" s="15" t="s">
        <v>8469</v>
      </c>
      <c r="BG237" s="18"/>
      <c r="BH237" s="15" t="s">
        <v>8470</v>
      </c>
      <c r="BI237" s="15" t="s">
        <v>8471</v>
      </c>
      <c r="BJ237" s="19" t="s">
        <v>8472</v>
      </c>
      <c r="BK237" s="19" t="s">
        <v>8473</v>
      </c>
      <c r="BL237" s="19" t="s">
        <v>8474</v>
      </c>
      <c r="BM237" s="19" t="s">
        <v>8475</v>
      </c>
      <c r="BN237" s="19" t="s">
        <v>8476</v>
      </c>
      <c r="BO237" s="19" t="s">
        <v>8477</v>
      </c>
      <c r="BP237" s="19" t="s">
        <v>8478</v>
      </c>
      <c r="BQ237" s="15" t="s">
        <v>1193</v>
      </c>
      <c r="BR237" s="26"/>
      <c r="BS237" s="26"/>
      <c r="BT237" s="19" t="s">
        <v>8479</v>
      </c>
      <c r="BU237" s="26"/>
      <c r="BV237" s="26"/>
      <c r="BW237" s="15" t="s">
        <v>8480</v>
      </c>
      <c r="BX237" s="26"/>
      <c r="BY237" s="18" t="str">
        <f t="shared" si="104"/>
        <v>E&amp;TC</v>
      </c>
      <c r="BZ237" s="24" t="str">
        <f t="shared" si="100"/>
        <v>https://drive.google.com/open?id=1Bd43thpVDmRo1S5gOATngo-tRtwsLp39</v>
      </c>
      <c r="CA237" s="24" t="str">
        <f t="shared" si="101"/>
        <v>https://drive.google.com/open?id=13jTFatMyij2hzyyEvn0vOnrjAsBRQQvd</v>
      </c>
      <c r="CB237" s="15" t="s">
        <v>2821</v>
      </c>
      <c r="CC237" s="15" t="s">
        <v>2821</v>
      </c>
      <c r="CD237" s="25" t="s">
        <v>2909</v>
      </c>
      <c r="CE237" s="18"/>
      <c r="CF237" s="18"/>
      <c r="CG237" s="18"/>
    </row>
    <row r="238" ht="18.75" hidden="1" customHeight="1">
      <c r="A238" s="14">
        <v>44740.476386215276</v>
      </c>
      <c r="B238" s="15" t="s">
        <v>1773</v>
      </c>
      <c r="C238" s="16" t="s">
        <v>8481</v>
      </c>
      <c r="D238" s="15" t="str">
        <f>IFERROR(__xludf.DUMMYFUNCTION("QUERY(TY_ALL_2023_Batch!$A$1:$E$824, ""SELECT E WHERE C='""&amp;B238&amp;""'"", 0)"),"E&amp;TC")</f>
        <v>E&amp;TC</v>
      </c>
      <c r="E238" s="15" t="s">
        <v>8482</v>
      </c>
      <c r="F238" s="15" t="s">
        <v>8483</v>
      </c>
      <c r="G238" s="15" t="s">
        <v>8484</v>
      </c>
      <c r="H238" s="15" t="s">
        <v>2826</v>
      </c>
      <c r="I238" s="17">
        <v>37074.0</v>
      </c>
      <c r="J238" s="15">
        <v>2019.0</v>
      </c>
      <c r="K238" s="15" t="s">
        <v>2786</v>
      </c>
      <c r="L238" s="15" t="s">
        <v>2787</v>
      </c>
      <c r="M238" s="18"/>
      <c r="N238" s="15" t="s">
        <v>8485</v>
      </c>
      <c r="O238" s="15" t="s">
        <v>1773</v>
      </c>
      <c r="P238" s="19" t="s">
        <v>8486</v>
      </c>
      <c r="Q238" s="15">
        <v>9.834465928E9</v>
      </c>
      <c r="R238" s="15">
        <v>9.834465928E9</v>
      </c>
      <c r="S238" s="15">
        <v>9.011051564E9</v>
      </c>
      <c r="T238" s="15" t="s">
        <v>8487</v>
      </c>
      <c r="U238" s="15" t="s">
        <v>5723</v>
      </c>
      <c r="V238" s="15" t="s">
        <v>8488</v>
      </c>
      <c r="W238" s="18"/>
      <c r="X238" s="15">
        <v>89.6</v>
      </c>
      <c r="Y238" s="15" t="s">
        <v>2795</v>
      </c>
      <c r="Z238" s="15">
        <v>8.62</v>
      </c>
      <c r="AA238" s="15">
        <v>8.65</v>
      </c>
      <c r="AB238" s="15" t="s">
        <v>2796</v>
      </c>
      <c r="AC238" s="15" t="s">
        <v>2796</v>
      </c>
      <c r="AD238" s="15" t="s">
        <v>2796</v>
      </c>
      <c r="AE238" s="15" t="s">
        <v>2796</v>
      </c>
      <c r="AF238" s="15">
        <v>8.32</v>
      </c>
      <c r="AG238" s="15">
        <v>8.71</v>
      </c>
      <c r="AH238" s="15">
        <v>76.92</v>
      </c>
      <c r="AI238" s="18"/>
      <c r="AJ238" s="15" t="s">
        <v>2787</v>
      </c>
      <c r="AK238" s="15" t="s">
        <v>2787</v>
      </c>
      <c r="AL238" s="15">
        <v>93.0</v>
      </c>
      <c r="AM238" s="15">
        <v>86.0</v>
      </c>
      <c r="AN238" s="15" t="s">
        <v>2797</v>
      </c>
      <c r="AO238" s="15" t="s">
        <v>2796</v>
      </c>
      <c r="AP238" s="15" t="s">
        <v>2796</v>
      </c>
      <c r="AQ238" s="15" t="s">
        <v>8489</v>
      </c>
      <c r="AR238" s="18"/>
      <c r="AS238" s="15"/>
      <c r="AT238" s="18"/>
      <c r="AU238" s="15" t="s">
        <v>8490</v>
      </c>
      <c r="AV238" s="15" t="s">
        <v>8491</v>
      </c>
      <c r="AW238" s="15" t="s">
        <v>8492</v>
      </c>
      <c r="AX238" s="18"/>
      <c r="AY238" s="15" t="s">
        <v>8493</v>
      </c>
      <c r="AZ238" s="15" t="s">
        <v>5260</v>
      </c>
      <c r="BA238" s="15" t="s">
        <v>5552</v>
      </c>
      <c r="BB238" s="15" t="s">
        <v>2807</v>
      </c>
      <c r="BC238" s="15" t="s">
        <v>4746</v>
      </c>
      <c r="BD238" s="15" t="s">
        <v>2807</v>
      </c>
      <c r="BE238" s="15" t="s">
        <v>2796</v>
      </c>
      <c r="BF238" s="18"/>
      <c r="BG238" s="18"/>
      <c r="BH238" s="15" t="s">
        <v>5255</v>
      </c>
      <c r="BI238" s="15" t="s">
        <v>8494</v>
      </c>
      <c r="BJ238" s="19" t="s">
        <v>8495</v>
      </c>
      <c r="BK238" s="19" t="s">
        <v>8496</v>
      </c>
      <c r="BL238" s="19" t="s">
        <v>8497</v>
      </c>
      <c r="BM238" s="19" t="s">
        <v>8498</v>
      </c>
      <c r="BN238" s="19" t="s">
        <v>8499</v>
      </c>
      <c r="BO238" s="19" t="s">
        <v>8500</v>
      </c>
      <c r="BP238" s="19" t="s">
        <v>8501</v>
      </c>
      <c r="BQ238" s="15" t="s">
        <v>1193</v>
      </c>
      <c r="BR238" s="19" t="s">
        <v>8502</v>
      </c>
      <c r="BS238" s="19" t="s">
        <v>8503</v>
      </c>
      <c r="BT238" s="19" t="s">
        <v>8504</v>
      </c>
      <c r="BU238" s="19" t="s">
        <v>8505</v>
      </c>
      <c r="BV238" s="19" t="s">
        <v>8506</v>
      </c>
      <c r="BW238" s="15" t="s">
        <v>8507</v>
      </c>
      <c r="BX238" s="26"/>
      <c r="BY238" s="18" t="str">
        <f t="shared" si="104"/>
        <v>E&amp;TC</v>
      </c>
      <c r="BZ238" s="24" t="str">
        <f t="shared" si="100"/>
        <v>https://drive.google.com/open?id=1ZMRd9zVvmFnQgKK0hkq7-ljsM_FXkpRi</v>
      </c>
      <c r="CA238" s="24" t="str">
        <f t="shared" si="101"/>
        <v>https://drive.google.com/open?id=1e2G5su6_MZpRWRy98LBs4jGGuVcxD8gU</v>
      </c>
      <c r="CB238" s="15" t="s">
        <v>2821</v>
      </c>
      <c r="CC238" s="15" t="s">
        <v>2821</v>
      </c>
      <c r="CD238" s="25" t="s">
        <v>2909</v>
      </c>
      <c r="CE238" s="18"/>
      <c r="CF238" s="18"/>
      <c r="CG238" s="18"/>
    </row>
    <row r="239" ht="18.75" hidden="1" customHeight="1">
      <c r="A239" s="14">
        <v>44742.55580726852</v>
      </c>
      <c r="B239" s="15" t="s">
        <v>1656</v>
      </c>
      <c r="C239" s="16" t="s">
        <v>8508</v>
      </c>
      <c r="D239" s="15" t="str">
        <f>IFERROR(__xludf.DUMMYFUNCTION("QUERY(TY_ALL_2023_Batch!$A$1:$E$824, ""SELECT E WHERE C='""&amp;B239&amp;""'"", 0)"),"E&amp;TC")</f>
        <v>E&amp;TC</v>
      </c>
      <c r="E239" s="15" t="s">
        <v>8509</v>
      </c>
      <c r="F239" s="15" t="s">
        <v>3023</v>
      </c>
      <c r="G239" s="15" t="s">
        <v>8510</v>
      </c>
      <c r="H239" s="15" t="s">
        <v>2785</v>
      </c>
      <c r="I239" s="17">
        <v>37222.0</v>
      </c>
      <c r="J239" s="15">
        <v>2019.0</v>
      </c>
      <c r="K239" s="15" t="s">
        <v>2786</v>
      </c>
      <c r="L239" s="15" t="s">
        <v>2787</v>
      </c>
      <c r="M239" s="18"/>
      <c r="N239" s="15" t="s">
        <v>8511</v>
      </c>
      <c r="O239" s="15" t="s">
        <v>1656</v>
      </c>
      <c r="P239" s="19" t="s">
        <v>8512</v>
      </c>
      <c r="Q239" s="15">
        <v>9.307940217E9</v>
      </c>
      <c r="R239" s="15">
        <v>9.307940217E9</v>
      </c>
      <c r="S239" s="15">
        <v>7.743843017E9</v>
      </c>
      <c r="T239" s="15" t="s">
        <v>8513</v>
      </c>
      <c r="U239" s="15" t="s">
        <v>8514</v>
      </c>
      <c r="V239" s="15" t="s">
        <v>8515</v>
      </c>
      <c r="W239" s="15" t="s">
        <v>8516</v>
      </c>
      <c r="X239" s="15">
        <v>94.6</v>
      </c>
      <c r="Y239" s="15" t="s">
        <v>2795</v>
      </c>
      <c r="Z239" s="15">
        <v>7.1</v>
      </c>
      <c r="AA239" s="15">
        <v>9.1</v>
      </c>
      <c r="AB239" s="15" t="s">
        <v>2796</v>
      </c>
      <c r="AC239" s="15" t="s">
        <v>2796</v>
      </c>
      <c r="AD239" s="15" t="s">
        <v>2796</v>
      </c>
      <c r="AE239" s="15" t="s">
        <v>2796</v>
      </c>
      <c r="AF239" s="15">
        <v>8.28</v>
      </c>
      <c r="AG239" s="15">
        <v>8.0</v>
      </c>
      <c r="AH239" s="15">
        <v>81.38</v>
      </c>
      <c r="AI239" s="18"/>
      <c r="AJ239" s="15" t="s">
        <v>2787</v>
      </c>
      <c r="AK239" s="15" t="s">
        <v>2787</v>
      </c>
      <c r="AL239" s="15">
        <v>561.66</v>
      </c>
      <c r="AM239" s="15">
        <v>580.0</v>
      </c>
      <c r="AN239" s="15" t="s">
        <v>2797</v>
      </c>
      <c r="AO239" s="18"/>
      <c r="AP239" s="18"/>
      <c r="AQ239" s="15" t="s">
        <v>8517</v>
      </c>
      <c r="AR239" s="15" t="s">
        <v>8518</v>
      </c>
      <c r="AS239" s="15" t="s">
        <v>8519</v>
      </c>
      <c r="AT239" s="18"/>
      <c r="AU239" s="15" t="s">
        <v>5465</v>
      </c>
      <c r="AV239" s="15" t="s">
        <v>8520</v>
      </c>
      <c r="AW239" s="15" t="s">
        <v>8521</v>
      </c>
      <c r="AX239" s="18"/>
      <c r="AY239" s="15" t="s">
        <v>8244</v>
      </c>
      <c r="AZ239" s="15" t="s">
        <v>4670</v>
      </c>
      <c r="BA239" s="15" t="s">
        <v>2839</v>
      </c>
      <c r="BB239" s="15" t="s">
        <v>2807</v>
      </c>
      <c r="BC239" s="15" t="s">
        <v>4746</v>
      </c>
      <c r="BD239" s="15" t="s">
        <v>2807</v>
      </c>
      <c r="BE239" s="15" t="s">
        <v>2796</v>
      </c>
      <c r="BF239" s="18"/>
      <c r="BG239" s="18"/>
      <c r="BH239" s="15" t="s">
        <v>8522</v>
      </c>
      <c r="BI239" s="18"/>
      <c r="BJ239" s="19" t="s">
        <v>8523</v>
      </c>
      <c r="BK239" s="19" t="s">
        <v>8524</v>
      </c>
      <c r="BL239" s="19" t="s">
        <v>8525</v>
      </c>
      <c r="BM239" s="19" t="s">
        <v>8526</v>
      </c>
      <c r="BN239" s="19" t="s">
        <v>8527</v>
      </c>
      <c r="BO239" s="19" t="s">
        <v>8528</v>
      </c>
      <c r="BP239" s="19" t="s">
        <v>8529</v>
      </c>
      <c r="BQ239" s="15" t="s">
        <v>1193</v>
      </c>
      <c r="BR239" s="26"/>
      <c r="BS239" s="26"/>
      <c r="BT239" s="26"/>
      <c r="BU239" s="19" t="s">
        <v>8530</v>
      </c>
      <c r="BV239" s="19" t="s">
        <v>8531</v>
      </c>
      <c r="BW239" s="15" t="s">
        <v>8532</v>
      </c>
      <c r="BX239" s="26"/>
      <c r="BY239" s="18" t="str">
        <f t="shared" si="104"/>
        <v>E&amp;TC</v>
      </c>
      <c r="BZ239" s="24" t="str">
        <f t="shared" si="100"/>
        <v>https://drive.google.com/open?id=1oGzTN9XP4M1AeyvENQOjgqSz42kFVy-h</v>
      </c>
      <c r="CA239" s="24" t="str">
        <f t="shared" si="101"/>
        <v>https://drive.google.com/open?id=1vllIUva6NzdlEkTWoUQsgk5qhJOXoVxI</v>
      </c>
      <c r="CB239" s="15" t="s">
        <v>2821</v>
      </c>
      <c r="CC239" s="15" t="s">
        <v>2821</v>
      </c>
      <c r="CD239" s="25" t="s">
        <v>2797</v>
      </c>
      <c r="CE239" s="18"/>
      <c r="CF239" s="18"/>
      <c r="CG239" s="18"/>
    </row>
    <row r="240" ht="18.75" hidden="1" customHeight="1">
      <c r="A240" s="14">
        <v>44736.515341446764</v>
      </c>
      <c r="B240" s="15" t="s">
        <v>1905</v>
      </c>
      <c r="C240" s="16" t="s">
        <v>8533</v>
      </c>
      <c r="D240" s="15" t="str">
        <f>IFERROR(__xludf.DUMMYFUNCTION("QUERY(TY_ALL_2023_Batch!$A$1:$E$824, ""SELECT E WHERE C='""&amp;B240&amp;""'"", 0)"),"E&amp;TC")</f>
        <v>E&amp;TC</v>
      </c>
      <c r="E240" s="15" t="s">
        <v>8534</v>
      </c>
      <c r="F240" s="15" t="s">
        <v>6542</v>
      </c>
      <c r="G240" s="15" t="s">
        <v>8535</v>
      </c>
      <c r="H240" s="15" t="s">
        <v>2826</v>
      </c>
      <c r="I240" s="17">
        <v>37031.0</v>
      </c>
      <c r="J240" s="15">
        <v>2019.0</v>
      </c>
      <c r="K240" s="15" t="s">
        <v>2786</v>
      </c>
      <c r="L240" s="15" t="s">
        <v>2787</v>
      </c>
      <c r="M240" s="18"/>
      <c r="N240" s="15" t="s">
        <v>8536</v>
      </c>
      <c r="O240" s="15" t="s">
        <v>1905</v>
      </c>
      <c r="P240" s="19" t="s">
        <v>8537</v>
      </c>
      <c r="Q240" s="15">
        <v>7.387615996E9</v>
      </c>
      <c r="R240" s="15">
        <v>7.387615996E9</v>
      </c>
      <c r="S240" s="15">
        <v>7.720835806E9</v>
      </c>
      <c r="T240" s="15" t="s">
        <v>6542</v>
      </c>
      <c r="U240" s="15" t="s">
        <v>8538</v>
      </c>
      <c r="V240" s="15" t="s">
        <v>8539</v>
      </c>
      <c r="W240" s="15" t="s">
        <v>8540</v>
      </c>
      <c r="X240" s="15">
        <v>97.4</v>
      </c>
      <c r="Y240" s="15" t="s">
        <v>2795</v>
      </c>
      <c r="Z240" s="15">
        <v>9.29</v>
      </c>
      <c r="AA240" s="15">
        <v>9.45</v>
      </c>
      <c r="AB240" s="15" t="s">
        <v>2796</v>
      </c>
      <c r="AC240" s="15" t="s">
        <v>2796</v>
      </c>
      <c r="AD240" s="15" t="s">
        <v>2796</v>
      </c>
      <c r="AE240" s="15" t="s">
        <v>2796</v>
      </c>
      <c r="AF240" s="15">
        <v>9.05</v>
      </c>
      <c r="AG240" s="15">
        <v>8.19</v>
      </c>
      <c r="AH240" s="15">
        <v>79.84</v>
      </c>
      <c r="AI240" s="18"/>
      <c r="AJ240" s="15" t="s">
        <v>2787</v>
      </c>
      <c r="AK240" s="15" t="s">
        <v>2787</v>
      </c>
      <c r="AL240" s="15">
        <v>706.0</v>
      </c>
      <c r="AM240" s="15">
        <v>728.0</v>
      </c>
      <c r="AN240" s="15" t="s">
        <v>2797</v>
      </c>
      <c r="AO240" s="18"/>
      <c r="AP240" s="18"/>
      <c r="AQ240" s="15" t="s">
        <v>8541</v>
      </c>
      <c r="AR240" s="18"/>
      <c r="AS240" s="15"/>
      <c r="AT240" s="18"/>
      <c r="AU240" s="15" t="s">
        <v>8542</v>
      </c>
      <c r="AV240" s="15" t="s">
        <v>8543</v>
      </c>
      <c r="AW240" s="15" t="s">
        <v>8544</v>
      </c>
      <c r="AX240" s="18"/>
      <c r="AY240" s="15" t="s">
        <v>8545</v>
      </c>
      <c r="AZ240" s="15" t="s">
        <v>4377</v>
      </c>
      <c r="BA240" s="15" t="s">
        <v>8546</v>
      </c>
      <c r="BB240" s="15" t="s">
        <v>2807</v>
      </c>
      <c r="BC240" s="15" t="s">
        <v>4217</v>
      </c>
      <c r="BD240" s="15" t="s">
        <v>2807</v>
      </c>
      <c r="BE240" s="15" t="s">
        <v>2796</v>
      </c>
      <c r="BF240" s="18"/>
      <c r="BG240" s="18"/>
      <c r="BH240" s="18"/>
      <c r="BI240" s="15" t="s">
        <v>8547</v>
      </c>
      <c r="BJ240" s="19" t="s">
        <v>8548</v>
      </c>
      <c r="BK240" s="19" t="s">
        <v>8549</v>
      </c>
      <c r="BL240" s="19" t="s">
        <v>8550</v>
      </c>
      <c r="BM240" s="19" t="s">
        <v>8551</v>
      </c>
      <c r="BN240" s="19" t="s">
        <v>8552</v>
      </c>
      <c r="BO240" s="19" t="s">
        <v>8553</v>
      </c>
      <c r="BP240" s="19" t="s">
        <v>8554</v>
      </c>
      <c r="BQ240" s="15" t="s">
        <v>1193</v>
      </c>
      <c r="BR240" s="26"/>
      <c r="BS240" s="26"/>
      <c r="BT240" s="26"/>
      <c r="BU240" s="26"/>
      <c r="BV240" s="26"/>
      <c r="BW240" s="26"/>
      <c r="BX240" s="26"/>
      <c r="BY240" s="18" t="str">
        <f t="shared" si="104"/>
        <v>E&amp;TC</v>
      </c>
      <c r="BZ240" s="24" t="str">
        <f t="shared" si="100"/>
        <v>https://drive.google.com/open?id=1U04tokLrdtP4sC80pn8qd41RGmD9f-ZY</v>
      </c>
      <c r="CA240" s="24" t="str">
        <f t="shared" si="101"/>
        <v>https://drive.google.com/open?id=1WAZK8DVJIF9EESjrnNBlscRn8T3O8zGk</v>
      </c>
      <c r="CB240" s="15" t="s">
        <v>2821</v>
      </c>
      <c r="CC240" s="15" t="s">
        <v>2821</v>
      </c>
      <c r="CD240" s="25" t="s">
        <v>2797</v>
      </c>
      <c r="CE240" s="18"/>
      <c r="CF240" s="18"/>
      <c r="CG240" s="18"/>
    </row>
    <row r="241" ht="18.75" hidden="1" customHeight="1">
      <c r="A241" s="14">
        <v>44741.88117263889</v>
      </c>
      <c r="B241" s="15" t="s">
        <v>1956</v>
      </c>
      <c r="C241" s="16" t="s">
        <v>8555</v>
      </c>
      <c r="D241" s="15" t="str">
        <f>IFERROR(__xludf.DUMMYFUNCTION("QUERY(TY_ALL_2023_Batch!$A$1:$E$824, ""SELECT E WHERE C='""&amp;B241&amp;""'"", 0)"),"E&amp;TC")</f>
        <v>E&amp;TC</v>
      </c>
      <c r="E241" s="15" t="s">
        <v>8556</v>
      </c>
      <c r="F241" s="15" t="s">
        <v>3141</v>
      </c>
      <c r="G241" s="15" t="s">
        <v>7342</v>
      </c>
      <c r="H241" s="15" t="s">
        <v>2826</v>
      </c>
      <c r="I241" s="17">
        <v>37242.0</v>
      </c>
      <c r="J241" s="15">
        <v>2019.0</v>
      </c>
      <c r="K241" s="15" t="s">
        <v>2786</v>
      </c>
      <c r="L241" s="15" t="s">
        <v>2787</v>
      </c>
      <c r="M241" s="18"/>
      <c r="N241" s="15" t="s">
        <v>8557</v>
      </c>
      <c r="O241" s="15" t="s">
        <v>8558</v>
      </c>
      <c r="P241" s="19" t="s">
        <v>8559</v>
      </c>
      <c r="Q241" s="15">
        <v>8.080515521E9</v>
      </c>
      <c r="R241" s="15">
        <v>7.517831951E9</v>
      </c>
      <c r="S241" s="15">
        <v>9.326344176E9</v>
      </c>
      <c r="T241" s="15" t="s">
        <v>8560</v>
      </c>
      <c r="U241" s="15" t="s">
        <v>8561</v>
      </c>
      <c r="V241" s="15" t="s">
        <v>8562</v>
      </c>
      <c r="W241" s="15" t="s">
        <v>8562</v>
      </c>
      <c r="X241" s="15">
        <v>74.0</v>
      </c>
      <c r="Y241" s="15" t="s">
        <v>2795</v>
      </c>
      <c r="Z241" s="15">
        <v>7.01</v>
      </c>
      <c r="AA241" s="15">
        <v>7.0</v>
      </c>
      <c r="AB241" s="15">
        <v>6.75</v>
      </c>
      <c r="AC241" s="15" t="s">
        <v>2796</v>
      </c>
      <c r="AD241" s="15" t="s">
        <v>2796</v>
      </c>
      <c r="AE241" s="15" t="s">
        <v>2796</v>
      </c>
      <c r="AF241" s="15">
        <v>7.0</v>
      </c>
      <c r="AG241" s="15">
        <v>6.87</v>
      </c>
      <c r="AH241" s="15">
        <v>63.0</v>
      </c>
      <c r="AI241" s="18"/>
      <c r="AJ241" s="15" t="s">
        <v>2787</v>
      </c>
      <c r="AK241" s="15" t="s">
        <v>2787</v>
      </c>
      <c r="AL241" s="15">
        <v>60.0</v>
      </c>
      <c r="AM241" s="15">
        <v>70.0</v>
      </c>
      <c r="AN241" s="15" t="s">
        <v>2787</v>
      </c>
      <c r="AO241" s="15" t="s">
        <v>8563</v>
      </c>
      <c r="AP241" s="18"/>
      <c r="AQ241" s="15" t="s">
        <v>8564</v>
      </c>
      <c r="AR241" s="15" t="s">
        <v>8565</v>
      </c>
      <c r="AS241" s="15" t="s">
        <v>8566</v>
      </c>
      <c r="AT241" s="15" t="s">
        <v>8567</v>
      </c>
      <c r="AU241" s="15" t="s">
        <v>8568</v>
      </c>
      <c r="AV241" s="15" t="s">
        <v>8569</v>
      </c>
      <c r="AW241" s="15" t="s">
        <v>8570</v>
      </c>
      <c r="AX241" s="15" t="s">
        <v>3006</v>
      </c>
      <c r="AY241" s="15" t="s">
        <v>8571</v>
      </c>
      <c r="AZ241" s="15" t="s">
        <v>5625</v>
      </c>
      <c r="BA241" s="15" t="s">
        <v>8572</v>
      </c>
      <c r="BB241" s="15" t="s">
        <v>2807</v>
      </c>
      <c r="BC241" s="15" t="s">
        <v>4746</v>
      </c>
      <c r="BD241" s="15" t="s">
        <v>2807</v>
      </c>
      <c r="BE241" s="15" t="s">
        <v>3006</v>
      </c>
      <c r="BF241" s="15" t="s">
        <v>3006</v>
      </c>
      <c r="BG241" s="15" t="s">
        <v>2796</v>
      </c>
      <c r="BH241" s="15" t="s">
        <v>8573</v>
      </c>
      <c r="BI241" s="15" t="s">
        <v>8574</v>
      </c>
      <c r="BJ241" s="19" t="s">
        <v>8575</v>
      </c>
      <c r="BK241" s="19" t="s">
        <v>8576</v>
      </c>
      <c r="BL241" s="18"/>
      <c r="BM241" s="19" t="s">
        <v>8577</v>
      </c>
      <c r="BN241" s="19" t="s">
        <v>8578</v>
      </c>
      <c r="BO241" s="19" t="s">
        <v>8579</v>
      </c>
      <c r="BP241" s="18"/>
      <c r="BQ241" s="15" t="s">
        <v>1193</v>
      </c>
      <c r="BR241" s="26"/>
      <c r="BS241" s="19" t="s">
        <v>8580</v>
      </c>
      <c r="BT241" s="19" t="s">
        <v>8581</v>
      </c>
      <c r="BU241" s="26"/>
      <c r="BV241" s="19" t="s">
        <v>8582</v>
      </c>
      <c r="BW241" s="15" t="s">
        <v>8583</v>
      </c>
      <c r="BX241" s="26"/>
      <c r="BY241" s="18" t="str">
        <f t="shared" si="104"/>
        <v>E&amp;TC</v>
      </c>
      <c r="BZ241" s="18" t="str">
        <f t="shared" si="100"/>
        <v/>
      </c>
      <c r="CA241" s="24" t="str">
        <f t="shared" si="101"/>
        <v>https://drive.google.com/open?id=17J_IYgttXj6P5SLTTCfL2EnJb78BBNFU</v>
      </c>
      <c r="CB241" s="15" t="s">
        <v>2908</v>
      </c>
      <c r="CC241" s="15" t="s">
        <v>2821</v>
      </c>
      <c r="CD241" s="25" t="s">
        <v>2909</v>
      </c>
      <c r="CE241" s="18"/>
      <c r="CF241" s="18"/>
      <c r="CG241" s="18"/>
    </row>
    <row r="242" ht="18.75" hidden="1" customHeight="1">
      <c r="A242" s="14">
        <v>44742.47182641204</v>
      </c>
      <c r="B242" s="15" t="s">
        <v>1941</v>
      </c>
      <c r="C242" s="16" t="s">
        <v>8584</v>
      </c>
      <c r="D242" s="15" t="str">
        <f>IFERROR(__xludf.DUMMYFUNCTION("QUERY(TY_ALL_2023_Batch!$A$1:$E$824, ""SELECT E WHERE C='""&amp;B242&amp;""'"", 0)"),"E&amp;TC")</f>
        <v>E&amp;TC</v>
      </c>
      <c r="E242" s="15" t="s">
        <v>4447</v>
      </c>
      <c r="F242" s="15" t="s">
        <v>8585</v>
      </c>
      <c r="G242" s="15" t="s">
        <v>8586</v>
      </c>
      <c r="H242" s="15" t="s">
        <v>2785</v>
      </c>
      <c r="I242" s="17">
        <v>37144.0</v>
      </c>
      <c r="J242" s="15">
        <v>2019.0</v>
      </c>
      <c r="K242" s="15" t="s">
        <v>2786</v>
      </c>
      <c r="L242" s="15" t="s">
        <v>2787</v>
      </c>
      <c r="M242" s="18"/>
      <c r="N242" s="15" t="s">
        <v>8587</v>
      </c>
      <c r="O242" s="15" t="s">
        <v>1941</v>
      </c>
      <c r="P242" s="19" t="s">
        <v>8588</v>
      </c>
      <c r="Q242" s="15">
        <v>7.666556908E9</v>
      </c>
      <c r="R242" s="15">
        <v>7.666556908E9</v>
      </c>
      <c r="S242" s="18"/>
      <c r="T242" s="15" t="s">
        <v>8589</v>
      </c>
      <c r="U242" s="15" t="s">
        <v>8590</v>
      </c>
      <c r="V242" s="15" t="s">
        <v>8591</v>
      </c>
      <c r="W242" s="15" t="s">
        <v>8592</v>
      </c>
      <c r="X242" s="15">
        <v>93.2</v>
      </c>
      <c r="Y242" s="15" t="s">
        <v>2795</v>
      </c>
      <c r="Z242" s="15">
        <v>9.48</v>
      </c>
      <c r="AA242" s="15">
        <v>9.65</v>
      </c>
      <c r="AB242" s="15" t="s">
        <v>2796</v>
      </c>
      <c r="AC242" s="15" t="s">
        <v>2796</v>
      </c>
      <c r="AD242" s="15" t="s">
        <v>2796</v>
      </c>
      <c r="AE242" s="15" t="s">
        <v>2796</v>
      </c>
      <c r="AF242" s="15">
        <v>8.79</v>
      </c>
      <c r="AG242" s="15">
        <v>8.86</v>
      </c>
      <c r="AH242" s="15">
        <v>72.92</v>
      </c>
      <c r="AI242" s="18"/>
      <c r="AJ242" s="15" t="s">
        <v>2787</v>
      </c>
      <c r="AK242" s="15" t="s">
        <v>2787</v>
      </c>
      <c r="AL242" s="15">
        <v>84.33</v>
      </c>
      <c r="AM242" s="15">
        <v>96.66</v>
      </c>
      <c r="AN242" s="15" t="s">
        <v>2797</v>
      </c>
      <c r="AO242" s="18"/>
      <c r="AP242" s="18"/>
      <c r="AQ242" s="15" t="s">
        <v>8593</v>
      </c>
      <c r="AR242" s="18"/>
      <c r="AS242" s="15" t="s">
        <v>8594</v>
      </c>
      <c r="AT242" s="18"/>
      <c r="AU242" s="15" t="s">
        <v>8595</v>
      </c>
      <c r="AV242" s="15" t="s">
        <v>8596</v>
      </c>
      <c r="AW242" s="15" t="s">
        <v>8597</v>
      </c>
      <c r="AX242" s="18"/>
      <c r="AY242" s="15" t="s">
        <v>8598</v>
      </c>
      <c r="AZ242" s="15" t="s">
        <v>5335</v>
      </c>
      <c r="BA242" s="15" t="s">
        <v>6926</v>
      </c>
      <c r="BB242" s="15" t="s">
        <v>2807</v>
      </c>
      <c r="BC242" s="15" t="s">
        <v>8295</v>
      </c>
      <c r="BD242" s="15" t="s">
        <v>2807</v>
      </c>
      <c r="BE242" s="15" t="s">
        <v>8599</v>
      </c>
      <c r="BF242" s="15" t="s">
        <v>8600</v>
      </c>
      <c r="BG242" s="18"/>
      <c r="BH242" s="15" t="s">
        <v>8594</v>
      </c>
      <c r="BI242" s="15" t="s">
        <v>8601</v>
      </c>
      <c r="BJ242" s="19" t="s">
        <v>8602</v>
      </c>
      <c r="BK242" s="19" t="s">
        <v>8603</v>
      </c>
      <c r="BL242" s="19" t="s">
        <v>8604</v>
      </c>
      <c r="BM242" s="19" t="s">
        <v>8605</v>
      </c>
      <c r="BN242" s="19" t="s">
        <v>8606</v>
      </c>
      <c r="BO242" s="19" t="s">
        <v>8607</v>
      </c>
      <c r="BP242" s="19" t="s">
        <v>8608</v>
      </c>
      <c r="BQ242" s="15" t="s">
        <v>1193</v>
      </c>
      <c r="BR242" s="26"/>
      <c r="BS242" s="26"/>
      <c r="BT242" s="26"/>
      <c r="BU242" s="19" t="s">
        <v>8609</v>
      </c>
      <c r="BV242" s="19" t="s">
        <v>8610</v>
      </c>
      <c r="BW242" s="15" t="s">
        <v>8611</v>
      </c>
      <c r="BX242" s="26"/>
      <c r="BY242" s="18" t="str">
        <f t="shared" si="104"/>
        <v>E&amp;TC</v>
      </c>
      <c r="BZ242" s="24" t="str">
        <f t="shared" si="100"/>
        <v>https://drive.google.com/open?id=1AkE4JUIMMJRFIltvTgB_XQR1OuXUzVKV</v>
      </c>
      <c r="CA242" s="24" t="str">
        <f t="shared" si="101"/>
        <v>https://drive.google.com/open?id=1_7_B5b_OOZ-OJPKTSl-A8YQLjjgE7W_V</v>
      </c>
      <c r="CB242" s="15" t="s">
        <v>2821</v>
      </c>
      <c r="CC242" s="15" t="s">
        <v>2821</v>
      </c>
      <c r="CD242" s="25" t="s">
        <v>2797</v>
      </c>
      <c r="CE242" s="18"/>
      <c r="CF242" s="18"/>
      <c r="CG242" s="18"/>
    </row>
    <row r="243" ht="18.75" hidden="1" customHeight="1">
      <c r="A243" s="14">
        <v>44736.50737273148</v>
      </c>
      <c r="B243" s="15" t="s">
        <v>1683</v>
      </c>
      <c r="C243" s="16" t="s">
        <v>8612</v>
      </c>
      <c r="D243" s="15" t="str">
        <f>IFERROR(__xludf.DUMMYFUNCTION("QUERY(TY_ALL_2023_Batch!$A$1:$E$824, ""SELECT E WHERE C='""&amp;B243&amp;""'"", 0)"),"E&amp;TC")</f>
        <v>E&amp;TC</v>
      </c>
      <c r="E243" s="15" t="s">
        <v>5324</v>
      </c>
      <c r="F243" s="15" t="s">
        <v>3924</v>
      </c>
      <c r="G243" s="15" t="s">
        <v>8613</v>
      </c>
      <c r="H243" s="15" t="s">
        <v>2826</v>
      </c>
      <c r="I243" s="17">
        <v>37179.0</v>
      </c>
      <c r="J243" s="15">
        <v>2019.0</v>
      </c>
      <c r="K243" s="15" t="s">
        <v>2786</v>
      </c>
      <c r="L243" s="15" t="s">
        <v>2787</v>
      </c>
      <c r="M243" s="18"/>
      <c r="N243" s="15" t="s">
        <v>8614</v>
      </c>
      <c r="O243" s="15" t="s">
        <v>1683</v>
      </c>
      <c r="P243" s="19" t="s">
        <v>8615</v>
      </c>
      <c r="Q243" s="15">
        <v>7.72085055E9</v>
      </c>
      <c r="R243" s="15">
        <v>7.72085055E9</v>
      </c>
      <c r="S243" s="15">
        <v>9.579277227E9</v>
      </c>
      <c r="T243" s="15" t="s">
        <v>3924</v>
      </c>
      <c r="U243" s="15" t="s">
        <v>8616</v>
      </c>
      <c r="V243" s="15" t="s">
        <v>8617</v>
      </c>
      <c r="W243" s="18"/>
      <c r="X243" s="15">
        <v>89.0</v>
      </c>
      <c r="Y243" s="15" t="s">
        <v>2795</v>
      </c>
      <c r="Z243" s="15">
        <v>8.19</v>
      </c>
      <c r="AA243" s="15">
        <v>8.35</v>
      </c>
      <c r="AB243" s="15" t="s">
        <v>2796</v>
      </c>
      <c r="AC243" s="15" t="s">
        <v>2796</v>
      </c>
      <c r="AD243" s="15" t="s">
        <v>2796</v>
      </c>
      <c r="AE243" s="15" t="s">
        <v>2796</v>
      </c>
      <c r="AF243" s="15">
        <v>7.68</v>
      </c>
      <c r="AG243" s="15">
        <v>8.24</v>
      </c>
      <c r="AH243" s="15">
        <v>64.0</v>
      </c>
      <c r="AI243" s="18"/>
      <c r="AJ243" s="15" t="s">
        <v>2787</v>
      </c>
      <c r="AK243" s="15" t="s">
        <v>2787</v>
      </c>
      <c r="AL243" s="18"/>
      <c r="AM243" s="15">
        <v>77.6</v>
      </c>
      <c r="AN243" s="15" t="s">
        <v>2797</v>
      </c>
      <c r="AO243" s="18"/>
      <c r="AP243" s="18"/>
      <c r="AQ243" s="15" t="s">
        <v>8618</v>
      </c>
      <c r="AR243" s="15" t="s">
        <v>8619</v>
      </c>
      <c r="AS243" s="18"/>
      <c r="AT243" s="18"/>
      <c r="AU243" s="18"/>
      <c r="AV243" s="15" t="s">
        <v>8620</v>
      </c>
      <c r="AW243" s="15" t="s">
        <v>2796</v>
      </c>
      <c r="AX243" s="18"/>
      <c r="AY243" s="15" t="s">
        <v>8621</v>
      </c>
      <c r="AZ243" s="15" t="s">
        <v>5260</v>
      </c>
      <c r="BA243" s="15" t="s">
        <v>6926</v>
      </c>
      <c r="BB243" s="15" t="s">
        <v>2807</v>
      </c>
      <c r="BC243" s="15" t="s">
        <v>4746</v>
      </c>
      <c r="BD243" s="15" t="s">
        <v>2807</v>
      </c>
      <c r="BE243" s="15" t="s">
        <v>2796</v>
      </c>
      <c r="BF243" s="18"/>
      <c r="BG243" s="18"/>
      <c r="BH243" s="18"/>
      <c r="BI243" s="18"/>
      <c r="BJ243" s="19" t="s">
        <v>8622</v>
      </c>
      <c r="BK243" s="19" t="s">
        <v>8623</v>
      </c>
      <c r="BL243" s="18"/>
      <c r="BM243" s="18"/>
      <c r="BN243" s="19" t="s">
        <v>8624</v>
      </c>
      <c r="BO243" s="19" t="s">
        <v>8625</v>
      </c>
      <c r="BP243" s="18"/>
      <c r="BQ243" s="15" t="s">
        <v>1193</v>
      </c>
      <c r="BR243" s="26"/>
      <c r="BS243" s="26"/>
      <c r="BT243" s="26"/>
      <c r="BU243" s="26"/>
      <c r="BV243" s="26"/>
      <c r="BW243" s="26"/>
      <c r="BX243" s="26"/>
      <c r="BY243" s="18" t="str">
        <f t="shared" si="104"/>
        <v>E&amp;TC</v>
      </c>
      <c r="BZ243" s="18" t="str">
        <f t="shared" si="100"/>
        <v/>
      </c>
      <c r="CA243" s="18" t="str">
        <f t="shared" si="101"/>
        <v/>
      </c>
      <c r="CB243" s="15" t="s">
        <v>2908</v>
      </c>
      <c r="CC243" s="15" t="s">
        <v>2908</v>
      </c>
      <c r="CD243" s="25" t="s">
        <v>2797</v>
      </c>
      <c r="CE243" s="18"/>
      <c r="CF243" s="18"/>
      <c r="CG243" s="18"/>
    </row>
    <row r="244" ht="18.75" hidden="1" customHeight="1">
      <c r="A244" s="14">
        <v>44745.385621168985</v>
      </c>
      <c r="B244" s="15" t="s">
        <v>1764</v>
      </c>
      <c r="C244" s="16" t="s">
        <v>8626</v>
      </c>
      <c r="D244" s="15" t="str">
        <f>IFERROR(__xludf.DUMMYFUNCTION("QUERY(TY_ALL_2023_Batch!$A$1:$E$824, ""SELECT E WHERE C='""&amp;B244&amp;""'"", 0)"),"E&amp;TC")</f>
        <v>E&amp;TC</v>
      </c>
      <c r="E244" s="15" t="s">
        <v>8627</v>
      </c>
      <c r="F244" s="15" t="s">
        <v>8628</v>
      </c>
      <c r="G244" s="15" t="s">
        <v>4837</v>
      </c>
      <c r="H244" s="15" t="s">
        <v>2785</v>
      </c>
      <c r="I244" s="17">
        <v>37040.0</v>
      </c>
      <c r="J244" s="15">
        <v>2019.0</v>
      </c>
      <c r="K244" s="15" t="s">
        <v>2786</v>
      </c>
      <c r="L244" s="15" t="s">
        <v>2787</v>
      </c>
      <c r="M244" s="18"/>
      <c r="N244" s="15" t="s">
        <v>8629</v>
      </c>
      <c r="O244" s="15" t="s">
        <v>1764</v>
      </c>
      <c r="P244" s="19" t="s">
        <v>8630</v>
      </c>
      <c r="Q244" s="15">
        <v>7.378708343E9</v>
      </c>
      <c r="R244" s="15">
        <v>7.378708343E9</v>
      </c>
      <c r="S244" s="15">
        <v>9.850830002E9</v>
      </c>
      <c r="T244" s="15" t="s">
        <v>8628</v>
      </c>
      <c r="U244" s="15" t="s">
        <v>4099</v>
      </c>
      <c r="V244" s="16" t="s">
        <v>8631</v>
      </c>
      <c r="W244" s="18"/>
      <c r="X244" s="15">
        <v>90.17</v>
      </c>
      <c r="Y244" s="15" t="s">
        <v>2795</v>
      </c>
      <c r="Z244" s="15">
        <v>9.67</v>
      </c>
      <c r="AA244" s="15">
        <v>9.85</v>
      </c>
      <c r="AB244" s="15" t="s">
        <v>2796</v>
      </c>
      <c r="AC244" s="15" t="s">
        <v>2796</v>
      </c>
      <c r="AD244" s="15" t="s">
        <v>2796</v>
      </c>
      <c r="AE244" s="15" t="s">
        <v>2796</v>
      </c>
      <c r="AF244" s="15">
        <v>9.63</v>
      </c>
      <c r="AG244" s="15">
        <v>9.52</v>
      </c>
      <c r="AH244" s="15">
        <v>80.31</v>
      </c>
      <c r="AI244" s="18"/>
      <c r="AJ244" s="15" t="s">
        <v>2787</v>
      </c>
      <c r="AK244" s="15" t="s">
        <v>2787</v>
      </c>
      <c r="AL244" s="15">
        <v>723.34</v>
      </c>
      <c r="AM244" s="15">
        <v>741.67</v>
      </c>
      <c r="AN244" s="15" t="s">
        <v>2797</v>
      </c>
      <c r="AO244" s="18"/>
      <c r="AP244" s="18"/>
      <c r="AQ244" s="15" t="s">
        <v>8632</v>
      </c>
      <c r="AR244" s="18"/>
      <c r="AS244" s="15" t="s">
        <v>8633</v>
      </c>
      <c r="AT244" s="18"/>
      <c r="AU244" s="15" t="s">
        <v>8634</v>
      </c>
      <c r="AV244" s="15" t="s">
        <v>8635</v>
      </c>
      <c r="AW244" s="15" t="s">
        <v>8636</v>
      </c>
      <c r="AX244" s="18"/>
      <c r="AY244" s="15" t="s">
        <v>7136</v>
      </c>
      <c r="AZ244" s="15" t="s">
        <v>5287</v>
      </c>
      <c r="BA244" s="15" t="s">
        <v>8637</v>
      </c>
      <c r="BB244" s="15" t="s">
        <v>6927</v>
      </c>
      <c r="BC244" s="15" t="s">
        <v>8638</v>
      </c>
      <c r="BD244" s="15" t="s">
        <v>2807</v>
      </c>
      <c r="BE244" s="15" t="s">
        <v>8639</v>
      </c>
      <c r="BF244" s="18"/>
      <c r="BG244" s="18"/>
      <c r="BH244" s="15" t="s">
        <v>8640</v>
      </c>
      <c r="BI244" s="15" t="s">
        <v>8641</v>
      </c>
      <c r="BJ244" s="19" t="s">
        <v>8642</v>
      </c>
      <c r="BK244" s="19" t="s">
        <v>8643</v>
      </c>
      <c r="BL244" s="19" t="s">
        <v>8644</v>
      </c>
      <c r="BM244" s="19" t="s">
        <v>8645</v>
      </c>
      <c r="BN244" s="19" t="s">
        <v>8646</v>
      </c>
      <c r="BO244" s="19" t="s">
        <v>8647</v>
      </c>
      <c r="BP244" s="19" t="s">
        <v>8648</v>
      </c>
      <c r="BQ244" s="15" t="s">
        <v>1193</v>
      </c>
      <c r="BR244" s="26"/>
      <c r="BS244" s="26"/>
      <c r="BT244" s="19" t="s">
        <v>8649</v>
      </c>
      <c r="BU244" s="19" t="s">
        <v>8650</v>
      </c>
      <c r="BV244" s="19" t="s">
        <v>8651</v>
      </c>
      <c r="BW244" s="15" t="s">
        <v>8652</v>
      </c>
      <c r="BX244" s="26"/>
      <c r="BY244" s="18" t="str">
        <f t="shared" si="104"/>
        <v>E&amp;TC</v>
      </c>
      <c r="BZ244" s="24" t="str">
        <f t="shared" si="100"/>
        <v>https://drive.google.com/open?id=18Ma25dlgd2zTdB5AVxjRVh7D-VgL8C9Y</v>
      </c>
      <c r="CA244" s="24" t="str">
        <f t="shared" si="101"/>
        <v>https://drive.google.com/open?id=1L0A5VcLSHPhhWzJ77-fhIWAzhVLNkDS8</v>
      </c>
      <c r="CB244" s="15" t="s">
        <v>2821</v>
      </c>
      <c r="CC244" s="15" t="s">
        <v>2821</v>
      </c>
      <c r="CD244" s="25" t="s">
        <v>2909</v>
      </c>
      <c r="CE244" s="18"/>
      <c r="CF244" s="18"/>
      <c r="CG244" s="18"/>
    </row>
    <row r="245" ht="18.75" hidden="1" customHeight="1">
      <c r="A245" s="14">
        <v>44735.56827087963</v>
      </c>
      <c r="B245" s="15" t="s">
        <v>1926</v>
      </c>
      <c r="C245" s="16" t="s">
        <v>8653</v>
      </c>
      <c r="D245" s="15" t="str">
        <f>IFERROR(__xludf.DUMMYFUNCTION("QUERY(TY_ALL_2023_Batch!$A$1:$E$824, ""SELECT E WHERE C='""&amp;B245&amp;""'"", 0)"),"E&amp;TC")</f>
        <v>E&amp;TC</v>
      </c>
      <c r="E245" s="15" t="s">
        <v>8654</v>
      </c>
      <c r="F245" s="15" t="s">
        <v>8655</v>
      </c>
      <c r="G245" s="15" t="s">
        <v>8656</v>
      </c>
      <c r="H245" s="15" t="s">
        <v>2785</v>
      </c>
      <c r="I245" s="17">
        <v>36863.0</v>
      </c>
      <c r="J245" s="15">
        <v>2019.0</v>
      </c>
      <c r="K245" s="15" t="s">
        <v>2786</v>
      </c>
      <c r="L245" s="15" t="s">
        <v>2787</v>
      </c>
      <c r="M245" s="18"/>
      <c r="N245" s="15" t="s">
        <v>8657</v>
      </c>
      <c r="O245" s="15" t="s">
        <v>1926</v>
      </c>
      <c r="P245" s="19" t="s">
        <v>8658</v>
      </c>
      <c r="Q245" s="15">
        <v>7.738182204E9</v>
      </c>
      <c r="R245" s="15">
        <v>7.738182204E9</v>
      </c>
      <c r="S245" s="18"/>
      <c r="T245" s="15" t="s">
        <v>8659</v>
      </c>
      <c r="U245" s="15" t="s">
        <v>8660</v>
      </c>
      <c r="V245" s="15" t="s">
        <v>8661</v>
      </c>
      <c r="W245" s="15" t="s">
        <v>8662</v>
      </c>
      <c r="X245" s="15">
        <v>93.0</v>
      </c>
      <c r="Y245" s="15" t="s">
        <v>2795</v>
      </c>
      <c r="Z245" s="15">
        <v>9.0</v>
      </c>
      <c r="AA245" s="15">
        <v>9.0</v>
      </c>
      <c r="AB245" s="15" t="s">
        <v>2796</v>
      </c>
      <c r="AC245" s="15" t="s">
        <v>2796</v>
      </c>
      <c r="AD245" s="15" t="s">
        <v>2796</v>
      </c>
      <c r="AE245" s="15" t="s">
        <v>2796</v>
      </c>
      <c r="AF245" s="15">
        <v>8.9</v>
      </c>
      <c r="AG245" s="15">
        <v>9.0</v>
      </c>
      <c r="AH245" s="15">
        <v>80.31</v>
      </c>
      <c r="AI245" s="18"/>
      <c r="AJ245" s="15" t="s">
        <v>2787</v>
      </c>
      <c r="AK245" s="15" t="s">
        <v>2787</v>
      </c>
      <c r="AL245" s="15">
        <v>649.0</v>
      </c>
      <c r="AM245" s="15">
        <v>685.0</v>
      </c>
      <c r="AN245" s="15" t="s">
        <v>2797</v>
      </c>
      <c r="AO245" s="18"/>
      <c r="AP245" s="18"/>
      <c r="AQ245" s="15" t="s">
        <v>8663</v>
      </c>
      <c r="AR245" s="15"/>
      <c r="AS245" s="15" t="s">
        <v>5548</v>
      </c>
      <c r="AT245" s="18"/>
      <c r="AU245" s="18"/>
      <c r="AV245" s="15" t="s">
        <v>8664</v>
      </c>
      <c r="AW245" s="15" t="s">
        <v>8665</v>
      </c>
      <c r="AX245" s="18"/>
      <c r="AY245" s="15" t="s">
        <v>8666</v>
      </c>
      <c r="AZ245" s="15" t="s">
        <v>5335</v>
      </c>
      <c r="BA245" s="15" t="s">
        <v>5552</v>
      </c>
      <c r="BB245" s="15" t="s">
        <v>2807</v>
      </c>
      <c r="BC245" s="15" t="s">
        <v>2926</v>
      </c>
      <c r="BD245" s="15" t="s">
        <v>2807</v>
      </c>
      <c r="BE245" s="15" t="s">
        <v>8667</v>
      </c>
      <c r="BF245" s="18"/>
      <c r="BG245" s="18"/>
      <c r="BH245" s="18"/>
      <c r="BI245" s="18"/>
      <c r="BJ245" s="19" t="s">
        <v>8668</v>
      </c>
      <c r="BK245" s="19" t="s">
        <v>8669</v>
      </c>
      <c r="BL245" s="19" t="s">
        <v>8670</v>
      </c>
      <c r="BM245" s="19" t="s">
        <v>8671</v>
      </c>
      <c r="BN245" s="19" t="s">
        <v>8672</v>
      </c>
      <c r="BO245" s="19" t="s">
        <v>8673</v>
      </c>
      <c r="BP245" s="18"/>
      <c r="BQ245" s="15" t="s">
        <v>1193</v>
      </c>
      <c r="BR245" s="26"/>
      <c r="BS245" s="26"/>
      <c r="BT245" s="26"/>
      <c r="BU245" s="26"/>
      <c r="BV245" s="26"/>
      <c r="BW245" s="26"/>
      <c r="BX245" s="26"/>
      <c r="BY245" s="18" t="str">
        <f t="shared" si="104"/>
        <v>E&amp;TC</v>
      </c>
      <c r="BZ245" s="24" t="str">
        <f t="shared" si="100"/>
        <v>https://drive.google.com/open?id=1jZ8uw_o3VakHp6GFQKdVD4tWNKBxSC-v</v>
      </c>
      <c r="CA245" s="24" t="str">
        <f t="shared" si="101"/>
        <v>https://drive.google.com/open?id=1o4etIlm6a_PnfJ7E0Ix42zXf_zXMml30</v>
      </c>
      <c r="CB245" s="15" t="s">
        <v>2821</v>
      </c>
      <c r="CC245" s="15" t="s">
        <v>2821</v>
      </c>
      <c r="CD245" s="25" t="s">
        <v>2797</v>
      </c>
      <c r="CE245" s="18"/>
      <c r="CF245" s="18"/>
      <c r="CG245" s="18"/>
    </row>
    <row r="246" ht="18.75" hidden="1" customHeight="1">
      <c r="A246" s="14">
        <v>44735.44595487269</v>
      </c>
      <c r="B246" s="15" t="s">
        <v>1914</v>
      </c>
      <c r="C246" s="16" t="s">
        <v>8674</v>
      </c>
      <c r="D246" s="15" t="str">
        <f>IFERROR(__xludf.DUMMYFUNCTION("QUERY(TY_ALL_2023_Batch!$A$1:$E$824, ""SELECT E WHERE C='""&amp;B246&amp;""'"", 0)"),"E&amp;TC")</f>
        <v>E&amp;TC</v>
      </c>
      <c r="E246" s="15" t="s">
        <v>8675</v>
      </c>
      <c r="F246" s="18"/>
      <c r="G246" s="15" t="s">
        <v>3166</v>
      </c>
      <c r="H246" s="15" t="s">
        <v>2785</v>
      </c>
      <c r="I246" s="17">
        <v>37214.0</v>
      </c>
      <c r="J246" s="15">
        <v>2019.0</v>
      </c>
      <c r="K246" s="15" t="s">
        <v>2786</v>
      </c>
      <c r="L246" s="15" t="s">
        <v>2787</v>
      </c>
      <c r="M246" s="18"/>
      <c r="N246" s="15" t="s">
        <v>8676</v>
      </c>
      <c r="O246" s="15" t="s">
        <v>1914</v>
      </c>
      <c r="P246" s="19" t="s">
        <v>8677</v>
      </c>
      <c r="Q246" s="15">
        <v>8.789658484E9</v>
      </c>
      <c r="R246" s="15">
        <v>8.789658484E9</v>
      </c>
      <c r="S246" s="18"/>
      <c r="T246" s="15" t="s">
        <v>8678</v>
      </c>
      <c r="U246" s="15" t="s">
        <v>8679</v>
      </c>
      <c r="V246" s="15" t="s">
        <v>8680</v>
      </c>
      <c r="W246" s="15" t="s">
        <v>8681</v>
      </c>
      <c r="X246" s="15">
        <v>89.6</v>
      </c>
      <c r="Y246" s="15" t="s">
        <v>2795</v>
      </c>
      <c r="Z246" s="15">
        <v>9.48</v>
      </c>
      <c r="AA246" s="15">
        <v>8.8</v>
      </c>
      <c r="AB246" s="15" t="s">
        <v>2796</v>
      </c>
      <c r="AC246" s="15" t="s">
        <v>2796</v>
      </c>
      <c r="AD246" s="15" t="s">
        <v>2796</v>
      </c>
      <c r="AE246" s="15" t="s">
        <v>2796</v>
      </c>
      <c r="AF246" s="15">
        <v>9.47</v>
      </c>
      <c r="AG246" s="15">
        <v>8.76</v>
      </c>
      <c r="AH246" s="15">
        <v>92.6</v>
      </c>
      <c r="AI246" s="18"/>
      <c r="AJ246" s="15" t="s">
        <v>2787</v>
      </c>
      <c r="AK246" s="15" t="s">
        <v>2787</v>
      </c>
      <c r="AL246" s="15">
        <v>645.0</v>
      </c>
      <c r="AM246" s="15">
        <v>675.0</v>
      </c>
      <c r="AN246" s="15" t="s">
        <v>2797</v>
      </c>
      <c r="AO246" s="18"/>
      <c r="AP246" s="18"/>
      <c r="AQ246" s="15" t="s">
        <v>8682</v>
      </c>
      <c r="AR246" s="18"/>
      <c r="AS246" s="15" t="s">
        <v>5356</v>
      </c>
      <c r="AT246" s="18"/>
      <c r="AU246" s="15" t="s">
        <v>8683</v>
      </c>
      <c r="AV246" s="15" t="s">
        <v>8684</v>
      </c>
      <c r="AW246" s="15" t="s">
        <v>8685</v>
      </c>
      <c r="AX246" s="18"/>
      <c r="AY246" s="15" t="s">
        <v>8686</v>
      </c>
      <c r="AZ246" s="15" t="s">
        <v>5287</v>
      </c>
      <c r="BA246" s="15" t="s">
        <v>2806</v>
      </c>
      <c r="BB246" s="15" t="s">
        <v>2807</v>
      </c>
      <c r="BC246" s="15" t="s">
        <v>8336</v>
      </c>
      <c r="BD246" s="15" t="s">
        <v>2807</v>
      </c>
      <c r="BE246" s="15" t="s">
        <v>8687</v>
      </c>
      <c r="BF246" s="18"/>
      <c r="BG246" s="18"/>
      <c r="BH246" s="18"/>
      <c r="BI246" s="15" t="s">
        <v>8688</v>
      </c>
      <c r="BJ246" s="19" t="s">
        <v>8689</v>
      </c>
      <c r="BK246" s="19" t="s">
        <v>8690</v>
      </c>
      <c r="BL246" s="19" t="s">
        <v>8691</v>
      </c>
      <c r="BM246" s="19" t="s">
        <v>8692</v>
      </c>
      <c r="BN246" s="19" t="s">
        <v>8693</v>
      </c>
      <c r="BO246" s="19" t="s">
        <v>8694</v>
      </c>
      <c r="BP246" s="19" t="s">
        <v>8695</v>
      </c>
      <c r="BQ246" s="15" t="s">
        <v>1193</v>
      </c>
      <c r="BR246" s="26"/>
      <c r="BS246" s="26"/>
      <c r="BT246" s="26"/>
      <c r="BU246" s="26"/>
      <c r="BV246" s="26"/>
      <c r="BW246" s="26"/>
      <c r="BX246" s="26"/>
      <c r="BY246" s="18" t="str">
        <f t="shared" si="104"/>
        <v>E&amp;TC</v>
      </c>
      <c r="BZ246" s="24" t="str">
        <f t="shared" si="100"/>
        <v>https://drive.google.com/open?id=1sgXl71WGOvAlLiwhpo5RZ45fgolR7zh7</v>
      </c>
      <c r="CA246" s="24" t="str">
        <f t="shared" si="101"/>
        <v>https://drive.google.com/open?id=1PadVKFmMI2sVo6OUAzoLZZ9FLZNoiazl</v>
      </c>
      <c r="CB246" s="15" t="s">
        <v>2821</v>
      </c>
      <c r="CC246" s="15" t="s">
        <v>2821</v>
      </c>
      <c r="CD246" s="25" t="s">
        <v>2797</v>
      </c>
      <c r="CE246" s="18"/>
      <c r="CF246" s="18"/>
      <c r="CG246" s="18"/>
    </row>
    <row r="247" hidden="1">
      <c r="A247" s="14">
        <v>44734.78354309028</v>
      </c>
      <c r="B247" s="15" t="s">
        <v>2022</v>
      </c>
      <c r="C247" s="16" t="s">
        <v>8696</v>
      </c>
      <c r="D247" s="15" t="str">
        <f>IFERROR(__xludf.DUMMYFUNCTION("QUERY(TY_ALL_2023_Batch!$A$1:$E$824, ""SELECT E WHERE C='""&amp;B247&amp;""'"", 0)"),"E&amp;TC")</f>
        <v>E&amp;TC</v>
      </c>
      <c r="E247" s="15" t="s">
        <v>7249</v>
      </c>
      <c r="F247" s="15" t="s">
        <v>8697</v>
      </c>
      <c r="G247" s="15" t="s">
        <v>8698</v>
      </c>
      <c r="H247" s="15" t="s">
        <v>2785</v>
      </c>
      <c r="I247" s="17">
        <v>37029.0</v>
      </c>
      <c r="J247" s="15">
        <v>2019.0</v>
      </c>
      <c r="K247" s="15" t="s">
        <v>2786</v>
      </c>
      <c r="L247" s="15" t="s">
        <v>2787</v>
      </c>
      <c r="M247" s="18"/>
      <c r="N247" s="15" t="s">
        <v>8699</v>
      </c>
      <c r="O247" s="15" t="s">
        <v>2022</v>
      </c>
      <c r="P247" s="19" t="s">
        <v>8700</v>
      </c>
      <c r="Q247" s="15">
        <v>7.276884753E9</v>
      </c>
      <c r="R247" s="15">
        <v>7.276884753E9</v>
      </c>
      <c r="S247" s="15">
        <v>7.972087468E9</v>
      </c>
      <c r="T247" s="15" t="s">
        <v>8697</v>
      </c>
      <c r="U247" s="15" t="s">
        <v>8701</v>
      </c>
      <c r="V247" s="15" t="s">
        <v>8702</v>
      </c>
      <c r="W247" s="18"/>
      <c r="X247" s="15">
        <v>93.6</v>
      </c>
      <c r="Y247" s="15" t="s">
        <v>2795</v>
      </c>
      <c r="Z247" s="15">
        <v>9.24</v>
      </c>
      <c r="AA247" s="15">
        <v>9.35</v>
      </c>
      <c r="AB247" s="15" t="s">
        <v>2796</v>
      </c>
      <c r="AC247" s="15" t="s">
        <v>2796</v>
      </c>
      <c r="AD247" s="15" t="s">
        <v>2796</v>
      </c>
      <c r="AE247" s="15" t="s">
        <v>2796</v>
      </c>
      <c r="AF247" s="15">
        <v>9.26</v>
      </c>
      <c r="AG247" s="15">
        <v>9.48</v>
      </c>
      <c r="AH247" s="15">
        <v>84.77</v>
      </c>
      <c r="AI247" s="18"/>
      <c r="AJ247" s="15" t="s">
        <v>2787</v>
      </c>
      <c r="AK247" s="15" t="s">
        <v>2787</v>
      </c>
      <c r="AL247" s="18"/>
      <c r="AM247" s="15">
        <v>687.0</v>
      </c>
      <c r="AN247" s="15" t="s">
        <v>2797</v>
      </c>
      <c r="AO247" s="18"/>
      <c r="AP247" s="18"/>
      <c r="AQ247" s="15" t="s">
        <v>8703</v>
      </c>
      <c r="AR247" s="18"/>
      <c r="AS247" s="15" t="s">
        <v>8704</v>
      </c>
      <c r="AT247" s="18"/>
      <c r="AU247" s="15" t="s">
        <v>8705</v>
      </c>
      <c r="AV247" s="15" t="s">
        <v>8706</v>
      </c>
      <c r="AW247" s="15" t="s">
        <v>8707</v>
      </c>
      <c r="AX247" s="18"/>
      <c r="AY247" s="15" t="s">
        <v>8545</v>
      </c>
      <c r="AZ247" s="15" t="s">
        <v>4377</v>
      </c>
      <c r="BA247" s="15" t="s">
        <v>2806</v>
      </c>
      <c r="BB247" s="15" t="s">
        <v>3462</v>
      </c>
      <c r="BC247" s="15" t="s">
        <v>5604</v>
      </c>
      <c r="BD247" s="15" t="s">
        <v>2807</v>
      </c>
      <c r="BE247" s="15" t="s">
        <v>8708</v>
      </c>
      <c r="BF247" s="15" t="s">
        <v>8709</v>
      </c>
      <c r="BG247" s="18"/>
      <c r="BH247" s="15" t="s">
        <v>8704</v>
      </c>
      <c r="BI247" s="18"/>
      <c r="BJ247" s="19" t="s">
        <v>8710</v>
      </c>
      <c r="BK247" s="19" t="s">
        <v>8711</v>
      </c>
      <c r="BL247" s="18"/>
      <c r="BM247" s="18"/>
      <c r="BN247" s="19" t="s">
        <v>8712</v>
      </c>
      <c r="BO247" s="19" t="s">
        <v>8713</v>
      </c>
      <c r="BP247" s="18"/>
      <c r="BQ247" s="15" t="s">
        <v>1193</v>
      </c>
      <c r="BR247" s="26"/>
      <c r="BS247" s="26"/>
      <c r="BT247" s="26"/>
      <c r="BU247" s="26"/>
      <c r="BV247" s="26"/>
      <c r="BW247" s="26"/>
      <c r="BX247" s="26"/>
      <c r="BY247" s="18" t="str">
        <f t="shared" si="104"/>
        <v>E&amp;TC</v>
      </c>
      <c r="BZ247" s="18" t="str">
        <f t="shared" si="100"/>
        <v/>
      </c>
      <c r="CA247" s="18" t="str">
        <f t="shared" si="101"/>
        <v/>
      </c>
      <c r="CB247" s="15" t="s">
        <v>2908</v>
      </c>
      <c r="CC247" s="15" t="s">
        <v>2908</v>
      </c>
      <c r="CD247" s="25" t="s">
        <v>2797</v>
      </c>
      <c r="CE247" s="18"/>
      <c r="CF247" s="18"/>
      <c r="CG247" s="18"/>
    </row>
    <row r="248" ht="18.75" hidden="1" customHeight="1">
      <c r="A248" s="14">
        <v>44741.836039409725</v>
      </c>
      <c r="B248" s="15" t="s">
        <v>1698</v>
      </c>
      <c r="C248" s="16" t="s">
        <v>8714</v>
      </c>
      <c r="D248" s="15" t="str">
        <f>IFERROR(__xludf.DUMMYFUNCTION("QUERY(TY_ALL_2023_Batch!$A$1:$E$824, ""SELECT E WHERE C='""&amp;B248&amp;""'"", 0)"),"E&amp;TC")</f>
        <v>E&amp;TC</v>
      </c>
      <c r="E248" s="15" t="s">
        <v>8715</v>
      </c>
      <c r="F248" s="18"/>
      <c r="G248" s="15" t="s">
        <v>6246</v>
      </c>
      <c r="H248" s="15" t="s">
        <v>2785</v>
      </c>
      <c r="I248" s="17">
        <v>36984.0</v>
      </c>
      <c r="J248" s="15">
        <v>2019.0</v>
      </c>
      <c r="K248" s="15" t="s">
        <v>2786</v>
      </c>
      <c r="L248" s="15" t="s">
        <v>2787</v>
      </c>
      <c r="M248" s="18"/>
      <c r="N248" s="15" t="s">
        <v>8716</v>
      </c>
      <c r="O248" s="15" t="s">
        <v>1698</v>
      </c>
      <c r="P248" s="19" t="s">
        <v>8717</v>
      </c>
      <c r="Q248" s="15">
        <v>9.552710616E9</v>
      </c>
      <c r="R248" s="15">
        <v>9.552710616E9</v>
      </c>
      <c r="S248" s="15">
        <v>7.972038728E9</v>
      </c>
      <c r="T248" s="15" t="s">
        <v>8718</v>
      </c>
      <c r="U248" s="15" t="s">
        <v>8719</v>
      </c>
      <c r="V248" s="15" t="s">
        <v>8720</v>
      </c>
      <c r="W248" s="15" t="s">
        <v>8721</v>
      </c>
      <c r="X248" s="15">
        <v>83.6</v>
      </c>
      <c r="Y248" s="15" t="s">
        <v>2795</v>
      </c>
      <c r="Z248" s="15">
        <v>8.67</v>
      </c>
      <c r="AA248" s="15">
        <v>8.7</v>
      </c>
      <c r="AB248" s="15" t="s">
        <v>2796</v>
      </c>
      <c r="AC248" s="15" t="s">
        <v>2796</v>
      </c>
      <c r="AD248" s="15" t="s">
        <v>2796</v>
      </c>
      <c r="AE248" s="15" t="s">
        <v>2796</v>
      </c>
      <c r="AF248" s="15">
        <v>8.11</v>
      </c>
      <c r="AG248" s="15">
        <v>8.0</v>
      </c>
      <c r="AH248" s="15">
        <v>76.6</v>
      </c>
      <c r="AI248" s="18"/>
      <c r="AJ248" s="15" t="s">
        <v>2787</v>
      </c>
      <c r="AK248" s="15" t="s">
        <v>2787</v>
      </c>
      <c r="AL248" s="15">
        <v>636.6</v>
      </c>
      <c r="AM248" s="15">
        <v>566.6</v>
      </c>
      <c r="AN248" s="15" t="s">
        <v>2797</v>
      </c>
      <c r="AO248" s="15" t="s">
        <v>2796</v>
      </c>
      <c r="AP248" s="15"/>
      <c r="AQ248" s="15" t="s">
        <v>8722</v>
      </c>
      <c r="AR248" s="18"/>
      <c r="AS248" s="18"/>
      <c r="AT248" s="18"/>
      <c r="AU248" s="15" t="s">
        <v>8723</v>
      </c>
      <c r="AV248" s="15" t="s">
        <v>8724</v>
      </c>
      <c r="AW248" s="15" t="s">
        <v>8725</v>
      </c>
      <c r="AX248" s="18"/>
      <c r="AY248" s="15" t="s">
        <v>8726</v>
      </c>
      <c r="AZ248" s="15" t="s">
        <v>5625</v>
      </c>
      <c r="BA248" s="15" t="s">
        <v>2839</v>
      </c>
      <c r="BB248" s="15" t="s">
        <v>2807</v>
      </c>
      <c r="BC248" s="15" t="s">
        <v>4746</v>
      </c>
      <c r="BD248" s="15" t="s">
        <v>2807</v>
      </c>
      <c r="BE248" s="15" t="s">
        <v>8727</v>
      </c>
      <c r="BF248" s="18"/>
      <c r="BG248" s="18"/>
      <c r="BH248" s="15" t="s">
        <v>8728</v>
      </c>
      <c r="BI248" s="15" t="s">
        <v>8729</v>
      </c>
      <c r="BJ248" s="19" t="s">
        <v>8730</v>
      </c>
      <c r="BK248" s="19" t="s">
        <v>8731</v>
      </c>
      <c r="BL248" s="19" t="s">
        <v>8732</v>
      </c>
      <c r="BM248" s="19" t="s">
        <v>8733</v>
      </c>
      <c r="BN248" s="19" t="s">
        <v>8734</v>
      </c>
      <c r="BO248" s="19" t="s">
        <v>8735</v>
      </c>
      <c r="BP248" s="19" t="s">
        <v>8736</v>
      </c>
      <c r="BQ248" s="15" t="s">
        <v>1193</v>
      </c>
      <c r="BR248" s="26"/>
      <c r="BS248" s="26"/>
      <c r="BT248" s="26"/>
      <c r="BU248" s="26"/>
      <c r="BV248" s="26"/>
      <c r="BW248" s="15" t="s">
        <v>8737</v>
      </c>
      <c r="BX248" s="26"/>
      <c r="BY248" s="18" t="str">
        <f t="shared" si="104"/>
        <v>E&amp;TC</v>
      </c>
      <c r="BZ248" s="24" t="str">
        <f t="shared" si="100"/>
        <v>https://drive.google.com/open?id=1znfvSsThOJ2WxTBnQybBOGoTqkMyH4-3</v>
      </c>
      <c r="CA248" s="24" t="str">
        <f t="shared" si="101"/>
        <v>https://drive.google.com/open?id=1TJtFXLcePxXdRrmSnCSzxjKKdoyF1fVX</v>
      </c>
      <c r="CB248" s="15" t="s">
        <v>2821</v>
      </c>
      <c r="CC248" s="15" t="s">
        <v>2821</v>
      </c>
      <c r="CD248" s="25" t="s">
        <v>2797</v>
      </c>
      <c r="CE248" s="18"/>
      <c r="CF248" s="18"/>
      <c r="CG248" s="18"/>
    </row>
    <row r="249" ht="18.75" hidden="1" customHeight="1">
      <c r="A249" s="14">
        <v>44737.6837852662</v>
      </c>
      <c r="B249" s="15" t="s">
        <v>1213</v>
      </c>
      <c r="C249" s="16" t="s">
        <v>8738</v>
      </c>
      <c r="D249" s="15" t="str">
        <f>IFERROR(__xludf.DUMMYFUNCTION("QUERY(TY_ALL_2023_Batch!$A$1:$E$824, ""SELECT E WHERE C='""&amp;B249&amp;""'"", 0)"),"E&amp;TC")</f>
        <v>E&amp;TC</v>
      </c>
      <c r="E249" s="15" t="s">
        <v>8739</v>
      </c>
      <c r="F249" s="15" t="s">
        <v>2939</v>
      </c>
      <c r="G249" s="15" t="s">
        <v>8740</v>
      </c>
      <c r="H249" s="15" t="s">
        <v>2785</v>
      </c>
      <c r="I249" s="17">
        <v>37394.0</v>
      </c>
      <c r="J249" s="15">
        <v>2020.0</v>
      </c>
      <c r="K249" s="15" t="s">
        <v>2941</v>
      </c>
      <c r="L249" s="15" t="s">
        <v>2787</v>
      </c>
      <c r="M249" s="18"/>
      <c r="N249" s="15" t="s">
        <v>8741</v>
      </c>
      <c r="O249" s="15" t="s">
        <v>1213</v>
      </c>
      <c r="P249" s="19" t="s">
        <v>8742</v>
      </c>
      <c r="Q249" s="15">
        <v>7.264089301E9</v>
      </c>
      <c r="R249" s="15">
        <v>7.264089301E9</v>
      </c>
      <c r="S249" s="15">
        <v>7.264089301E9</v>
      </c>
      <c r="T249" s="15" t="s">
        <v>2939</v>
      </c>
      <c r="U249" s="15" t="s">
        <v>3083</v>
      </c>
      <c r="V249" s="15" t="s">
        <v>8743</v>
      </c>
      <c r="W249" s="15" t="s">
        <v>8744</v>
      </c>
      <c r="X249" s="15">
        <v>86.8</v>
      </c>
      <c r="Y249" s="15" t="s">
        <v>2948</v>
      </c>
      <c r="Z249" s="15">
        <v>9.0</v>
      </c>
      <c r="AA249" s="15">
        <v>8.79</v>
      </c>
      <c r="AB249" s="15" t="s">
        <v>2796</v>
      </c>
      <c r="AC249" s="15" t="s">
        <v>2796</v>
      </c>
      <c r="AD249" s="15" t="s">
        <v>2796</v>
      </c>
      <c r="AE249" s="15" t="s">
        <v>2796</v>
      </c>
      <c r="AF249" s="18"/>
      <c r="AG249" s="18"/>
      <c r="AH249" s="18"/>
      <c r="AI249" s="15">
        <v>83.56</v>
      </c>
      <c r="AJ249" s="15" t="s">
        <v>2787</v>
      </c>
      <c r="AK249" s="15" t="s">
        <v>2787</v>
      </c>
      <c r="AL249" s="15">
        <v>568.0</v>
      </c>
      <c r="AM249" s="15">
        <v>600.0</v>
      </c>
      <c r="AN249" s="15" t="s">
        <v>2797</v>
      </c>
      <c r="AO249" s="18"/>
      <c r="AP249" s="18"/>
      <c r="AQ249" s="15" t="s">
        <v>8745</v>
      </c>
      <c r="AR249" s="15" t="s">
        <v>8746</v>
      </c>
      <c r="AS249" s="18"/>
      <c r="AT249" s="18"/>
      <c r="AU249" s="15" t="s">
        <v>2796</v>
      </c>
      <c r="AV249" s="15" t="s">
        <v>8747</v>
      </c>
      <c r="AW249" s="15" t="s">
        <v>8748</v>
      </c>
      <c r="AX249" s="18"/>
      <c r="AY249" s="15" t="s">
        <v>8749</v>
      </c>
      <c r="AZ249" s="15" t="s">
        <v>5287</v>
      </c>
      <c r="BA249" s="15" t="s">
        <v>8750</v>
      </c>
      <c r="BB249" s="15" t="s">
        <v>2807</v>
      </c>
      <c r="BC249" s="15" t="s">
        <v>8295</v>
      </c>
      <c r="BD249" s="15" t="s">
        <v>2807</v>
      </c>
      <c r="BE249" s="15" t="s">
        <v>8751</v>
      </c>
      <c r="BF249" s="15" t="s">
        <v>8752</v>
      </c>
      <c r="BG249" s="18"/>
      <c r="BH249" s="18"/>
      <c r="BI249" s="15" t="s">
        <v>8753</v>
      </c>
      <c r="BJ249" s="19" t="s">
        <v>8754</v>
      </c>
      <c r="BK249" s="19" t="s">
        <v>8755</v>
      </c>
      <c r="BL249" s="19" t="s">
        <v>8756</v>
      </c>
      <c r="BM249" s="19" t="s">
        <v>8757</v>
      </c>
      <c r="BN249" s="28" t="s">
        <v>2931</v>
      </c>
      <c r="BO249" s="19" t="s">
        <v>8758</v>
      </c>
      <c r="BP249" s="18"/>
      <c r="BQ249" s="15" t="s">
        <v>1193</v>
      </c>
      <c r="BR249" s="18"/>
      <c r="BS249" s="18"/>
      <c r="BT249" s="18"/>
      <c r="BU249" s="18"/>
      <c r="BV249" s="18"/>
      <c r="BW249" s="15" t="s">
        <v>8759</v>
      </c>
      <c r="BX249" s="18"/>
      <c r="BY249" s="18" t="str">
        <f t="shared" si="104"/>
        <v>E&amp;TC</v>
      </c>
      <c r="BZ249" s="24" t="str">
        <f t="shared" si="100"/>
        <v>https://drive.google.com/open?id=1jzL_He5vxng2XvukxV5Ac_c7yLrn53Ln</v>
      </c>
      <c r="CA249" s="24" t="str">
        <f t="shared" si="101"/>
        <v>https://drive.google.com/open?id=1yGxmi9aUX0TouCCOkh1tvrqMZjoUxvMz</v>
      </c>
      <c r="CB249" s="15" t="s">
        <v>2821</v>
      </c>
      <c r="CC249" s="15" t="s">
        <v>2821</v>
      </c>
      <c r="CD249" s="25" t="s">
        <v>2797</v>
      </c>
      <c r="CE249" s="18"/>
      <c r="CF249" s="18"/>
      <c r="CG249" s="18"/>
    </row>
    <row r="250" ht="18.75" hidden="1" customHeight="1">
      <c r="A250" s="14">
        <v>44738.97727131944</v>
      </c>
      <c r="B250" s="15" t="s">
        <v>1866</v>
      </c>
      <c r="C250" s="16" t="s">
        <v>8760</v>
      </c>
      <c r="D250" s="15" t="str">
        <f>IFERROR(__xludf.DUMMYFUNCTION("QUERY(TY_ALL_2023_Batch!$A$1:$E$824, ""SELECT E WHERE C='""&amp;B250&amp;""'"", 0)"),"E&amp;TC")</f>
        <v>E&amp;TC</v>
      </c>
      <c r="E250" s="15" t="s">
        <v>3924</v>
      </c>
      <c r="F250" s="15" t="s">
        <v>8761</v>
      </c>
      <c r="G250" s="15" t="s">
        <v>5566</v>
      </c>
      <c r="H250" s="15" t="s">
        <v>2785</v>
      </c>
      <c r="I250" s="17">
        <v>37026.0</v>
      </c>
      <c r="J250" s="15">
        <v>2019.0</v>
      </c>
      <c r="K250" s="15" t="s">
        <v>2786</v>
      </c>
      <c r="L250" s="15" t="s">
        <v>2787</v>
      </c>
      <c r="M250" s="18"/>
      <c r="N250" s="15" t="s">
        <v>8762</v>
      </c>
      <c r="O250" s="15" t="s">
        <v>1866</v>
      </c>
      <c r="P250" s="19" t="s">
        <v>8763</v>
      </c>
      <c r="Q250" s="15">
        <v>8.668806096E9</v>
      </c>
      <c r="R250" s="15">
        <v>8.668806096E9</v>
      </c>
      <c r="S250" s="15"/>
      <c r="T250" s="15" t="s">
        <v>8764</v>
      </c>
      <c r="U250" s="15" t="s">
        <v>8765</v>
      </c>
      <c r="V250" s="15" t="s">
        <v>8766</v>
      </c>
      <c r="W250" s="18"/>
      <c r="X250" s="15">
        <v>72.0</v>
      </c>
      <c r="Y250" s="15" t="s">
        <v>2795</v>
      </c>
      <c r="Z250" s="15">
        <v>7.95</v>
      </c>
      <c r="AA250" s="15">
        <v>8.75</v>
      </c>
      <c r="AB250" s="15" t="s">
        <v>2796</v>
      </c>
      <c r="AC250" s="15" t="s">
        <v>2796</v>
      </c>
      <c r="AD250" s="15" t="s">
        <v>2796</v>
      </c>
      <c r="AE250" s="15" t="s">
        <v>2796</v>
      </c>
      <c r="AF250" s="15">
        <v>7.58</v>
      </c>
      <c r="AG250" s="15">
        <v>7.67</v>
      </c>
      <c r="AH250" s="15">
        <v>55.0</v>
      </c>
      <c r="AI250" s="18"/>
      <c r="AJ250" s="15" t="s">
        <v>2787</v>
      </c>
      <c r="AK250" s="15" t="s">
        <v>2787</v>
      </c>
      <c r="AL250" s="15">
        <v>605.0</v>
      </c>
      <c r="AM250" s="15">
        <v>485.0</v>
      </c>
      <c r="AN250" s="15" t="s">
        <v>2797</v>
      </c>
      <c r="AO250" s="18"/>
      <c r="AP250" s="18"/>
      <c r="AQ250" s="15" t="s">
        <v>8767</v>
      </c>
      <c r="AR250" s="15" t="s">
        <v>8768</v>
      </c>
      <c r="AS250" s="18"/>
      <c r="AT250" s="18"/>
      <c r="AU250" s="15" t="s">
        <v>8769</v>
      </c>
      <c r="AV250" s="15" t="s">
        <v>8770</v>
      </c>
      <c r="AW250" s="15" t="s">
        <v>8771</v>
      </c>
      <c r="AX250" s="18"/>
      <c r="AY250" s="15" t="s">
        <v>8772</v>
      </c>
      <c r="AZ250" s="15" t="s">
        <v>5625</v>
      </c>
      <c r="BA250" s="15" t="s">
        <v>2839</v>
      </c>
      <c r="BB250" s="15" t="s">
        <v>8773</v>
      </c>
      <c r="BC250" s="15" t="s">
        <v>8774</v>
      </c>
      <c r="BD250" s="15" t="s">
        <v>2807</v>
      </c>
      <c r="BE250" s="15" t="s">
        <v>2796</v>
      </c>
      <c r="BF250" s="18"/>
      <c r="BG250" s="18"/>
      <c r="BH250" s="18"/>
      <c r="BI250" s="15" t="s">
        <v>8775</v>
      </c>
      <c r="BJ250" s="19" t="s">
        <v>8776</v>
      </c>
      <c r="BK250" s="19" t="s">
        <v>8777</v>
      </c>
      <c r="BL250" s="19" t="s">
        <v>8778</v>
      </c>
      <c r="BM250" s="19" t="s">
        <v>8779</v>
      </c>
      <c r="BN250" s="18"/>
      <c r="BO250" s="19" t="s">
        <v>8780</v>
      </c>
      <c r="BP250" s="18"/>
      <c r="BQ250" s="15" t="s">
        <v>1193</v>
      </c>
      <c r="BR250" s="18"/>
      <c r="BS250" s="18"/>
      <c r="BT250" s="19" t="s">
        <v>8781</v>
      </c>
      <c r="BU250" s="18"/>
      <c r="BV250" s="18"/>
      <c r="BW250" s="15" t="s">
        <v>8782</v>
      </c>
      <c r="BX250" s="18"/>
      <c r="BY250" s="18" t="str">
        <f t="shared" si="104"/>
        <v>E&amp;TC</v>
      </c>
      <c r="BZ250" s="24" t="str">
        <f t="shared" si="100"/>
        <v>https://drive.google.com/open?id=1BIn8TeO-9-ThZUcPdzTOqgNJITfi0X1I</v>
      </c>
      <c r="CA250" s="24" t="str">
        <f t="shared" si="101"/>
        <v>https://drive.google.com/open?id=1aTc78zp-tvPu0HnI48O46BRGIj7XaCfp</v>
      </c>
      <c r="CB250" s="15" t="s">
        <v>2821</v>
      </c>
      <c r="CC250" s="15" t="s">
        <v>2821</v>
      </c>
      <c r="CD250" s="25" t="s">
        <v>2909</v>
      </c>
      <c r="CE250" s="18"/>
      <c r="CF250" s="18"/>
      <c r="CG250" s="18"/>
    </row>
    <row r="251" ht="18.75" hidden="1" customHeight="1">
      <c r="A251" s="14">
        <v>44736.45493978009</v>
      </c>
      <c r="B251" s="15" t="s">
        <v>1794</v>
      </c>
      <c r="C251" s="16" t="s">
        <v>8783</v>
      </c>
      <c r="D251" s="15" t="str">
        <f>IFERROR(__xludf.DUMMYFUNCTION("QUERY(TY_ALL_2023_Batch!$A$1:$E$824, ""SELECT E WHERE C='""&amp;B251&amp;""'"", 0)"),"E&amp;TC")</f>
        <v>E&amp;TC</v>
      </c>
      <c r="E251" s="15" t="s">
        <v>4447</v>
      </c>
      <c r="F251" s="15" t="s">
        <v>6015</v>
      </c>
      <c r="G251" s="15" t="s">
        <v>2784</v>
      </c>
      <c r="H251" s="15" t="s">
        <v>2785</v>
      </c>
      <c r="I251" s="17">
        <v>36956.0</v>
      </c>
      <c r="J251" s="15">
        <v>2019.0</v>
      </c>
      <c r="K251" s="15" t="s">
        <v>2786</v>
      </c>
      <c r="L251" s="15" t="s">
        <v>2787</v>
      </c>
      <c r="M251" s="18"/>
      <c r="N251" s="15" t="s">
        <v>8784</v>
      </c>
      <c r="O251" s="15" t="s">
        <v>1794</v>
      </c>
      <c r="P251" s="19" t="s">
        <v>8785</v>
      </c>
      <c r="Q251" s="15">
        <v>9.307585107E9</v>
      </c>
      <c r="R251" s="15">
        <v>9.307585107E9</v>
      </c>
      <c r="S251" s="15">
        <v>7.057923748E9</v>
      </c>
      <c r="T251" s="15" t="s">
        <v>6015</v>
      </c>
      <c r="U251" s="15" t="s">
        <v>4717</v>
      </c>
      <c r="V251" s="15" t="s">
        <v>8786</v>
      </c>
      <c r="W251" s="15" t="s">
        <v>8787</v>
      </c>
      <c r="X251" s="15">
        <v>90.0</v>
      </c>
      <c r="Y251" s="15" t="s">
        <v>2795</v>
      </c>
      <c r="Z251" s="15">
        <v>8.9</v>
      </c>
      <c r="AA251" s="15">
        <v>8.2</v>
      </c>
      <c r="AB251" s="15" t="s">
        <v>2796</v>
      </c>
      <c r="AC251" s="15" t="s">
        <v>2796</v>
      </c>
      <c r="AD251" s="15" t="s">
        <v>2796</v>
      </c>
      <c r="AE251" s="15" t="s">
        <v>2796</v>
      </c>
      <c r="AF251" s="15">
        <v>8.43</v>
      </c>
      <c r="AG251" s="15">
        <v>7.68</v>
      </c>
      <c r="AH251" s="15">
        <v>79.69</v>
      </c>
      <c r="AI251" s="18"/>
      <c r="AJ251" s="15" t="s">
        <v>2787</v>
      </c>
      <c r="AK251" s="15" t="s">
        <v>2787</v>
      </c>
      <c r="AL251" s="15">
        <v>55.33</v>
      </c>
      <c r="AM251" s="15">
        <v>67.0</v>
      </c>
      <c r="AN251" s="15" t="s">
        <v>2797</v>
      </c>
      <c r="AO251" s="18"/>
      <c r="AP251" s="18"/>
      <c r="AQ251" s="15" t="s">
        <v>8788</v>
      </c>
      <c r="AR251" s="18"/>
      <c r="AS251" s="18"/>
      <c r="AT251" s="18"/>
      <c r="AU251" s="15" t="s">
        <v>8789</v>
      </c>
      <c r="AV251" s="15" t="s">
        <v>8790</v>
      </c>
      <c r="AW251" s="15" t="s">
        <v>8791</v>
      </c>
      <c r="AX251" s="15" t="s">
        <v>2796</v>
      </c>
      <c r="AY251" s="15" t="s">
        <v>8792</v>
      </c>
      <c r="AZ251" s="15" t="s">
        <v>4670</v>
      </c>
      <c r="BA251" s="15" t="s">
        <v>2839</v>
      </c>
      <c r="BB251" s="15" t="s">
        <v>2807</v>
      </c>
      <c r="BC251" s="15" t="s">
        <v>4746</v>
      </c>
      <c r="BD251" s="15" t="s">
        <v>2807</v>
      </c>
      <c r="BE251" s="15" t="s">
        <v>2796</v>
      </c>
      <c r="BF251" s="18"/>
      <c r="BG251" s="18"/>
      <c r="BH251" s="18"/>
      <c r="BI251" s="18"/>
      <c r="BJ251" s="19" t="s">
        <v>8793</v>
      </c>
      <c r="BK251" s="19" t="s">
        <v>8794</v>
      </c>
      <c r="BL251" s="19" t="s">
        <v>8795</v>
      </c>
      <c r="BM251" s="19" t="s">
        <v>8796</v>
      </c>
      <c r="BN251" s="19" t="s">
        <v>8797</v>
      </c>
      <c r="BO251" s="19" t="s">
        <v>8798</v>
      </c>
      <c r="BP251" s="19" t="s">
        <v>8799</v>
      </c>
      <c r="BQ251" s="15" t="s">
        <v>1193</v>
      </c>
      <c r="BR251" s="26"/>
      <c r="BS251" s="26"/>
      <c r="BT251" s="26"/>
      <c r="BU251" s="26"/>
      <c r="BV251" s="26"/>
      <c r="BW251" s="26"/>
      <c r="BX251" s="26"/>
      <c r="BY251" s="18" t="str">
        <f t="shared" si="104"/>
        <v>E&amp;TC</v>
      </c>
      <c r="BZ251" s="24" t="str">
        <f t="shared" si="100"/>
        <v>https://drive.google.com/open?id=14_awr6TmnpqDis1o4Shk4qEDzzz1CCdO</v>
      </c>
      <c r="CA251" s="24" t="str">
        <f t="shared" si="101"/>
        <v>https://drive.google.com/open?id=1PC9wnEvwf3xO625k-eMEbd2U7fgHR1HT</v>
      </c>
      <c r="CB251" s="15" t="s">
        <v>2821</v>
      </c>
      <c r="CC251" s="15" t="s">
        <v>2821</v>
      </c>
      <c r="CD251" s="25" t="s">
        <v>2797</v>
      </c>
      <c r="CE251" s="18"/>
      <c r="CF251" s="18"/>
      <c r="CG251" s="18"/>
    </row>
    <row r="252" ht="18.75" hidden="1" customHeight="1">
      <c r="A252" s="14">
        <v>44739.46896775463</v>
      </c>
      <c r="B252" s="15" t="s">
        <v>1686</v>
      </c>
      <c r="C252" s="16" t="s">
        <v>8800</v>
      </c>
      <c r="D252" s="15" t="str">
        <f>IFERROR(__xludf.DUMMYFUNCTION("QUERY(TY_ALL_2023_Batch!$A$1:$E$824, ""SELECT E WHERE C='""&amp;B252&amp;""'"", 0)"),"E&amp;TC")</f>
        <v>E&amp;TC</v>
      </c>
      <c r="E252" s="15" t="s">
        <v>8801</v>
      </c>
      <c r="F252" s="15" t="s">
        <v>8802</v>
      </c>
      <c r="G252" s="15" t="s">
        <v>8803</v>
      </c>
      <c r="H252" s="15" t="s">
        <v>2785</v>
      </c>
      <c r="I252" s="17">
        <v>37142.0</v>
      </c>
      <c r="J252" s="15">
        <v>2019.0</v>
      </c>
      <c r="K252" s="15" t="s">
        <v>2786</v>
      </c>
      <c r="L252" s="15" t="s">
        <v>2787</v>
      </c>
      <c r="M252" s="18"/>
      <c r="N252" s="15" t="s">
        <v>8804</v>
      </c>
      <c r="O252" s="15" t="s">
        <v>1686</v>
      </c>
      <c r="P252" s="19" t="s">
        <v>8805</v>
      </c>
      <c r="Q252" s="15">
        <v>9.158920423E9</v>
      </c>
      <c r="R252" s="15">
        <v>9.158920423E9</v>
      </c>
      <c r="S252" s="15">
        <v>9.307719877E9</v>
      </c>
      <c r="T252" s="15" t="s">
        <v>8802</v>
      </c>
      <c r="U252" s="15" t="s">
        <v>8806</v>
      </c>
      <c r="V252" s="15" t="s">
        <v>8807</v>
      </c>
      <c r="W252" s="18"/>
      <c r="X252" s="15">
        <v>94.6</v>
      </c>
      <c r="Y252" s="15" t="s">
        <v>2795</v>
      </c>
      <c r="Z252" s="15">
        <v>8.57</v>
      </c>
      <c r="AA252" s="15">
        <v>9.3</v>
      </c>
      <c r="AB252" s="15" t="s">
        <v>2796</v>
      </c>
      <c r="AC252" s="15" t="s">
        <v>2796</v>
      </c>
      <c r="AD252" s="15" t="s">
        <v>2796</v>
      </c>
      <c r="AE252" s="15" t="s">
        <v>2796</v>
      </c>
      <c r="AF252" s="15">
        <v>8.26</v>
      </c>
      <c r="AG252" s="15">
        <v>8.71</v>
      </c>
      <c r="AH252" s="15">
        <v>70.62</v>
      </c>
      <c r="AI252" s="18"/>
      <c r="AJ252" s="15" t="s">
        <v>2787</v>
      </c>
      <c r="AK252" s="15" t="s">
        <v>2787</v>
      </c>
      <c r="AL252" s="15">
        <v>628.33</v>
      </c>
      <c r="AM252" s="15">
        <v>683.33</v>
      </c>
      <c r="AN252" s="15" t="s">
        <v>2797</v>
      </c>
      <c r="AO252" s="18"/>
      <c r="AP252" s="18"/>
      <c r="AQ252" s="15" t="s">
        <v>8808</v>
      </c>
      <c r="AR252" s="15" t="s">
        <v>8809</v>
      </c>
      <c r="AS252" s="15" t="s">
        <v>8810</v>
      </c>
      <c r="AT252" s="18"/>
      <c r="AU252" s="15" t="s">
        <v>8811</v>
      </c>
      <c r="AV252" s="15" t="s">
        <v>8812</v>
      </c>
      <c r="AW252" s="15" t="s">
        <v>8813</v>
      </c>
      <c r="AX252" s="18"/>
      <c r="AY252" s="15" t="s">
        <v>8814</v>
      </c>
      <c r="AZ252" s="15" t="s">
        <v>4670</v>
      </c>
      <c r="BA252" s="15" t="s">
        <v>5552</v>
      </c>
      <c r="BB252" s="15" t="s">
        <v>8815</v>
      </c>
      <c r="BC252" s="15" t="s">
        <v>8816</v>
      </c>
      <c r="BD252" s="15" t="s">
        <v>2842</v>
      </c>
      <c r="BE252" s="15" t="s">
        <v>8817</v>
      </c>
      <c r="BF252" s="18"/>
      <c r="BG252" s="18"/>
      <c r="BH252" s="15" t="s">
        <v>8818</v>
      </c>
      <c r="BI252" s="15" t="s">
        <v>8819</v>
      </c>
      <c r="BJ252" s="19" t="s">
        <v>8820</v>
      </c>
      <c r="BK252" s="19" t="s">
        <v>8821</v>
      </c>
      <c r="BL252" s="19" t="s">
        <v>8822</v>
      </c>
      <c r="BM252" s="19" t="s">
        <v>8823</v>
      </c>
      <c r="BN252" s="19" t="s">
        <v>8824</v>
      </c>
      <c r="BO252" s="19" t="s">
        <v>8825</v>
      </c>
      <c r="BP252" s="19" t="s">
        <v>8826</v>
      </c>
      <c r="BQ252" s="15" t="s">
        <v>1193</v>
      </c>
      <c r="BR252" s="26"/>
      <c r="BS252" s="26"/>
      <c r="BT252" s="26"/>
      <c r="BU252" s="19" t="s">
        <v>8827</v>
      </c>
      <c r="BV252" s="19" t="s">
        <v>8828</v>
      </c>
      <c r="BW252" s="15" t="s">
        <v>8829</v>
      </c>
      <c r="BX252" s="26"/>
      <c r="BY252" s="18" t="str">
        <f t="shared" si="104"/>
        <v>E&amp;TC</v>
      </c>
      <c r="BZ252" s="24" t="str">
        <f t="shared" si="100"/>
        <v>https://drive.google.com/open?id=1SALW-3vH5YukCoBWAJ3dxifRQJkKghZI</v>
      </c>
      <c r="CA252" s="24" t="str">
        <f t="shared" si="101"/>
        <v>https://drive.google.com/open?id=12ubOmldHue3YKOtOjI4bBf7Wa1Md5HHA</v>
      </c>
      <c r="CB252" s="15" t="s">
        <v>2821</v>
      </c>
      <c r="CC252" s="15" t="s">
        <v>2821</v>
      </c>
      <c r="CD252" s="25" t="s">
        <v>2797</v>
      </c>
      <c r="CE252" s="18"/>
      <c r="CF252" s="18"/>
      <c r="CG252" s="18"/>
    </row>
    <row r="253" ht="18.75" hidden="1" customHeight="1">
      <c r="A253" s="14">
        <v>44734.51763210648</v>
      </c>
      <c r="B253" s="15" t="s">
        <v>1755</v>
      </c>
      <c r="C253" s="16" t="s">
        <v>8830</v>
      </c>
      <c r="D253" s="15" t="str">
        <f>IFERROR(__xludf.DUMMYFUNCTION("QUERY(TY_ALL_2023_Batch!$A$1:$E$824, ""SELECT E WHERE C='""&amp;B253&amp;""'"", 0)"),"E&amp;TC")</f>
        <v>E&amp;TC</v>
      </c>
      <c r="E253" s="15" t="s">
        <v>8831</v>
      </c>
      <c r="F253" s="15" t="s">
        <v>4470</v>
      </c>
      <c r="G253" s="15" t="s">
        <v>8832</v>
      </c>
      <c r="H253" s="15" t="s">
        <v>2826</v>
      </c>
      <c r="I253" s="17">
        <v>37294.0</v>
      </c>
      <c r="J253" s="15">
        <v>2019.0</v>
      </c>
      <c r="K253" s="15" t="s">
        <v>2786</v>
      </c>
      <c r="L253" s="15" t="s">
        <v>2787</v>
      </c>
      <c r="M253" s="18"/>
      <c r="N253" s="15" t="s">
        <v>8833</v>
      </c>
      <c r="O253" s="15" t="s">
        <v>1755</v>
      </c>
      <c r="P253" s="19" t="s">
        <v>8834</v>
      </c>
      <c r="Q253" s="15">
        <v>8.41105203E9</v>
      </c>
      <c r="R253" s="15">
        <v>8.41105203E9</v>
      </c>
      <c r="S253" s="15">
        <v>9.765984427E9</v>
      </c>
      <c r="T253" s="15" t="s">
        <v>4470</v>
      </c>
      <c r="U253" s="15" t="s">
        <v>8835</v>
      </c>
      <c r="V253" s="15" t="s">
        <v>8836</v>
      </c>
      <c r="W253" s="15" t="s">
        <v>8837</v>
      </c>
      <c r="X253" s="15">
        <v>86.0</v>
      </c>
      <c r="Y253" s="15" t="s">
        <v>2795</v>
      </c>
      <c r="Z253" s="15">
        <v>8.95</v>
      </c>
      <c r="AA253" s="15">
        <v>8.5</v>
      </c>
      <c r="AB253" s="15" t="s">
        <v>2796</v>
      </c>
      <c r="AC253" s="15" t="s">
        <v>2796</v>
      </c>
      <c r="AD253" s="15" t="s">
        <v>2796</v>
      </c>
      <c r="AE253" s="15" t="s">
        <v>2796</v>
      </c>
      <c r="AF253" s="15">
        <v>8.32</v>
      </c>
      <c r="AG253" s="15">
        <v>8.95</v>
      </c>
      <c r="AH253" s="15">
        <v>60.0</v>
      </c>
      <c r="AI253" s="18"/>
      <c r="AJ253" s="15" t="s">
        <v>2787</v>
      </c>
      <c r="AK253" s="15" t="s">
        <v>2787</v>
      </c>
      <c r="AL253" s="18"/>
      <c r="AM253" s="18"/>
      <c r="AN253" s="15" t="s">
        <v>2787</v>
      </c>
      <c r="AO253" s="18"/>
      <c r="AP253" s="15" t="s">
        <v>8838</v>
      </c>
      <c r="AQ253" s="15" t="s">
        <v>8839</v>
      </c>
      <c r="AR253" s="15" t="s">
        <v>8840</v>
      </c>
      <c r="AS253" s="15" t="s">
        <v>8841</v>
      </c>
      <c r="AT253" s="18"/>
      <c r="AU253" s="15" t="s">
        <v>8842</v>
      </c>
      <c r="AV253" s="15" t="s">
        <v>8843</v>
      </c>
      <c r="AW253" s="15" t="s">
        <v>8844</v>
      </c>
      <c r="AX253" s="18"/>
      <c r="AY253" s="15" t="s">
        <v>8845</v>
      </c>
      <c r="AZ253" s="15" t="s">
        <v>4670</v>
      </c>
      <c r="BA253" s="15" t="s">
        <v>5552</v>
      </c>
      <c r="BB253" s="15" t="s">
        <v>5729</v>
      </c>
      <c r="BC253" s="15" t="s">
        <v>4746</v>
      </c>
      <c r="BD253" s="15" t="s">
        <v>8846</v>
      </c>
      <c r="BE253" s="15" t="s">
        <v>8847</v>
      </c>
      <c r="BF253" s="15" t="s">
        <v>8848</v>
      </c>
      <c r="BG253" s="18"/>
      <c r="BH253" s="15" t="s">
        <v>8849</v>
      </c>
      <c r="BI253" s="15" t="s">
        <v>8850</v>
      </c>
      <c r="BJ253" s="19" t="s">
        <v>8851</v>
      </c>
      <c r="BK253" s="19" t="s">
        <v>8852</v>
      </c>
      <c r="BL253" s="19" t="s">
        <v>8853</v>
      </c>
      <c r="BM253" s="19" t="s">
        <v>8854</v>
      </c>
      <c r="BN253" s="19" t="s">
        <v>8855</v>
      </c>
      <c r="BO253" s="19" t="s">
        <v>8856</v>
      </c>
      <c r="BP253" s="19" t="s">
        <v>8857</v>
      </c>
      <c r="BQ253" s="15" t="s">
        <v>1193</v>
      </c>
      <c r="BR253" s="26"/>
      <c r="BS253" s="26"/>
      <c r="BT253" s="26"/>
      <c r="BU253" s="26"/>
      <c r="BV253" s="26"/>
      <c r="BW253" s="26"/>
      <c r="BX253" s="26"/>
      <c r="BY253" s="18" t="str">
        <f t="shared" si="104"/>
        <v>E&amp;TC</v>
      </c>
      <c r="BZ253" s="24" t="str">
        <f t="shared" si="100"/>
        <v>https://drive.google.com/open?id=1n9WtyJiRtJBFxykiww_hj78_PdX6jbtD</v>
      </c>
      <c r="CA253" s="24" t="str">
        <f t="shared" si="101"/>
        <v>https://drive.google.com/open?id=1NcRqeufrJtvaR0Mh_EGArwndcnanLa7V</v>
      </c>
      <c r="CB253" s="15" t="s">
        <v>2908</v>
      </c>
      <c r="CC253" s="15" t="s">
        <v>2821</v>
      </c>
      <c r="CD253" s="25" t="s">
        <v>2797</v>
      </c>
      <c r="CE253" s="18"/>
      <c r="CF253" s="18"/>
      <c r="CG253" s="18"/>
    </row>
    <row r="254" ht="18.75" hidden="1" customHeight="1">
      <c r="A254" s="14">
        <v>44736.504744687496</v>
      </c>
      <c r="B254" s="15" t="s">
        <v>1641</v>
      </c>
      <c r="C254" s="16" t="s">
        <v>8858</v>
      </c>
      <c r="D254" s="15" t="str">
        <f>IFERROR(__xludf.DUMMYFUNCTION("QUERY(TY_ALL_2023_Batch!$A$1:$E$824, ""SELECT E WHERE C='""&amp;B254&amp;""'"", 0)"),"E&amp;TC")</f>
        <v>E&amp;TC</v>
      </c>
      <c r="E254" s="15" t="s">
        <v>8859</v>
      </c>
      <c r="F254" s="18"/>
      <c r="G254" s="15" t="s">
        <v>3166</v>
      </c>
      <c r="H254" s="15" t="s">
        <v>2785</v>
      </c>
      <c r="I254" s="17">
        <v>36837.0</v>
      </c>
      <c r="J254" s="15">
        <v>2019.0</v>
      </c>
      <c r="K254" s="15" t="s">
        <v>2786</v>
      </c>
      <c r="L254" s="15" t="s">
        <v>2787</v>
      </c>
      <c r="M254" s="18"/>
      <c r="N254" s="15" t="s">
        <v>8860</v>
      </c>
      <c r="O254" s="15" t="s">
        <v>1641</v>
      </c>
      <c r="P254" s="19" t="s">
        <v>8861</v>
      </c>
      <c r="Q254" s="15">
        <v>7.782801323E9</v>
      </c>
      <c r="R254" s="15">
        <v>7.782801323E9</v>
      </c>
      <c r="S254" s="15">
        <v>8.442083203E9</v>
      </c>
      <c r="T254" s="15" t="s">
        <v>8862</v>
      </c>
      <c r="U254" s="15" t="s">
        <v>8863</v>
      </c>
      <c r="V254" s="15" t="s">
        <v>8864</v>
      </c>
      <c r="W254" s="15" t="s">
        <v>8865</v>
      </c>
      <c r="X254" s="15">
        <v>68.5</v>
      </c>
      <c r="Y254" s="15" t="s">
        <v>2795</v>
      </c>
      <c r="Z254" s="15">
        <v>8.82</v>
      </c>
      <c r="AA254" s="15">
        <v>9.1</v>
      </c>
      <c r="AB254" s="15" t="s">
        <v>2796</v>
      </c>
      <c r="AC254" s="15" t="s">
        <v>2796</v>
      </c>
      <c r="AD254" s="15" t="s">
        <v>2796</v>
      </c>
      <c r="AE254" s="15" t="s">
        <v>2796</v>
      </c>
      <c r="AF254" s="15">
        <v>8.44</v>
      </c>
      <c r="AG254" s="15">
        <v>9.0</v>
      </c>
      <c r="AH254" s="15">
        <v>62.6</v>
      </c>
      <c r="AI254" s="18"/>
      <c r="AJ254" s="15" t="s">
        <v>2787</v>
      </c>
      <c r="AK254" s="15" t="s">
        <v>2787</v>
      </c>
      <c r="AL254" s="15">
        <v>96.0</v>
      </c>
      <c r="AM254" s="15">
        <v>65.33</v>
      </c>
      <c r="AN254" s="15" t="s">
        <v>2797</v>
      </c>
      <c r="AO254" s="18"/>
      <c r="AP254" s="18"/>
      <c r="AQ254" s="15" t="s">
        <v>8866</v>
      </c>
      <c r="AR254" s="18"/>
      <c r="AS254" s="15" t="s">
        <v>8867</v>
      </c>
      <c r="AT254" s="18"/>
      <c r="AU254" s="15" t="s">
        <v>8868</v>
      </c>
      <c r="AV254" s="15" t="s">
        <v>8869</v>
      </c>
      <c r="AW254" s="15" t="s">
        <v>8870</v>
      </c>
      <c r="AX254" s="18"/>
      <c r="AY254" s="15" t="s">
        <v>8871</v>
      </c>
      <c r="AZ254" s="15" t="s">
        <v>5287</v>
      </c>
      <c r="BA254" s="15" t="s">
        <v>2806</v>
      </c>
      <c r="BB254" s="15" t="s">
        <v>4504</v>
      </c>
      <c r="BC254" s="15" t="s">
        <v>5604</v>
      </c>
      <c r="BD254" s="15" t="s">
        <v>2807</v>
      </c>
      <c r="BE254" s="15" t="s">
        <v>8872</v>
      </c>
      <c r="BF254" s="18"/>
      <c r="BG254" s="18"/>
      <c r="BH254" s="18"/>
      <c r="BI254" s="15" t="s">
        <v>8873</v>
      </c>
      <c r="BJ254" s="19" t="s">
        <v>8874</v>
      </c>
      <c r="BK254" s="19" t="s">
        <v>8875</v>
      </c>
      <c r="BL254" s="19" t="s">
        <v>8876</v>
      </c>
      <c r="BM254" s="19" t="s">
        <v>8877</v>
      </c>
      <c r="BN254" s="19" t="s">
        <v>8878</v>
      </c>
      <c r="BO254" s="19" t="s">
        <v>8879</v>
      </c>
      <c r="BP254" s="19" t="s">
        <v>8880</v>
      </c>
      <c r="BQ254" s="15" t="s">
        <v>1193</v>
      </c>
      <c r="BR254" s="26"/>
      <c r="BS254" s="26"/>
      <c r="BT254" s="26"/>
      <c r="BU254" s="26"/>
      <c r="BV254" s="26"/>
      <c r="BW254" s="26"/>
      <c r="BX254" s="26"/>
      <c r="BY254" s="18" t="str">
        <f t="shared" si="104"/>
        <v>E&amp;TC</v>
      </c>
      <c r="BZ254" s="24" t="str">
        <f t="shared" si="100"/>
        <v>https://drive.google.com/open?id=1aG3Z32lBfQY7SZuTQZOInNzz7--wa9Fe</v>
      </c>
      <c r="CA254" s="24" t="str">
        <f t="shared" si="101"/>
        <v>https://drive.google.com/open?id=121rSq88M70kLXf1v_FaznSyuuGMTsYC6</v>
      </c>
      <c r="CB254" s="15" t="s">
        <v>2821</v>
      </c>
      <c r="CC254" s="15" t="s">
        <v>2821</v>
      </c>
      <c r="CD254" s="25" t="s">
        <v>2797</v>
      </c>
      <c r="CE254" s="18"/>
      <c r="CF254" s="18"/>
      <c r="CG254" s="18"/>
    </row>
    <row r="255" ht="18.75" hidden="1" customHeight="1">
      <c r="A255" s="14">
        <v>44740.873342430554</v>
      </c>
      <c r="B255" s="15" t="s">
        <v>1920</v>
      </c>
      <c r="C255" s="16" t="s">
        <v>8881</v>
      </c>
      <c r="D255" s="15" t="str">
        <f>IFERROR(__xludf.DUMMYFUNCTION("QUERY(TY_ALL_2023_Batch!$A$1:$E$824, ""SELECT E WHERE C='""&amp;B255&amp;""'"", 0)"),"E&amp;TC")</f>
        <v>E&amp;TC</v>
      </c>
      <c r="E255" s="15" t="s">
        <v>8882</v>
      </c>
      <c r="F255" s="15" t="s">
        <v>3763</v>
      </c>
      <c r="G255" s="15" t="s">
        <v>5184</v>
      </c>
      <c r="H255" s="15" t="s">
        <v>2826</v>
      </c>
      <c r="I255" s="17">
        <v>37399.0</v>
      </c>
      <c r="J255" s="15">
        <v>2019.0</v>
      </c>
      <c r="K255" s="15" t="s">
        <v>2786</v>
      </c>
      <c r="L255" s="15" t="s">
        <v>2787</v>
      </c>
      <c r="M255" s="18"/>
      <c r="N255" s="15" t="s">
        <v>8883</v>
      </c>
      <c r="O255" s="15" t="s">
        <v>1920</v>
      </c>
      <c r="P255" s="19" t="s">
        <v>8884</v>
      </c>
      <c r="Q255" s="15">
        <v>7.758028585E9</v>
      </c>
      <c r="R255" s="15">
        <v>7.758028585E9</v>
      </c>
      <c r="S255" s="18"/>
      <c r="T255" s="15" t="s">
        <v>8885</v>
      </c>
      <c r="U255" s="15" t="s">
        <v>8886</v>
      </c>
      <c r="V255" s="15" t="s">
        <v>8887</v>
      </c>
      <c r="W255" s="18"/>
      <c r="X255" s="15">
        <v>89.6</v>
      </c>
      <c r="Y255" s="15" t="s">
        <v>2795</v>
      </c>
      <c r="Z255" s="15">
        <v>8.48</v>
      </c>
      <c r="AA255" s="15">
        <v>8.4</v>
      </c>
      <c r="AB255" s="15" t="s">
        <v>2796</v>
      </c>
      <c r="AC255" s="15" t="s">
        <v>2796</v>
      </c>
      <c r="AD255" s="15" t="s">
        <v>2796</v>
      </c>
      <c r="AE255" s="15" t="s">
        <v>2796</v>
      </c>
      <c r="AF255" s="15">
        <v>8.21</v>
      </c>
      <c r="AG255" s="15">
        <v>9.14</v>
      </c>
      <c r="AH255" s="15">
        <v>73.08</v>
      </c>
      <c r="AI255" s="18"/>
      <c r="AJ255" s="15" t="s">
        <v>2787</v>
      </c>
      <c r="AK255" s="15" t="s">
        <v>2787</v>
      </c>
      <c r="AL255" s="15">
        <v>63.0</v>
      </c>
      <c r="AM255" s="15">
        <v>81.33</v>
      </c>
      <c r="AN255" s="15" t="s">
        <v>2797</v>
      </c>
      <c r="AO255" s="18"/>
      <c r="AP255" s="18"/>
      <c r="AQ255" s="15" t="s">
        <v>5282</v>
      </c>
      <c r="AR255" s="18"/>
      <c r="AS255" s="15"/>
      <c r="AT255" s="18"/>
      <c r="AU255" s="15" t="s">
        <v>8888</v>
      </c>
      <c r="AV255" s="15" t="s">
        <v>8889</v>
      </c>
      <c r="AW255" s="15" t="s">
        <v>8890</v>
      </c>
      <c r="AX255" s="18"/>
      <c r="AY255" s="15" t="s">
        <v>8891</v>
      </c>
      <c r="AZ255" s="15" t="s">
        <v>5335</v>
      </c>
      <c r="BA255" s="15" t="s">
        <v>8892</v>
      </c>
      <c r="BB255" s="15" t="s">
        <v>2807</v>
      </c>
      <c r="BC255" s="15" t="s">
        <v>4746</v>
      </c>
      <c r="BD255" s="15" t="s">
        <v>2807</v>
      </c>
      <c r="BE255" s="15" t="s">
        <v>2796</v>
      </c>
      <c r="BF255" s="18"/>
      <c r="BG255" s="18"/>
      <c r="BH255" s="18"/>
      <c r="BI255" s="15" t="s">
        <v>8893</v>
      </c>
      <c r="BJ255" s="19" t="s">
        <v>8894</v>
      </c>
      <c r="BK255" s="19" t="s">
        <v>8895</v>
      </c>
      <c r="BL255" s="19" t="s">
        <v>8896</v>
      </c>
      <c r="BM255" s="19" t="s">
        <v>8897</v>
      </c>
      <c r="BN255" s="19" t="s">
        <v>8898</v>
      </c>
      <c r="BO255" s="19" t="s">
        <v>8899</v>
      </c>
      <c r="BP255" s="19" t="s">
        <v>8900</v>
      </c>
      <c r="BQ255" s="15" t="s">
        <v>1193</v>
      </c>
      <c r="BR255" s="18"/>
      <c r="BS255" s="18"/>
      <c r="BT255" s="19" t="s">
        <v>8901</v>
      </c>
      <c r="BU255" s="18"/>
      <c r="BV255" s="18"/>
      <c r="BW255" s="15" t="s">
        <v>8902</v>
      </c>
      <c r="BX255" s="18"/>
      <c r="BY255" s="18" t="str">
        <f t="shared" si="104"/>
        <v>E&amp;TC</v>
      </c>
      <c r="BZ255" s="24" t="str">
        <f t="shared" si="100"/>
        <v>https://drive.google.com/open?id=1_DIRWIvm6h75lFxz5xA7_EGY_WNk-_ot</v>
      </c>
      <c r="CA255" s="24" t="str">
        <f t="shared" si="101"/>
        <v>https://drive.google.com/open?id=1rcqYFwDDd_3TQci7wAbIxQ9NxbkLPnbj</v>
      </c>
      <c r="CB255" s="15" t="s">
        <v>2821</v>
      </c>
      <c r="CC255" s="15" t="s">
        <v>2821</v>
      </c>
      <c r="CD255" s="25" t="s">
        <v>2909</v>
      </c>
      <c r="CE255" s="18"/>
      <c r="CF255" s="18"/>
      <c r="CG255" s="18"/>
    </row>
    <row r="256" ht="18.75" hidden="1" customHeight="1">
      <c r="A256" s="14">
        <v>44737.02468289352</v>
      </c>
      <c r="B256" s="15" t="s">
        <v>1632</v>
      </c>
      <c r="C256" s="16" t="s">
        <v>8903</v>
      </c>
      <c r="D256" s="15" t="str">
        <f>IFERROR(__xludf.DUMMYFUNCTION("QUERY(TY_ALL_2023_Batch!$A$1:$E$824, ""SELECT E WHERE C='""&amp;B256&amp;""'"", 0)"),"E&amp;TC")</f>
        <v>E&amp;TC</v>
      </c>
      <c r="E256" s="15" t="s">
        <v>8904</v>
      </c>
      <c r="F256" s="15" t="s">
        <v>5565</v>
      </c>
      <c r="G256" s="15" t="s">
        <v>8905</v>
      </c>
      <c r="H256" s="15" t="s">
        <v>2785</v>
      </c>
      <c r="I256" s="17">
        <v>37120.0</v>
      </c>
      <c r="J256" s="15">
        <v>2019.0</v>
      </c>
      <c r="K256" s="15" t="s">
        <v>2786</v>
      </c>
      <c r="L256" s="15" t="s">
        <v>2787</v>
      </c>
      <c r="M256" s="18"/>
      <c r="N256" s="15" t="s">
        <v>8906</v>
      </c>
      <c r="O256" s="15" t="s">
        <v>1632</v>
      </c>
      <c r="P256" s="15" t="s">
        <v>8907</v>
      </c>
      <c r="Q256" s="15">
        <v>7.410047699E9</v>
      </c>
      <c r="R256" s="15">
        <v>7.410047699E9</v>
      </c>
      <c r="S256" s="15">
        <v>7.410047699E9</v>
      </c>
      <c r="T256" s="15" t="s">
        <v>8908</v>
      </c>
      <c r="U256" s="15" t="s">
        <v>8909</v>
      </c>
      <c r="V256" s="15" t="s">
        <v>8910</v>
      </c>
      <c r="W256" s="15" t="s">
        <v>8910</v>
      </c>
      <c r="X256" s="15">
        <v>92.2</v>
      </c>
      <c r="Y256" s="15" t="s">
        <v>2795</v>
      </c>
      <c r="Z256" s="15">
        <v>9.19</v>
      </c>
      <c r="AA256" s="15">
        <v>9.35</v>
      </c>
      <c r="AB256" s="15" t="s">
        <v>2796</v>
      </c>
      <c r="AC256" s="15" t="s">
        <v>2796</v>
      </c>
      <c r="AD256" s="15" t="s">
        <v>2796</v>
      </c>
      <c r="AE256" s="15" t="s">
        <v>2796</v>
      </c>
      <c r="AF256" s="15">
        <v>8.63</v>
      </c>
      <c r="AG256" s="15">
        <v>9.19</v>
      </c>
      <c r="AH256" s="15">
        <v>65.46</v>
      </c>
      <c r="AI256" s="18"/>
      <c r="AJ256" s="15" t="s">
        <v>2787</v>
      </c>
      <c r="AK256" s="15" t="s">
        <v>2787</v>
      </c>
      <c r="AL256" s="15">
        <v>629.0</v>
      </c>
      <c r="AM256" s="15">
        <v>624.0</v>
      </c>
      <c r="AN256" s="15" t="s">
        <v>2797</v>
      </c>
      <c r="AO256" s="18"/>
      <c r="AP256" s="18"/>
      <c r="AQ256" s="19" t="s">
        <v>8911</v>
      </c>
      <c r="AR256" s="18"/>
      <c r="AS256" s="18"/>
      <c r="AT256" s="18"/>
      <c r="AU256" s="18"/>
      <c r="AV256" s="15" t="s">
        <v>8912</v>
      </c>
      <c r="AW256" s="15" t="s">
        <v>8913</v>
      </c>
      <c r="AX256" s="18"/>
      <c r="AY256" s="15" t="s">
        <v>2796</v>
      </c>
      <c r="AZ256" s="15" t="s">
        <v>4670</v>
      </c>
      <c r="BA256" s="15" t="s">
        <v>8637</v>
      </c>
      <c r="BB256" s="15" t="s">
        <v>2807</v>
      </c>
      <c r="BC256" s="15" t="s">
        <v>5604</v>
      </c>
      <c r="BD256" s="15" t="s">
        <v>2807</v>
      </c>
      <c r="BE256" s="15" t="s">
        <v>8914</v>
      </c>
      <c r="BF256" s="18"/>
      <c r="BG256" s="18"/>
      <c r="BH256" s="18"/>
      <c r="BI256" s="15" t="s">
        <v>8915</v>
      </c>
      <c r="BJ256" s="19" t="s">
        <v>8916</v>
      </c>
      <c r="BK256" s="19" t="s">
        <v>8917</v>
      </c>
      <c r="BL256" s="19" t="s">
        <v>8918</v>
      </c>
      <c r="BM256" s="19" t="s">
        <v>8919</v>
      </c>
      <c r="BN256" s="19" t="s">
        <v>8920</v>
      </c>
      <c r="BO256" s="19" t="s">
        <v>8921</v>
      </c>
      <c r="BP256" s="18"/>
      <c r="BQ256" s="15" t="s">
        <v>1193</v>
      </c>
      <c r="BR256" s="26"/>
      <c r="BS256" s="26"/>
      <c r="BT256" s="26"/>
      <c r="BU256" s="26"/>
      <c r="BV256" s="26"/>
      <c r="BW256" s="15" t="s">
        <v>8922</v>
      </c>
      <c r="BX256" s="26"/>
      <c r="BY256" s="18" t="str">
        <f t="shared" si="104"/>
        <v>E&amp;TC</v>
      </c>
      <c r="BZ256" s="24" t="str">
        <f t="shared" si="100"/>
        <v>https://drive.google.com/open?id=16kHvbtrR6ddUxLcNvBpiIPvtAi8W4k1E</v>
      </c>
      <c r="CA256" s="24" t="str">
        <f t="shared" si="101"/>
        <v>https://drive.google.com/open?id=1pUbGbAyYFyvBk8gst0zxEHydhhohXrdw</v>
      </c>
      <c r="CB256" s="15" t="s">
        <v>2821</v>
      </c>
      <c r="CC256" s="15" t="s">
        <v>2908</v>
      </c>
      <c r="CD256" s="25" t="s">
        <v>2797</v>
      </c>
      <c r="CE256" s="18"/>
      <c r="CF256" s="18"/>
      <c r="CG256" s="18"/>
    </row>
    <row r="257" ht="18.75" hidden="1" customHeight="1">
      <c r="A257" s="14">
        <v>44742.84142565972</v>
      </c>
      <c r="B257" s="15" t="s">
        <v>1977</v>
      </c>
      <c r="C257" s="16" t="s">
        <v>8923</v>
      </c>
      <c r="D257" s="15" t="str">
        <f>IFERROR(__xludf.DUMMYFUNCTION("QUERY(TY_ALL_2023_Batch!$A$1:$E$824, ""SELECT E WHERE C='""&amp;B257&amp;""'"", 0)"),"E&amp;TC")</f>
        <v>E&amp;TC</v>
      </c>
      <c r="E257" s="15" t="s">
        <v>8924</v>
      </c>
      <c r="F257" s="15" t="s">
        <v>5988</v>
      </c>
      <c r="G257" s="15" t="s">
        <v>8925</v>
      </c>
      <c r="H257" s="15" t="s">
        <v>2785</v>
      </c>
      <c r="I257" s="17">
        <v>36846.0</v>
      </c>
      <c r="J257" s="15">
        <v>2019.0</v>
      </c>
      <c r="K257" s="15" t="s">
        <v>2786</v>
      </c>
      <c r="L257" s="15" t="s">
        <v>2787</v>
      </c>
      <c r="M257" s="18"/>
      <c r="N257" s="15" t="s">
        <v>8926</v>
      </c>
      <c r="O257" s="15" t="s">
        <v>1977</v>
      </c>
      <c r="P257" s="19" t="s">
        <v>8927</v>
      </c>
      <c r="Q257" s="15">
        <v>7.057246993E9</v>
      </c>
      <c r="R257" s="15">
        <v>7.057246993E9</v>
      </c>
      <c r="S257" s="18"/>
      <c r="T257" s="15" t="s">
        <v>8928</v>
      </c>
      <c r="U257" s="15" t="s">
        <v>8929</v>
      </c>
      <c r="V257" s="15" t="s">
        <v>8930</v>
      </c>
      <c r="W257" s="15" t="s">
        <v>8931</v>
      </c>
      <c r="X257" s="15">
        <v>95.6</v>
      </c>
      <c r="Y257" s="15" t="s">
        <v>2795</v>
      </c>
      <c r="Z257" s="15">
        <v>9.29</v>
      </c>
      <c r="AA257" s="15">
        <v>9.25</v>
      </c>
      <c r="AB257" s="15" t="s">
        <v>2796</v>
      </c>
      <c r="AC257" s="15" t="s">
        <v>2796</v>
      </c>
      <c r="AD257" s="15" t="s">
        <v>2796</v>
      </c>
      <c r="AE257" s="15" t="s">
        <v>2796</v>
      </c>
      <c r="AF257" s="15">
        <v>9.32</v>
      </c>
      <c r="AG257" s="15">
        <v>9.29</v>
      </c>
      <c r="AH257" s="15">
        <v>80.46</v>
      </c>
      <c r="AI257" s="18"/>
      <c r="AJ257" s="15" t="s">
        <v>2787</v>
      </c>
      <c r="AK257" s="15" t="s">
        <v>2787</v>
      </c>
      <c r="AL257" s="15">
        <v>715.0</v>
      </c>
      <c r="AM257" s="15">
        <v>701.667</v>
      </c>
      <c r="AN257" s="15" t="s">
        <v>2797</v>
      </c>
      <c r="AO257" s="18"/>
      <c r="AP257" s="18"/>
      <c r="AQ257" s="15" t="s">
        <v>8867</v>
      </c>
      <c r="AR257" s="18"/>
      <c r="AS257" s="15" t="s">
        <v>8932</v>
      </c>
      <c r="AT257" s="18"/>
      <c r="AU257" s="15" t="s">
        <v>8933</v>
      </c>
      <c r="AV257" s="15" t="s">
        <v>8934</v>
      </c>
      <c r="AW257" s="15" t="s">
        <v>8935</v>
      </c>
      <c r="AX257" s="18"/>
      <c r="AY257" s="15" t="s">
        <v>8936</v>
      </c>
      <c r="AZ257" s="15" t="s">
        <v>5287</v>
      </c>
      <c r="BA257" s="15" t="s">
        <v>8937</v>
      </c>
      <c r="BB257" s="15" t="s">
        <v>2807</v>
      </c>
      <c r="BC257" s="15" t="s">
        <v>4746</v>
      </c>
      <c r="BD257" s="15" t="s">
        <v>2807</v>
      </c>
      <c r="BE257" s="15" t="s">
        <v>8938</v>
      </c>
      <c r="BF257" s="18"/>
      <c r="BG257" s="18"/>
      <c r="BH257" s="18"/>
      <c r="BI257" s="15" t="s">
        <v>8939</v>
      </c>
      <c r="BJ257" s="19" t="s">
        <v>8940</v>
      </c>
      <c r="BK257" s="19" t="s">
        <v>8941</v>
      </c>
      <c r="BL257" s="19" t="s">
        <v>8942</v>
      </c>
      <c r="BM257" s="19" t="s">
        <v>8943</v>
      </c>
      <c r="BN257" s="19" t="s">
        <v>8944</v>
      </c>
      <c r="BO257" s="19" t="s">
        <v>8945</v>
      </c>
      <c r="BP257" s="19" t="s">
        <v>8946</v>
      </c>
      <c r="BQ257" s="15" t="s">
        <v>1193</v>
      </c>
      <c r="BR257" s="26"/>
      <c r="BS257" s="26"/>
      <c r="BT257" s="19" t="s">
        <v>8947</v>
      </c>
      <c r="BU257" s="19" t="s">
        <v>8948</v>
      </c>
      <c r="BV257" s="26"/>
      <c r="BW257" s="15" t="s">
        <v>8949</v>
      </c>
      <c r="BX257" s="26"/>
      <c r="BY257" s="18" t="str">
        <f t="shared" si="104"/>
        <v>E&amp;TC</v>
      </c>
      <c r="BZ257" s="24" t="str">
        <f t="shared" si="100"/>
        <v>https://drive.google.com/open?id=1wDLxRDN4OlVwHyfPuSwUbTt5zvkyOkby</v>
      </c>
      <c r="CA257" s="24" t="str">
        <f t="shared" si="101"/>
        <v>https://drive.google.com/open?id=1seQCFtQmXuVZ9X5Xlwc9RZnKWVRpTQ1O</v>
      </c>
      <c r="CB257" s="15" t="s">
        <v>2821</v>
      </c>
      <c r="CC257" s="15" t="s">
        <v>2821</v>
      </c>
      <c r="CD257" s="25" t="s">
        <v>2909</v>
      </c>
      <c r="CE257" s="18"/>
      <c r="CF257" s="18"/>
      <c r="CG257" s="18"/>
    </row>
    <row r="258" ht="18.75" hidden="1" customHeight="1">
      <c r="A258" s="14">
        <v>44735.82063726852</v>
      </c>
      <c r="B258" s="15" t="s">
        <v>1758</v>
      </c>
      <c r="C258" s="16" t="s">
        <v>8950</v>
      </c>
      <c r="D258" s="15" t="str">
        <f>IFERROR(__xludf.DUMMYFUNCTION("QUERY(TY_ALL_2023_Batch!$A$1:$E$824, ""SELECT E WHERE C='""&amp;B258&amp;""'"", 0)"),"E&amp;TC")</f>
        <v>E&amp;TC</v>
      </c>
      <c r="E258" s="15" t="s">
        <v>8951</v>
      </c>
      <c r="F258" s="15" t="s">
        <v>8952</v>
      </c>
      <c r="G258" s="15" t="s">
        <v>8953</v>
      </c>
      <c r="H258" s="15" t="s">
        <v>2785</v>
      </c>
      <c r="I258" s="17">
        <v>36951.0</v>
      </c>
      <c r="J258" s="15">
        <v>2019.0</v>
      </c>
      <c r="K258" s="15" t="s">
        <v>2786</v>
      </c>
      <c r="L258" s="15" t="s">
        <v>2787</v>
      </c>
      <c r="M258" s="18"/>
      <c r="N258" s="15" t="s">
        <v>8954</v>
      </c>
      <c r="O258" s="15" t="s">
        <v>1758</v>
      </c>
      <c r="P258" s="19" t="s">
        <v>8955</v>
      </c>
      <c r="Q258" s="15">
        <v>9.421382649E9</v>
      </c>
      <c r="R258" s="15">
        <v>9.421382649E9</v>
      </c>
      <c r="S258" s="18"/>
      <c r="T258" s="15" t="s">
        <v>8956</v>
      </c>
      <c r="U258" s="15" t="s">
        <v>8957</v>
      </c>
      <c r="V258" s="15" t="s">
        <v>8958</v>
      </c>
      <c r="W258" s="18"/>
      <c r="X258" s="15">
        <v>92.4</v>
      </c>
      <c r="Y258" s="15" t="s">
        <v>2795</v>
      </c>
      <c r="Z258" s="15">
        <v>7.29</v>
      </c>
      <c r="AA258" s="15">
        <v>8.35</v>
      </c>
      <c r="AB258" s="15" t="s">
        <v>2796</v>
      </c>
      <c r="AC258" s="15" t="s">
        <v>2796</v>
      </c>
      <c r="AD258" s="15" t="s">
        <v>2796</v>
      </c>
      <c r="AE258" s="15" t="s">
        <v>2796</v>
      </c>
      <c r="AF258" s="15">
        <v>7.63</v>
      </c>
      <c r="AG258" s="15">
        <v>7.05</v>
      </c>
      <c r="AH258" s="15">
        <v>66.15</v>
      </c>
      <c r="AI258" s="18"/>
      <c r="AJ258" s="15" t="s">
        <v>2787</v>
      </c>
      <c r="AK258" s="15" t="s">
        <v>2787</v>
      </c>
      <c r="AL258" s="15">
        <v>83.0</v>
      </c>
      <c r="AM258" s="15">
        <v>88.0</v>
      </c>
      <c r="AN258" s="15" t="s">
        <v>2787</v>
      </c>
      <c r="AO258" s="15" t="s">
        <v>2796</v>
      </c>
      <c r="AP258" s="15" t="s">
        <v>8959</v>
      </c>
      <c r="AQ258" s="15" t="s">
        <v>4191</v>
      </c>
      <c r="AR258" s="15" t="s">
        <v>2796</v>
      </c>
      <c r="AS258" s="15" t="s">
        <v>2796</v>
      </c>
      <c r="AT258" s="15" t="s">
        <v>2796</v>
      </c>
      <c r="AU258" s="15" t="s">
        <v>2796</v>
      </c>
      <c r="AV258" s="15" t="s">
        <v>2796</v>
      </c>
      <c r="AW258" s="15" t="s">
        <v>8960</v>
      </c>
      <c r="AX258" s="15" t="s">
        <v>2796</v>
      </c>
      <c r="AY258" s="15" t="s">
        <v>8961</v>
      </c>
      <c r="AZ258" s="15" t="s">
        <v>4670</v>
      </c>
      <c r="BA258" s="15" t="s">
        <v>2839</v>
      </c>
      <c r="BB258" s="15" t="s">
        <v>2807</v>
      </c>
      <c r="BC258" s="15" t="s">
        <v>4746</v>
      </c>
      <c r="BD258" s="15" t="s">
        <v>2807</v>
      </c>
      <c r="BE258" s="15" t="s">
        <v>2796</v>
      </c>
      <c r="BF258" s="15" t="s">
        <v>2796</v>
      </c>
      <c r="BG258" s="18"/>
      <c r="BH258" s="18"/>
      <c r="BI258" s="15" t="s">
        <v>8962</v>
      </c>
      <c r="BJ258" s="19" t="s">
        <v>8963</v>
      </c>
      <c r="BK258" s="19" t="s">
        <v>8964</v>
      </c>
      <c r="BL258" s="19" t="s">
        <v>8965</v>
      </c>
      <c r="BM258" s="19" t="s">
        <v>8966</v>
      </c>
      <c r="BN258" s="19" t="s">
        <v>8967</v>
      </c>
      <c r="BO258" s="19" t="s">
        <v>8968</v>
      </c>
      <c r="BP258" s="18"/>
      <c r="BQ258" s="15" t="s">
        <v>1193</v>
      </c>
      <c r="BR258" s="26"/>
      <c r="BS258" s="26"/>
      <c r="BT258" s="26"/>
      <c r="BU258" s="26"/>
      <c r="BV258" s="26"/>
      <c r="BW258" s="26"/>
      <c r="BX258" s="26"/>
      <c r="BY258" s="18" t="str">
        <f t="shared" si="104"/>
        <v>E&amp;TC</v>
      </c>
      <c r="BZ258" s="24" t="str">
        <f t="shared" si="100"/>
        <v>https://drive.google.com/open?id=1f3THgGDY9vj36EIpQBLYBaZ6gJ_hQbWy</v>
      </c>
      <c r="CA258" s="24" t="str">
        <f t="shared" si="101"/>
        <v>https://drive.google.com/open?id=12PBadRhz6BUuHAgyESapREWAZwEtBGbd</v>
      </c>
      <c r="CB258" s="15" t="s">
        <v>2821</v>
      </c>
      <c r="CC258" s="15" t="s">
        <v>2821</v>
      </c>
      <c r="CD258" s="25" t="s">
        <v>2797</v>
      </c>
      <c r="CE258" s="18"/>
      <c r="CF258" s="18"/>
      <c r="CG258" s="18"/>
    </row>
    <row r="259" ht="18.75" hidden="1" customHeight="1">
      <c r="A259" s="14">
        <v>44737.685376759255</v>
      </c>
      <c r="B259" s="15" t="s">
        <v>1962</v>
      </c>
      <c r="C259" s="16" t="s">
        <v>8969</v>
      </c>
      <c r="D259" s="15" t="str">
        <f>IFERROR(__xludf.DUMMYFUNCTION("QUERY(TY_ALL_2023_Batch!$A$1:$E$824, ""SELECT E WHERE C='""&amp;B259&amp;""'"", 0)"),"E&amp;TC")</f>
        <v>E&amp;TC</v>
      </c>
      <c r="E259" s="15" t="s">
        <v>8970</v>
      </c>
      <c r="F259" s="15" t="s">
        <v>5406</v>
      </c>
      <c r="G259" s="15" t="s">
        <v>3852</v>
      </c>
      <c r="H259" s="15" t="s">
        <v>2785</v>
      </c>
      <c r="I259" s="17">
        <v>37140.0</v>
      </c>
      <c r="J259" s="15">
        <v>2019.0</v>
      </c>
      <c r="K259" s="15" t="s">
        <v>2786</v>
      </c>
      <c r="L259" s="15" t="s">
        <v>2787</v>
      </c>
      <c r="M259" s="18"/>
      <c r="N259" s="15" t="s">
        <v>8971</v>
      </c>
      <c r="O259" s="15" t="s">
        <v>1962</v>
      </c>
      <c r="P259" s="19" t="s">
        <v>8972</v>
      </c>
      <c r="Q259" s="15">
        <v>8.97536402E9</v>
      </c>
      <c r="R259" s="15">
        <v>8.97536402E9</v>
      </c>
      <c r="S259" s="15">
        <v>7.083834035E9</v>
      </c>
      <c r="T259" s="15" t="s">
        <v>8973</v>
      </c>
      <c r="U259" s="15" t="s">
        <v>8974</v>
      </c>
      <c r="V259" s="15" t="s">
        <v>8975</v>
      </c>
      <c r="W259" s="18"/>
      <c r="X259" s="15">
        <v>93.0</v>
      </c>
      <c r="Y259" s="15" t="s">
        <v>2795</v>
      </c>
      <c r="Z259" s="15">
        <v>8.81</v>
      </c>
      <c r="AA259" s="15">
        <v>8.15</v>
      </c>
      <c r="AB259" s="15">
        <v>8.84</v>
      </c>
      <c r="AC259" s="15">
        <v>8.64</v>
      </c>
      <c r="AD259" s="15" t="s">
        <v>2796</v>
      </c>
      <c r="AE259" s="15" t="s">
        <v>2796</v>
      </c>
      <c r="AF259" s="15">
        <v>8.32</v>
      </c>
      <c r="AG259" s="15">
        <v>9.24</v>
      </c>
      <c r="AH259" s="15">
        <v>79.38</v>
      </c>
      <c r="AI259" s="18"/>
      <c r="AJ259" s="15" t="s">
        <v>2787</v>
      </c>
      <c r="AK259" s="15" t="s">
        <v>2787</v>
      </c>
      <c r="AL259" s="15">
        <v>565.0</v>
      </c>
      <c r="AM259" s="15">
        <v>610.0</v>
      </c>
      <c r="AN259" s="15" t="s">
        <v>2797</v>
      </c>
      <c r="AO259" s="18"/>
      <c r="AP259" s="18"/>
      <c r="AQ259" s="15" t="s">
        <v>5356</v>
      </c>
      <c r="AR259" s="15" t="s">
        <v>8745</v>
      </c>
      <c r="AS259" s="15" t="s">
        <v>8976</v>
      </c>
      <c r="AT259" s="18"/>
      <c r="AU259" s="15" t="s">
        <v>8977</v>
      </c>
      <c r="AV259" s="15" t="s">
        <v>8978</v>
      </c>
      <c r="AW259" s="15" t="s">
        <v>8979</v>
      </c>
      <c r="AX259" s="18"/>
      <c r="AY259" s="15" t="s">
        <v>8980</v>
      </c>
      <c r="AZ259" s="15" t="s">
        <v>5287</v>
      </c>
      <c r="BA259" s="15" t="s">
        <v>5552</v>
      </c>
      <c r="BB259" s="15" t="s">
        <v>5729</v>
      </c>
      <c r="BC259" s="15" t="s">
        <v>4746</v>
      </c>
      <c r="BD259" s="15" t="s">
        <v>2807</v>
      </c>
      <c r="BE259" s="15" t="s">
        <v>8981</v>
      </c>
      <c r="BF259" s="18"/>
      <c r="BG259" s="18"/>
      <c r="BH259" s="18"/>
      <c r="BI259" s="18"/>
      <c r="BJ259" s="19" t="s">
        <v>8982</v>
      </c>
      <c r="BK259" s="19" t="s">
        <v>8983</v>
      </c>
      <c r="BL259" s="19" t="s">
        <v>8984</v>
      </c>
      <c r="BM259" s="19" t="s">
        <v>8985</v>
      </c>
      <c r="BN259" s="19" t="s">
        <v>8986</v>
      </c>
      <c r="BO259" s="19" t="s">
        <v>8987</v>
      </c>
      <c r="BP259" s="18"/>
      <c r="BQ259" s="15" t="s">
        <v>1193</v>
      </c>
      <c r="BR259" s="18"/>
      <c r="BS259" s="18"/>
      <c r="BT259" s="18"/>
      <c r="BU259" s="18"/>
      <c r="BV259" s="18"/>
      <c r="BW259" s="15" t="s">
        <v>2796</v>
      </c>
      <c r="BX259" s="18"/>
      <c r="BY259" s="18" t="str">
        <f t="shared" si="104"/>
        <v>E&amp;TC</v>
      </c>
      <c r="BZ259" s="24" t="str">
        <f t="shared" si="100"/>
        <v>https://drive.google.com/open?id=15ivt1rIsQFtnF0aLYP46hlZ1C9z__QCt</v>
      </c>
      <c r="CA259" s="24" t="str">
        <f t="shared" si="101"/>
        <v>https://drive.google.com/open?id=1ZFaYDU9Czyyp07or6DXihMw8LPmmLGhZ</v>
      </c>
      <c r="CB259" s="15" t="s">
        <v>2821</v>
      </c>
      <c r="CC259" s="15" t="s">
        <v>2821</v>
      </c>
      <c r="CD259" s="25" t="s">
        <v>2797</v>
      </c>
      <c r="CE259" s="18"/>
      <c r="CF259" s="18"/>
      <c r="CG259" s="18"/>
    </row>
    <row r="260" ht="18.75" hidden="1" customHeight="1">
      <c r="A260" s="14">
        <v>44742.80785967593</v>
      </c>
      <c r="B260" s="15" t="s">
        <v>1833</v>
      </c>
      <c r="C260" s="16" t="s">
        <v>8988</v>
      </c>
      <c r="D260" s="15" t="str">
        <f>IFERROR(__xludf.DUMMYFUNCTION("QUERY(TY_ALL_2023_Batch!$A$1:$E$824, ""SELECT E WHERE C='""&amp;B260&amp;""'"", 0)"),"E&amp;TC")</f>
        <v>E&amp;TC</v>
      </c>
      <c r="E260" s="15" t="s">
        <v>8989</v>
      </c>
      <c r="F260" s="15" t="s">
        <v>5639</v>
      </c>
      <c r="G260" s="15" t="s">
        <v>8990</v>
      </c>
      <c r="H260" s="15" t="s">
        <v>2826</v>
      </c>
      <c r="I260" s="17">
        <v>36881.0</v>
      </c>
      <c r="J260" s="15">
        <v>2019.0</v>
      </c>
      <c r="K260" s="15" t="s">
        <v>2786</v>
      </c>
      <c r="L260" s="15" t="s">
        <v>2787</v>
      </c>
      <c r="M260" s="18"/>
      <c r="N260" s="15" t="s">
        <v>8991</v>
      </c>
      <c r="O260" s="15" t="s">
        <v>1833</v>
      </c>
      <c r="P260" s="19" t="s">
        <v>8992</v>
      </c>
      <c r="Q260" s="15">
        <v>9.112437837E9</v>
      </c>
      <c r="R260" s="15">
        <v>9.112437837E9</v>
      </c>
      <c r="S260" s="18"/>
      <c r="T260" s="15" t="s">
        <v>5639</v>
      </c>
      <c r="U260" s="15" t="s">
        <v>6682</v>
      </c>
      <c r="V260" s="15" t="s">
        <v>8993</v>
      </c>
      <c r="W260" s="15"/>
      <c r="X260" s="15">
        <v>95.4</v>
      </c>
      <c r="Y260" s="15" t="s">
        <v>2795</v>
      </c>
      <c r="Z260" s="15">
        <v>8.81</v>
      </c>
      <c r="AA260" s="15">
        <v>8.75</v>
      </c>
      <c r="AB260" s="15" t="s">
        <v>2796</v>
      </c>
      <c r="AC260" s="15" t="s">
        <v>2796</v>
      </c>
      <c r="AD260" s="15" t="s">
        <v>2796</v>
      </c>
      <c r="AE260" s="15" t="s">
        <v>2796</v>
      </c>
      <c r="AF260" s="15">
        <v>7.86</v>
      </c>
      <c r="AG260" s="15">
        <v>7.58</v>
      </c>
      <c r="AH260" s="15">
        <v>80.92</v>
      </c>
      <c r="AI260" s="18"/>
      <c r="AJ260" s="15" t="s">
        <v>2787</v>
      </c>
      <c r="AK260" s="15" t="s">
        <v>2787</v>
      </c>
      <c r="AL260" s="15" t="s">
        <v>8994</v>
      </c>
      <c r="AM260" s="15" t="s">
        <v>8995</v>
      </c>
      <c r="AN260" s="15" t="s">
        <v>2787</v>
      </c>
      <c r="AO260" s="18"/>
      <c r="AP260" s="15" t="s">
        <v>8996</v>
      </c>
      <c r="AQ260" s="15" t="s">
        <v>8997</v>
      </c>
      <c r="AR260" s="15" t="s">
        <v>8998</v>
      </c>
      <c r="AS260" s="15"/>
      <c r="AT260" s="18"/>
      <c r="AU260" s="15" t="s">
        <v>8999</v>
      </c>
      <c r="AV260" s="15" t="s">
        <v>9000</v>
      </c>
      <c r="AW260" s="15" t="s">
        <v>9001</v>
      </c>
      <c r="AX260" s="18"/>
      <c r="AY260" s="15" t="s">
        <v>9002</v>
      </c>
      <c r="AZ260" s="15" t="s">
        <v>4670</v>
      </c>
      <c r="BA260" s="15" t="s">
        <v>5552</v>
      </c>
      <c r="BB260" s="15" t="s">
        <v>9003</v>
      </c>
      <c r="BC260" s="15" t="s">
        <v>5394</v>
      </c>
      <c r="BD260" s="15" t="s">
        <v>2842</v>
      </c>
      <c r="BE260" s="15" t="s">
        <v>9004</v>
      </c>
      <c r="BF260" s="15" t="s">
        <v>9005</v>
      </c>
      <c r="BG260" s="18"/>
      <c r="BH260" s="15" t="s">
        <v>9006</v>
      </c>
      <c r="BI260" s="15" t="s">
        <v>9007</v>
      </c>
      <c r="BJ260" s="19" t="s">
        <v>9008</v>
      </c>
      <c r="BK260" s="19" t="s">
        <v>9009</v>
      </c>
      <c r="BL260" s="19" t="s">
        <v>9010</v>
      </c>
      <c r="BM260" s="18"/>
      <c r="BN260" s="19" t="s">
        <v>9011</v>
      </c>
      <c r="BO260" s="19" t="s">
        <v>9012</v>
      </c>
      <c r="BP260" s="19" t="s">
        <v>9013</v>
      </c>
      <c r="BQ260" s="15" t="s">
        <v>1193</v>
      </c>
      <c r="BR260" s="26"/>
      <c r="BS260" s="26"/>
      <c r="BT260" s="19" t="s">
        <v>9014</v>
      </c>
      <c r="BU260" s="19" t="s">
        <v>9015</v>
      </c>
      <c r="BV260" s="26"/>
      <c r="BW260" s="15" t="s">
        <v>9016</v>
      </c>
      <c r="BX260" s="26"/>
      <c r="BY260" s="18" t="str">
        <f t="shared" si="104"/>
        <v>E&amp;TC</v>
      </c>
      <c r="BZ260" s="24" t="str">
        <f t="shared" si="100"/>
        <v>https://drive.google.com/open?id=17BzyueHOwILTekgTIoG2fwN_zGJppppc</v>
      </c>
      <c r="CA260" s="18" t="str">
        <f t="shared" si="101"/>
        <v/>
      </c>
      <c r="CB260" s="15" t="s">
        <v>2821</v>
      </c>
      <c r="CC260" s="15" t="s">
        <v>2908</v>
      </c>
      <c r="CD260" s="25" t="s">
        <v>2909</v>
      </c>
      <c r="CE260" s="18"/>
      <c r="CF260" s="18"/>
      <c r="CG260" s="18"/>
    </row>
    <row r="261" ht="18.75" hidden="1" customHeight="1">
      <c r="A261" s="14">
        <v>44735.97419216435</v>
      </c>
      <c r="B261" s="15" t="s">
        <v>2025</v>
      </c>
      <c r="C261" s="16" t="s">
        <v>9017</v>
      </c>
      <c r="D261" s="15" t="str">
        <f>IFERROR(__xludf.DUMMYFUNCTION("QUERY(TY_ALL_2023_Batch!$A$1:$E$824, ""SELECT E WHERE C='""&amp;B261&amp;""'"", 0)"),"E&amp;TC")</f>
        <v>E&amp;TC</v>
      </c>
      <c r="E261" s="15" t="s">
        <v>9018</v>
      </c>
      <c r="F261" s="15" t="s">
        <v>9019</v>
      </c>
      <c r="G261" s="15" t="s">
        <v>9020</v>
      </c>
      <c r="H261" s="15" t="s">
        <v>2826</v>
      </c>
      <c r="I261" s="17">
        <v>36994.0</v>
      </c>
      <c r="J261" s="15">
        <v>2019.0</v>
      </c>
      <c r="K261" s="15" t="s">
        <v>2786</v>
      </c>
      <c r="L261" s="15" t="s">
        <v>2787</v>
      </c>
      <c r="M261" s="18"/>
      <c r="N261" s="15" t="s">
        <v>9021</v>
      </c>
      <c r="O261" s="15" t="s">
        <v>2025</v>
      </c>
      <c r="P261" s="19" t="s">
        <v>9022</v>
      </c>
      <c r="Q261" s="15">
        <v>7.666225695E9</v>
      </c>
      <c r="R261" s="15">
        <v>8.97598198E9</v>
      </c>
      <c r="S261" s="15">
        <v>7.666225695E9</v>
      </c>
      <c r="T261" s="15" t="s">
        <v>9023</v>
      </c>
      <c r="U261" s="15" t="s">
        <v>9024</v>
      </c>
      <c r="V261" s="15" t="s">
        <v>9025</v>
      </c>
      <c r="W261" s="15" t="s">
        <v>9026</v>
      </c>
      <c r="X261" s="15">
        <v>71.0</v>
      </c>
      <c r="Y261" s="15" t="s">
        <v>2795</v>
      </c>
      <c r="Z261" s="15">
        <v>6.71</v>
      </c>
      <c r="AA261" s="15">
        <v>7.45</v>
      </c>
      <c r="AB261" s="15" t="s">
        <v>2796</v>
      </c>
      <c r="AC261" s="15" t="s">
        <v>2796</v>
      </c>
      <c r="AD261" s="15" t="s">
        <v>2796</v>
      </c>
      <c r="AE261" s="15" t="s">
        <v>2796</v>
      </c>
      <c r="AF261" s="15">
        <v>7.11</v>
      </c>
      <c r="AG261" s="15">
        <v>8.24</v>
      </c>
      <c r="AH261" s="15">
        <v>60.62</v>
      </c>
      <c r="AI261" s="18"/>
      <c r="AJ261" s="15" t="s">
        <v>2787</v>
      </c>
      <c r="AK261" s="15" t="s">
        <v>2797</v>
      </c>
      <c r="AL261" s="18"/>
      <c r="AM261" s="18"/>
      <c r="AN261" s="15" t="s">
        <v>2787</v>
      </c>
      <c r="AO261" s="18"/>
      <c r="AP261" s="18"/>
      <c r="AQ261" s="15" t="s">
        <v>9027</v>
      </c>
      <c r="AR261" s="15" t="s">
        <v>9028</v>
      </c>
      <c r="AS261" s="15" t="s">
        <v>9029</v>
      </c>
      <c r="AT261" s="18"/>
      <c r="AU261" s="15" t="s">
        <v>9030</v>
      </c>
      <c r="AV261" s="15" t="s">
        <v>9031</v>
      </c>
      <c r="AW261" s="15" t="s">
        <v>9032</v>
      </c>
      <c r="AX261" s="18"/>
      <c r="AY261" s="15" t="s">
        <v>9033</v>
      </c>
      <c r="AZ261" s="15" t="s">
        <v>4670</v>
      </c>
      <c r="BA261" s="15" t="s">
        <v>8441</v>
      </c>
      <c r="BB261" s="15" t="s">
        <v>7572</v>
      </c>
      <c r="BC261" s="15" t="s">
        <v>5524</v>
      </c>
      <c r="BD261" s="15" t="s">
        <v>2807</v>
      </c>
      <c r="BE261" s="15" t="s">
        <v>2796</v>
      </c>
      <c r="BF261" s="18"/>
      <c r="BG261" s="18"/>
      <c r="BH261" s="18"/>
      <c r="BI261" s="15"/>
      <c r="BJ261" s="19" t="s">
        <v>9034</v>
      </c>
      <c r="BK261" s="19" t="s">
        <v>9035</v>
      </c>
      <c r="BL261" s="18"/>
      <c r="BM261" s="18"/>
      <c r="BN261" s="28" t="s">
        <v>2931</v>
      </c>
      <c r="BO261" s="19" t="s">
        <v>9036</v>
      </c>
      <c r="BP261" s="19" t="s">
        <v>9037</v>
      </c>
      <c r="BQ261" s="15" t="s">
        <v>1193</v>
      </c>
      <c r="BR261" s="26"/>
      <c r="BS261" s="26"/>
      <c r="BT261" s="26"/>
      <c r="BU261" s="26"/>
      <c r="BV261" s="26"/>
      <c r="BW261" s="26"/>
      <c r="BX261" s="26"/>
      <c r="BY261" s="18" t="str">
        <f t="shared" si="104"/>
        <v>E&amp;TC</v>
      </c>
      <c r="BZ261" s="18" t="str">
        <f t="shared" si="100"/>
        <v/>
      </c>
      <c r="CA261" s="18" t="str">
        <f t="shared" si="101"/>
        <v/>
      </c>
      <c r="CB261" s="15" t="s">
        <v>2908</v>
      </c>
      <c r="CC261" s="15" t="s">
        <v>2908</v>
      </c>
      <c r="CD261" s="25" t="s">
        <v>2797</v>
      </c>
      <c r="CE261" s="18"/>
      <c r="CF261" s="18"/>
      <c r="CG261" s="18"/>
    </row>
    <row r="262" ht="18.75" hidden="1" customHeight="1">
      <c r="A262" s="14">
        <v>44740.512940636574</v>
      </c>
      <c r="B262" s="15" t="s">
        <v>1734</v>
      </c>
      <c r="C262" s="16" t="s">
        <v>9038</v>
      </c>
      <c r="D262" s="15" t="str">
        <f>IFERROR(__xludf.DUMMYFUNCTION("QUERY(TY_ALL_2023_Batch!$A$1:$E$824, ""SELECT E WHERE C='""&amp;B262&amp;""'"", 0)"),"E&amp;TC")</f>
        <v>E&amp;TC</v>
      </c>
      <c r="E262" s="15" t="s">
        <v>3549</v>
      </c>
      <c r="F262" s="15" t="s">
        <v>2972</v>
      </c>
      <c r="G262" s="15" t="s">
        <v>6743</v>
      </c>
      <c r="H262" s="15" t="s">
        <v>2826</v>
      </c>
      <c r="I262" s="17">
        <v>37074.0</v>
      </c>
      <c r="J262" s="15">
        <v>2019.0</v>
      </c>
      <c r="K262" s="15" t="s">
        <v>2786</v>
      </c>
      <c r="L262" s="15" t="s">
        <v>2787</v>
      </c>
      <c r="M262" s="18"/>
      <c r="N262" s="15" t="s">
        <v>9039</v>
      </c>
      <c r="O262" s="15" t="s">
        <v>1734</v>
      </c>
      <c r="P262" s="19" t="s">
        <v>9040</v>
      </c>
      <c r="Q262" s="15">
        <v>9.834345814E9</v>
      </c>
      <c r="R262" s="15">
        <v>9.834345814E9</v>
      </c>
      <c r="S262" s="15">
        <v>9.834345814E9</v>
      </c>
      <c r="T262" s="15" t="s">
        <v>9041</v>
      </c>
      <c r="U262" s="15" t="s">
        <v>9042</v>
      </c>
      <c r="V262" s="15" t="s">
        <v>9043</v>
      </c>
      <c r="W262" s="15" t="s">
        <v>9044</v>
      </c>
      <c r="X262" s="15">
        <v>95.8</v>
      </c>
      <c r="Y262" s="15" t="s">
        <v>2795</v>
      </c>
      <c r="Z262" s="15">
        <v>8.8</v>
      </c>
      <c r="AA262" s="15">
        <v>8.77</v>
      </c>
      <c r="AB262" s="15" t="s">
        <v>2796</v>
      </c>
      <c r="AC262" s="15" t="s">
        <v>2796</v>
      </c>
      <c r="AD262" s="15" t="s">
        <v>2796</v>
      </c>
      <c r="AE262" s="15" t="s">
        <v>2796</v>
      </c>
      <c r="AF262" s="15">
        <v>8.47</v>
      </c>
      <c r="AG262" s="15">
        <v>8.8</v>
      </c>
      <c r="AH262" s="15">
        <v>82.15</v>
      </c>
      <c r="AI262" s="18"/>
      <c r="AJ262" s="15" t="s">
        <v>2787</v>
      </c>
      <c r="AK262" s="15" t="s">
        <v>2787</v>
      </c>
      <c r="AL262" s="15">
        <v>92.5</v>
      </c>
      <c r="AM262" s="15">
        <v>98.33</v>
      </c>
      <c r="AN262" s="15" t="s">
        <v>2787</v>
      </c>
      <c r="AO262" s="15" t="s">
        <v>7277</v>
      </c>
      <c r="AP262" s="15" t="s">
        <v>9045</v>
      </c>
      <c r="AQ262" s="15" t="s">
        <v>5356</v>
      </c>
      <c r="AR262" s="15" t="s">
        <v>9046</v>
      </c>
      <c r="AS262" s="15" t="s">
        <v>9047</v>
      </c>
      <c r="AT262" s="18"/>
      <c r="AU262" s="18"/>
      <c r="AV262" s="18"/>
      <c r="AW262" s="15" t="s">
        <v>9048</v>
      </c>
      <c r="AX262" s="18"/>
      <c r="AY262" s="15" t="s">
        <v>9049</v>
      </c>
      <c r="AZ262" s="15" t="s">
        <v>5287</v>
      </c>
      <c r="BA262" s="15" t="s">
        <v>2870</v>
      </c>
      <c r="BB262" s="15" t="s">
        <v>2807</v>
      </c>
      <c r="BC262" s="15" t="s">
        <v>8295</v>
      </c>
      <c r="BD262" s="15" t="s">
        <v>2842</v>
      </c>
      <c r="BE262" s="15" t="s">
        <v>9050</v>
      </c>
      <c r="BF262" s="18"/>
      <c r="BG262" s="18"/>
      <c r="BH262" s="18"/>
      <c r="BI262" s="18"/>
      <c r="BJ262" s="19" t="s">
        <v>9051</v>
      </c>
      <c r="BK262" s="19" t="s">
        <v>9052</v>
      </c>
      <c r="BL262" s="19" t="s">
        <v>9053</v>
      </c>
      <c r="BM262" s="19" t="s">
        <v>9054</v>
      </c>
      <c r="BN262" s="19" t="s">
        <v>9055</v>
      </c>
      <c r="BO262" s="19" t="s">
        <v>9056</v>
      </c>
      <c r="BP262" s="18"/>
      <c r="BQ262" s="15" t="s">
        <v>1193</v>
      </c>
      <c r="BR262" s="26"/>
      <c r="BS262" s="19" t="s">
        <v>9057</v>
      </c>
      <c r="BT262" s="19" t="s">
        <v>9058</v>
      </c>
      <c r="BU262" s="19" t="s">
        <v>9059</v>
      </c>
      <c r="BV262" s="19" t="s">
        <v>9060</v>
      </c>
      <c r="BW262" s="15" t="s">
        <v>9061</v>
      </c>
      <c r="BX262" s="26"/>
      <c r="BY262" s="18" t="str">
        <f t="shared" si="104"/>
        <v>E&amp;TC</v>
      </c>
      <c r="BZ262" s="24" t="str">
        <f t="shared" si="100"/>
        <v>https://drive.google.com/open?id=1xTVeV1aWcqs6e_W7QLmpwk4bwrZMf_iZ</v>
      </c>
      <c r="CA262" s="24" t="str">
        <f t="shared" si="101"/>
        <v>https://drive.google.com/open?id=1BuiuK4WsRes6qL1q10xoOh1RASxRyivd</v>
      </c>
      <c r="CB262" s="15" t="s">
        <v>2821</v>
      </c>
      <c r="CC262" s="15" t="s">
        <v>2821</v>
      </c>
      <c r="CD262" s="25" t="s">
        <v>2909</v>
      </c>
      <c r="CE262" s="18"/>
      <c r="CF262" s="18"/>
      <c r="CG262" s="18"/>
    </row>
    <row r="263" ht="18.75" hidden="1" customHeight="1">
      <c r="A263" s="14">
        <v>44742.96122159722</v>
      </c>
      <c r="B263" s="15" t="s">
        <v>1980</v>
      </c>
      <c r="C263" s="16" t="s">
        <v>9062</v>
      </c>
      <c r="D263" s="15" t="str">
        <f>IFERROR(__xludf.DUMMYFUNCTION("QUERY(TY_ALL_2023_Batch!$A$1:$E$824, ""SELECT E WHERE C='""&amp;B263&amp;""'"", 0)"),"E&amp;TC")</f>
        <v>E&amp;TC</v>
      </c>
      <c r="E263" s="15" t="s">
        <v>5205</v>
      </c>
      <c r="F263" s="15" t="s">
        <v>9063</v>
      </c>
      <c r="G263" s="15" t="s">
        <v>4542</v>
      </c>
      <c r="H263" s="15" t="s">
        <v>2826</v>
      </c>
      <c r="I263" s="17">
        <v>36927.0</v>
      </c>
      <c r="J263" s="15">
        <v>2019.0</v>
      </c>
      <c r="K263" s="15" t="s">
        <v>2786</v>
      </c>
      <c r="L263" s="15" t="s">
        <v>2787</v>
      </c>
      <c r="M263" s="18"/>
      <c r="N263" s="15" t="s">
        <v>9064</v>
      </c>
      <c r="O263" s="15" t="s">
        <v>1980</v>
      </c>
      <c r="P263" s="19" t="s">
        <v>9065</v>
      </c>
      <c r="Q263" s="15">
        <v>8.777273663E9</v>
      </c>
      <c r="R263" s="15">
        <v>8.777273663E9</v>
      </c>
      <c r="S263" s="15">
        <v>8.420197107E9</v>
      </c>
      <c r="T263" s="15" t="s">
        <v>9066</v>
      </c>
      <c r="U263" s="15" t="s">
        <v>9067</v>
      </c>
      <c r="V263" s="15" t="s">
        <v>9068</v>
      </c>
      <c r="W263" s="15" t="s">
        <v>9069</v>
      </c>
      <c r="X263" s="15">
        <v>65.45</v>
      </c>
      <c r="Y263" s="15" t="s">
        <v>2795</v>
      </c>
      <c r="Z263" s="15">
        <v>8.9</v>
      </c>
      <c r="AA263" s="15">
        <v>9.0</v>
      </c>
      <c r="AB263" s="15" t="s">
        <v>2796</v>
      </c>
      <c r="AC263" s="15" t="s">
        <v>2796</v>
      </c>
      <c r="AD263" s="15" t="s">
        <v>2796</v>
      </c>
      <c r="AE263" s="15" t="s">
        <v>2796</v>
      </c>
      <c r="AF263" s="15">
        <v>7.68</v>
      </c>
      <c r="AG263" s="15">
        <v>8.43</v>
      </c>
      <c r="AH263" s="15">
        <v>61.0</v>
      </c>
      <c r="AI263" s="18"/>
      <c r="AJ263" s="15" t="s">
        <v>2787</v>
      </c>
      <c r="AK263" s="15" t="s">
        <v>2787</v>
      </c>
      <c r="AL263" s="42">
        <v>0.6518</v>
      </c>
      <c r="AM263" s="42">
        <v>0.6314</v>
      </c>
      <c r="AN263" s="15" t="s">
        <v>2797</v>
      </c>
      <c r="AO263" s="15">
        <v>0.0</v>
      </c>
      <c r="AP263" s="15" t="s">
        <v>2796</v>
      </c>
      <c r="AQ263" s="15" t="s">
        <v>9070</v>
      </c>
      <c r="AR263" s="15" t="s">
        <v>9071</v>
      </c>
      <c r="AS263" s="15" t="s">
        <v>9072</v>
      </c>
      <c r="AT263" s="15" t="s">
        <v>9073</v>
      </c>
      <c r="AU263" s="15" t="s">
        <v>9074</v>
      </c>
      <c r="AV263" s="15" t="s">
        <v>9075</v>
      </c>
      <c r="AW263" s="15" t="s">
        <v>9076</v>
      </c>
      <c r="AX263" s="18"/>
      <c r="AY263" s="15" t="s">
        <v>9077</v>
      </c>
      <c r="AZ263" s="15" t="s">
        <v>4670</v>
      </c>
      <c r="BA263" s="15" t="s">
        <v>2806</v>
      </c>
      <c r="BB263" s="15" t="s">
        <v>9078</v>
      </c>
      <c r="BC263" s="15" t="s">
        <v>9079</v>
      </c>
      <c r="BD263" s="15" t="s">
        <v>2807</v>
      </c>
      <c r="BE263" s="15" t="s">
        <v>9080</v>
      </c>
      <c r="BF263" s="15" t="s">
        <v>9081</v>
      </c>
      <c r="BG263" s="15" t="s">
        <v>3313</v>
      </c>
      <c r="BH263" s="15" t="s">
        <v>9082</v>
      </c>
      <c r="BI263" s="15" t="s">
        <v>9083</v>
      </c>
      <c r="BJ263" s="19" t="s">
        <v>9084</v>
      </c>
      <c r="BK263" s="19" t="s">
        <v>9085</v>
      </c>
      <c r="BL263" s="19" t="s">
        <v>9086</v>
      </c>
      <c r="BM263" s="19" t="s">
        <v>9087</v>
      </c>
      <c r="BN263" s="19" t="s">
        <v>9088</v>
      </c>
      <c r="BO263" s="19" t="s">
        <v>9089</v>
      </c>
      <c r="BP263" s="19" t="s">
        <v>9090</v>
      </c>
      <c r="BQ263" s="15" t="s">
        <v>1193</v>
      </c>
      <c r="BR263" s="19" t="s">
        <v>9088</v>
      </c>
      <c r="BS263" s="19" t="s">
        <v>9089</v>
      </c>
      <c r="BT263" s="19" t="s">
        <v>9091</v>
      </c>
      <c r="BU263" s="19" t="s">
        <v>9092</v>
      </c>
      <c r="BV263" s="19" t="s">
        <v>9087</v>
      </c>
      <c r="BW263" s="15" t="s">
        <v>9093</v>
      </c>
      <c r="BX263" s="15"/>
      <c r="BY263" s="18" t="str">
        <f t="shared" si="104"/>
        <v>E&amp;TC</v>
      </c>
      <c r="BZ263" s="24" t="str">
        <f t="shared" si="100"/>
        <v>https://drive.google.com/file/d/1h-2rE8Zuhw0Ym7FOoECvpEOoEaln7-Pk/view?usp=sharing</v>
      </c>
      <c r="CA263" s="24" t="str">
        <f t="shared" si="101"/>
        <v>https://drive.google.com/open?id=1z7e15fucf1cBwSysuXwMzlv8i8rZvJkL</v>
      </c>
      <c r="CB263" s="15" t="s">
        <v>2821</v>
      </c>
      <c r="CC263" s="15" t="s">
        <v>2821</v>
      </c>
      <c r="CD263" s="25" t="s">
        <v>2787</v>
      </c>
      <c r="CE263" s="18"/>
      <c r="CF263" s="18"/>
      <c r="CG263" s="18"/>
    </row>
    <row r="264" ht="18.75" hidden="1" customHeight="1">
      <c r="A264" s="14">
        <v>44735.44756314815</v>
      </c>
      <c r="B264" s="15" t="s">
        <v>1881</v>
      </c>
      <c r="C264" s="16" t="s">
        <v>9094</v>
      </c>
      <c r="D264" s="15" t="str">
        <f>IFERROR(__xludf.DUMMYFUNCTION("QUERY(TY_ALL_2023_Batch!$A$1:$E$824, ""SELECT E WHERE C='""&amp;B264&amp;""'"", 0)"),"E&amp;TC")</f>
        <v>E&amp;TC</v>
      </c>
      <c r="E264" s="15" t="s">
        <v>9095</v>
      </c>
      <c r="F264" s="15" t="s">
        <v>9096</v>
      </c>
      <c r="G264" s="15" t="s">
        <v>9097</v>
      </c>
      <c r="H264" s="15" t="s">
        <v>2785</v>
      </c>
      <c r="I264" s="17">
        <v>36689.0</v>
      </c>
      <c r="J264" s="15">
        <v>2019.0</v>
      </c>
      <c r="K264" s="15" t="s">
        <v>2786</v>
      </c>
      <c r="L264" s="15" t="s">
        <v>2787</v>
      </c>
      <c r="M264" s="18"/>
      <c r="N264" s="15" t="s">
        <v>9098</v>
      </c>
      <c r="O264" s="15" t="s">
        <v>1881</v>
      </c>
      <c r="P264" s="19" t="s">
        <v>9099</v>
      </c>
      <c r="Q264" s="15">
        <v>7.448288664E9</v>
      </c>
      <c r="R264" s="15">
        <v>8.600827858E9</v>
      </c>
      <c r="S264" s="15">
        <v>7.448288664E9</v>
      </c>
      <c r="T264" s="15" t="s">
        <v>9096</v>
      </c>
      <c r="U264" s="15" t="s">
        <v>9100</v>
      </c>
      <c r="V264" s="15" t="s">
        <v>9101</v>
      </c>
      <c r="W264" s="15" t="s">
        <v>9102</v>
      </c>
      <c r="X264" s="15">
        <v>92.0</v>
      </c>
      <c r="Y264" s="15" t="s">
        <v>2795</v>
      </c>
      <c r="Z264" s="15">
        <v>9.0</v>
      </c>
      <c r="AA264" s="15">
        <v>9.02</v>
      </c>
      <c r="AB264" s="15" t="s">
        <v>2796</v>
      </c>
      <c r="AC264" s="15" t="s">
        <v>2796</v>
      </c>
      <c r="AD264" s="15" t="s">
        <v>2796</v>
      </c>
      <c r="AE264" s="15" t="s">
        <v>2796</v>
      </c>
      <c r="AF264" s="15">
        <v>7.84</v>
      </c>
      <c r="AG264" s="15">
        <v>8.9</v>
      </c>
      <c r="AH264" s="15">
        <v>77.69</v>
      </c>
      <c r="AI264" s="18"/>
      <c r="AJ264" s="15" t="s">
        <v>2787</v>
      </c>
      <c r="AK264" s="15" t="s">
        <v>2787</v>
      </c>
      <c r="AL264" s="15">
        <v>660.0</v>
      </c>
      <c r="AM264" s="15">
        <v>638.33</v>
      </c>
      <c r="AN264" s="15" t="s">
        <v>2797</v>
      </c>
      <c r="AO264" s="15" t="s">
        <v>2796</v>
      </c>
      <c r="AP264" s="15" t="s">
        <v>2796</v>
      </c>
      <c r="AQ264" s="15" t="s">
        <v>9103</v>
      </c>
      <c r="AR264" s="15" t="s">
        <v>9104</v>
      </c>
      <c r="AS264" s="15" t="s">
        <v>2796</v>
      </c>
      <c r="AT264" s="15" t="s">
        <v>2796</v>
      </c>
      <c r="AU264" s="15" t="s">
        <v>2796</v>
      </c>
      <c r="AV264" s="15" t="s">
        <v>9105</v>
      </c>
      <c r="AW264" s="15" t="s">
        <v>9106</v>
      </c>
      <c r="AX264" s="15" t="s">
        <v>2796</v>
      </c>
      <c r="AY264" s="15" t="s">
        <v>9107</v>
      </c>
      <c r="AZ264" s="15" t="s">
        <v>5625</v>
      </c>
      <c r="BA264" s="15" t="s">
        <v>9108</v>
      </c>
      <c r="BB264" s="15" t="s">
        <v>5673</v>
      </c>
      <c r="BC264" s="15" t="s">
        <v>9109</v>
      </c>
      <c r="BD264" s="15" t="s">
        <v>2807</v>
      </c>
      <c r="BE264" s="15" t="s">
        <v>9110</v>
      </c>
      <c r="BF264" s="15" t="s">
        <v>2796</v>
      </c>
      <c r="BG264" s="15" t="s">
        <v>2796</v>
      </c>
      <c r="BH264" s="15" t="s">
        <v>2796</v>
      </c>
      <c r="BI264" s="15" t="s">
        <v>9111</v>
      </c>
      <c r="BJ264" s="19" t="s">
        <v>9112</v>
      </c>
      <c r="BK264" s="19" t="s">
        <v>9113</v>
      </c>
      <c r="BL264" s="19" t="s">
        <v>9114</v>
      </c>
      <c r="BM264" s="19" t="s">
        <v>9115</v>
      </c>
      <c r="BN264" s="19" t="s">
        <v>9116</v>
      </c>
      <c r="BO264" s="19" t="s">
        <v>9117</v>
      </c>
      <c r="BP264" s="19" t="s">
        <v>9118</v>
      </c>
      <c r="BQ264" s="15" t="s">
        <v>1193</v>
      </c>
      <c r="BR264" s="26"/>
      <c r="BS264" s="26"/>
      <c r="BT264" s="26"/>
      <c r="BU264" s="26"/>
      <c r="BV264" s="26"/>
      <c r="BW264" s="26"/>
      <c r="BX264" s="26"/>
      <c r="BY264" s="18" t="str">
        <f t="shared" si="104"/>
        <v>E&amp;TC</v>
      </c>
      <c r="BZ264" s="24" t="str">
        <f t="shared" si="100"/>
        <v>https://drive.google.com/open?id=1O1n-0puml6BxsqPLepkmKytUDi1aiuPA</v>
      </c>
      <c r="CA264" s="24" t="str">
        <f t="shared" si="101"/>
        <v>https://drive.google.com/open?id=1qbX_SEzWKE3K9mlBILcU01WyOU_2HuGW</v>
      </c>
      <c r="CB264" s="15" t="s">
        <v>2821</v>
      </c>
      <c r="CC264" s="15" t="s">
        <v>2821</v>
      </c>
      <c r="CD264" s="25" t="s">
        <v>2797</v>
      </c>
      <c r="CE264" s="18"/>
      <c r="CF264" s="18"/>
      <c r="CG264" s="18"/>
    </row>
    <row r="265" ht="18.75" hidden="1" customHeight="1">
      <c r="A265" s="14">
        <v>44754.047679571755</v>
      </c>
      <c r="B265" s="15" t="s">
        <v>1857</v>
      </c>
      <c r="C265" s="16" t="s">
        <v>9119</v>
      </c>
      <c r="D265" s="15" t="str">
        <f>IFERROR(__xludf.DUMMYFUNCTION("QUERY(TY_ALL_2023_Batch!$A$1:$E$824, ""SELECT E WHERE C='""&amp;B265&amp;""'"", 0)"),"E&amp;TC")</f>
        <v>E&amp;TC</v>
      </c>
      <c r="E265" s="15" t="s">
        <v>9120</v>
      </c>
      <c r="F265" s="15" t="s">
        <v>9121</v>
      </c>
      <c r="G265" s="15" t="s">
        <v>9122</v>
      </c>
      <c r="H265" s="15" t="s">
        <v>2826</v>
      </c>
      <c r="I265" s="17">
        <v>37054.0</v>
      </c>
      <c r="J265" s="15">
        <v>2019.0</v>
      </c>
      <c r="K265" s="15" t="s">
        <v>2786</v>
      </c>
      <c r="L265" s="15" t="s">
        <v>2787</v>
      </c>
      <c r="M265" s="18"/>
      <c r="N265" s="15" t="s">
        <v>9123</v>
      </c>
      <c r="O265" s="15" t="s">
        <v>1857</v>
      </c>
      <c r="P265" s="19" t="s">
        <v>9124</v>
      </c>
      <c r="Q265" s="15">
        <v>7.841013533E9</v>
      </c>
      <c r="R265" s="15">
        <v>7.841013533E9</v>
      </c>
      <c r="S265" s="15">
        <v>7.841013533E9</v>
      </c>
      <c r="T265" s="15" t="s">
        <v>9125</v>
      </c>
      <c r="U265" s="15" t="s">
        <v>9126</v>
      </c>
      <c r="V265" s="15" t="s">
        <v>9127</v>
      </c>
      <c r="W265" s="15" t="s">
        <v>9128</v>
      </c>
      <c r="X265" s="15">
        <v>95.0</v>
      </c>
      <c r="Y265" s="15" t="s">
        <v>2795</v>
      </c>
      <c r="Z265" s="15">
        <v>8.19</v>
      </c>
      <c r="AA265" s="15">
        <v>8.85</v>
      </c>
      <c r="AB265" s="15" t="s">
        <v>2796</v>
      </c>
      <c r="AC265" s="15" t="s">
        <v>2796</v>
      </c>
      <c r="AD265" s="15" t="s">
        <v>2796</v>
      </c>
      <c r="AE265" s="15" t="s">
        <v>2796</v>
      </c>
      <c r="AF265" s="15">
        <v>8.21</v>
      </c>
      <c r="AG265" s="15">
        <v>7.52</v>
      </c>
      <c r="AH265" s="15">
        <v>74.46</v>
      </c>
      <c r="AI265" s="18"/>
      <c r="AJ265" s="15" t="s">
        <v>2787</v>
      </c>
      <c r="AK265" s="15" t="s">
        <v>2787</v>
      </c>
      <c r="AL265" s="15">
        <v>620.0</v>
      </c>
      <c r="AM265" s="15">
        <v>571.66</v>
      </c>
      <c r="AN265" s="15" t="s">
        <v>2787</v>
      </c>
      <c r="AO265" s="18"/>
      <c r="AP265" s="15" t="s">
        <v>9129</v>
      </c>
      <c r="AQ265" s="15" t="s">
        <v>5356</v>
      </c>
      <c r="AR265" s="15" t="s">
        <v>9130</v>
      </c>
      <c r="AS265" s="18"/>
      <c r="AT265" s="18"/>
      <c r="AU265" s="18"/>
      <c r="AV265" s="15" t="s">
        <v>9131</v>
      </c>
      <c r="AW265" s="15" t="s">
        <v>9132</v>
      </c>
      <c r="AX265" s="15" t="s">
        <v>2796</v>
      </c>
      <c r="AY265" s="15" t="s">
        <v>5798</v>
      </c>
      <c r="AZ265" s="15" t="s">
        <v>5625</v>
      </c>
      <c r="BA265" s="15" t="s">
        <v>6488</v>
      </c>
      <c r="BB265" s="15" t="s">
        <v>9133</v>
      </c>
      <c r="BC265" s="15" t="s">
        <v>5604</v>
      </c>
      <c r="BD265" s="15" t="s">
        <v>2807</v>
      </c>
      <c r="BE265" s="15" t="s">
        <v>9134</v>
      </c>
      <c r="BF265" s="15" t="s">
        <v>9135</v>
      </c>
      <c r="BG265" s="18"/>
      <c r="BH265" s="15" t="s">
        <v>9136</v>
      </c>
      <c r="BI265" s="15" t="s">
        <v>9137</v>
      </c>
      <c r="BJ265" s="19" t="s">
        <v>9138</v>
      </c>
      <c r="BK265" s="19" t="s">
        <v>9139</v>
      </c>
      <c r="BL265" s="18"/>
      <c r="BM265" s="18"/>
      <c r="BN265" s="19" t="s">
        <v>9140</v>
      </c>
      <c r="BO265" s="19" t="s">
        <v>9141</v>
      </c>
      <c r="BP265" s="19" t="s">
        <v>9142</v>
      </c>
      <c r="BQ265" s="15" t="s">
        <v>1193</v>
      </c>
      <c r="BR265" s="26"/>
      <c r="BS265" s="26"/>
      <c r="BT265" s="26"/>
      <c r="BU265" s="26"/>
      <c r="BV265" s="26"/>
      <c r="BW265" s="15" t="s">
        <v>9143</v>
      </c>
      <c r="BX265" s="26"/>
      <c r="BY265" s="18" t="str">
        <f t="shared" si="104"/>
        <v>E&amp;TC</v>
      </c>
      <c r="BZ265" s="18" t="str">
        <f t="shared" si="100"/>
        <v/>
      </c>
      <c r="CA265" s="18" t="str">
        <f t="shared" si="101"/>
        <v/>
      </c>
      <c r="CB265" s="15" t="s">
        <v>2908</v>
      </c>
      <c r="CC265" s="15" t="s">
        <v>2908</v>
      </c>
      <c r="CD265" s="25" t="s">
        <v>2797</v>
      </c>
      <c r="CE265" s="18"/>
      <c r="CF265" s="18"/>
      <c r="CG265" s="18"/>
    </row>
    <row r="266" ht="18.75" hidden="1" customHeight="1">
      <c r="A266" s="14">
        <v>44735.42095760416</v>
      </c>
      <c r="B266" s="15" t="s">
        <v>1812</v>
      </c>
      <c r="C266" s="16" t="s">
        <v>9144</v>
      </c>
      <c r="D266" s="15" t="str">
        <f>IFERROR(__xludf.DUMMYFUNCTION("QUERY(TY_ALL_2023_Batch!$A$1:$E$824, ""SELECT E WHERE C='""&amp;B266&amp;""'"", 0)"),"E&amp;TC")</f>
        <v>E&amp;TC</v>
      </c>
      <c r="E266" s="15" t="s">
        <v>4836</v>
      </c>
      <c r="F266" s="15" t="s">
        <v>6767</v>
      </c>
      <c r="G266" s="15" t="s">
        <v>9145</v>
      </c>
      <c r="H266" s="15" t="s">
        <v>2826</v>
      </c>
      <c r="I266" s="17">
        <v>36812.0</v>
      </c>
      <c r="J266" s="15">
        <v>2019.0</v>
      </c>
      <c r="K266" s="15" t="s">
        <v>2786</v>
      </c>
      <c r="L266" s="15" t="s">
        <v>2787</v>
      </c>
      <c r="M266" s="18"/>
      <c r="N266" s="15" t="s">
        <v>9146</v>
      </c>
      <c r="O266" s="15" t="s">
        <v>1812</v>
      </c>
      <c r="P266" s="19" t="s">
        <v>9147</v>
      </c>
      <c r="Q266" s="15">
        <v>9.511951231E9</v>
      </c>
      <c r="R266" s="15">
        <v>9.511951231E9</v>
      </c>
      <c r="S266" s="18"/>
      <c r="T266" s="15" t="s">
        <v>6767</v>
      </c>
      <c r="U266" s="15" t="s">
        <v>3365</v>
      </c>
      <c r="V266" s="15" t="s">
        <v>9148</v>
      </c>
      <c r="W266" s="15" t="s">
        <v>9149</v>
      </c>
      <c r="X266" s="15">
        <v>90.6</v>
      </c>
      <c r="Y266" s="15" t="s">
        <v>2795</v>
      </c>
      <c r="Z266" s="15">
        <v>7.81</v>
      </c>
      <c r="AA266" s="15">
        <v>7.8</v>
      </c>
      <c r="AB266" s="15" t="s">
        <v>2796</v>
      </c>
      <c r="AC266" s="15" t="s">
        <v>2796</v>
      </c>
      <c r="AD266" s="15" t="s">
        <v>2796</v>
      </c>
      <c r="AE266" s="15" t="s">
        <v>2796</v>
      </c>
      <c r="AF266" s="15">
        <v>8.32</v>
      </c>
      <c r="AG266" s="15">
        <v>7.67</v>
      </c>
      <c r="AH266" s="15">
        <v>67.08</v>
      </c>
      <c r="AI266" s="18"/>
      <c r="AJ266" s="15" t="s">
        <v>2787</v>
      </c>
      <c r="AK266" s="15" t="s">
        <v>2787</v>
      </c>
      <c r="AL266" s="18"/>
      <c r="AM266" s="18"/>
      <c r="AN266" s="15" t="s">
        <v>2797</v>
      </c>
      <c r="AO266" s="18"/>
      <c r="AP266" s="18"/>
      <c r="AQ266" s="15" t="s">
        <v>9150</v>
      </c>
      <c r="AR266" s="15" t="s">
        <v>9151</v>
      </c>
      <c r="AS266" s="15" t="s">
        <v>9152</v>
      </c>
      <c r="AT266" s="18"/>
      <c r="AU266" s="18"/>
      <c r="AV266" s="18"/>
      <c r="AW266" s="15" t="s">
        <v>9153</v>
      </c>
      <c r="AX266" s="18"/>
      <c r="AY266" s="15" t="s">
        <v>9154</v>
      </c>
      <c r="AZ266" s="15" t="s">
        <v>5625</v>
      </c>
      <c r="BA266" s="15" t="s">
        <v>2899</v>
      </c>
      <c r="BB266" s="15" t="s">
        <v>2807</v>
      </c>
      <c r="BC266" s="15" t="s">
        <v>8295</v>
      </c>
      <c r="BD266" s="15" t="s">
        <v>2807</v>
      </c>
      <c r="BE266" s="15" t="s">
        <v>2796</v>
      </c>
      <c r="BF266" s="18"/>
      <c r="BG266" s="18"/>
      <c r="BH266" s="18"/>
      <c r="BI266" s="15" t="s">
        <v>9155</v>
      </c>
      <c r="BJ266" s="19" t="s">
        <v>9156</v>
      </c>
      <c r="BK266" s="19" t="s">
        <v>9157</v>
      </c>
      <c r="BL266" s="18"/>
      <c r="BM266" s="18"/>
      <c r="BN266" s="18"/>
      <c r="BO266" s="19" t="s">
        <v>9158</v>
      </c>
      <c r="BP266" s="19" t="s">
        <v>9159</v>
      </c>
      <c r="BQ266" s="15" t="s">
        <v>1193</v>
      </c>
      <c r="BR266" s="26"/>
      <c r="BS266" s="26"/>
      <c r="BT266" s="26"/>
      <c r="BU266" s="26"/>
      <c r="BV266" s="26"/>
      <c r="BW266" s="26"/>
      <c r="BX266" s="26"/>
      <c r="BY266" s="18" t="str">
        <f t="shared" si="104"/>
        <v>E&amp;TC</v>
      </c>
      <c r="BZ266" s="18" t="str">
        <f t="shared" si="100"/>
        <v/>
      </c>
      <c r="CA266" s="18" t="str">
        <f t="shared" si="101"/>
        <v/>
      </c>
      <c r="CB266" s="15" t="s">
        <v>2908</v>
      </c>
      <c r="CC266" s="15" t="s">
        <v>2908</v>
      </c>
      <c r="CD266" s="25" t="s">
        <v>2797</v>
      </c>
      <c r="CE266" s="18"/>
      <c r="CF266" s="18"/>
      <c r="CG266" s="18"/>
    </row>
    <row r="267" ht="18.75" hidden="1" customHeight="1">
      <c r="A267" s="14">
        <v>44742.93306679398</v>
      </c>
      <c r="B267" s="15" t="s">
        <v>1998</v>
      </c>
      <c r="C267" s="16" t="s">
        <v>9160</v>
      </c>
      <c r="D267" s="15" t="str">
        <f>IFERROR(__xludf.DUMMYFUNCTION("QUERY(TY_ALL_2023_Batch!$A$1:$E$824, ""SELECT E WHERE C='""&amp;B267&amp;""'"", 0)"),"E&amp;TC")</f>
        <v>E&amp;TC</v>
      </c>
      <c r="E267" s="15" t="s">
        <v>9161</v>
      </c>
      <c r="F267" s="15" t="s">
        <v>4134</v>
      </c>
      <c r="G267" s="15" t="s">
        <v>9162</v>
      </c>
      <c r="H267" s="15" t="s">
        <v>2826</v>
      </c>
      <c r="I267" s="17">
        <v>36963.0</v>
      </c>
      <c r="J267" s="15">
        <v>2019.0</v>
      </c>
      <c r="K267" s="15" t="s">
        <v>2786</v>
      </c>
      <c r="L267" s="15" t="s">
        <v>2787</v>
      </c>
      <c r="M267" s="18"/>
      <c r="N267" s="15" t="s">
        <v>9163</v>
      </c>
      <c r="O267" s="15" t="s">
        <v>1998</v>
      </c>
      <c r="P267" s="19" t="s">
        <v>9164</v>
      </c>
      <c r="Q267" s="15">
        <v>9.028518861E9</v>
      </c>
      <c r="R267" s="15">
        <v>9.028518861E9</v>
      </c>
      <c r="S267" s="18"/>
      <c r="T267" s="15" t="s">
        <v>9165</v>
      </c>
      <c r="U267" s="15" t="s">
        <v>9166</v>
      </c>
      <c r="V267" s="15" t="s">
        <v>9167</v>
      </c>
      <c r="W267" s="18"/>
      <c r="X267" s="15">
        <v>92.8</v>
      </c>
      <c r="Y267" s="15" t="s">
        <v>2795</v>
      </c>
      <c r="Z267" s="15">
        <v>9.43</v>
      </c>
      <c r="AA267" s="15">
        <v>9.0</v>
      </c>
      <c r="AB267" s="15" t="s">
        <v>2796</v>
      </c>
      <c r="AC267" s="15" t="s">
        <v>2796</v>
      </c>
      <c r="AD267" s="15" t="s">
        <v>2796</v>
      </c>
      <c r="AE267" s="15" t="s">
        <v>2796</v>
      </c>
      <c r="AF267" s="15">
        <v>8.67</v>
      </c>
      <c r="AG267" s="15">
        <v>8.68</v>
      </c>
      <c r="AH267" s="15">
        <v>74.3</v>
      </c>
      <c r="AI267" s="18"/>
      <c r="AJ267" s="15" t="s">
        <v>2787</v>
      </c>
      <c r="AK267" s="15" t="s">
        <v>2787</v>
      </c>
      <c r="AL267" s="15">
        <v>616.67</v>
      </c>
      <c r="AM267" s="15">
        <v>681.67</v>
      </c>
      <c r="AN267" s="15" t="s">
        <v>2797</v>
      </c>
      <c r="AO267" s="18"/>
      <c r="AP267" s="18"/>
      <c r="AQ267" s="15" t="s">
        <v>9168</v>
      </c>
      <c r="AR267" s="15" t="s">
        <v>9169</v>
      </c>
      <c r="AS267" s="15" t="s">
        <v>9170</v>
      </c>
      <c r="AT267" s="18"/>
      <c r="AU267" s="18"/>
      <c r="AV267" s="18"/>
      <c r="AW267" s="15" t="s">
        <v>9171</v>
      </c>
      <c r="AX267" s="18"/>
      <c r="AY267" s="15" t="s">
        <v>9172</v>
      </c>
      <c r="AZ267" s="15" t="s">
        <v>4670</v>
      </c>
      <c r="BA267" s="15" t="s">
        <v>2870</v>
      </c>
      <c r="BB267" s="15" t="s">
        <v>2807</v>
      </c>
      <c r="BC267" s="15" t="s">
        <v>9173</v>
      </c>
      <c r="BD267" s="15" t="s">
        <v>2807</v>
      </c>
      <c r="BE267" s="15" t="s">
        <v>2796</v>
      </c>
      <c r="BF267" s="18"/>
      <c r="BG267" s="18"/>
      <c r="BH267" s="18"/>
      <c r="BI267" s="15" t="s">
        <v>9174</v>
      </c>
      <c r="BJ267" s="19" t="s">
        <v>9175</v>
      </c>
      <c r="BK267" s="19" t="s">
        <v>9176</v>
      </c>
      <c r="BL267" s="19" t="s">
        <v>9177</v>
      </c>
      <c r="BM267" s="18"/>
      <c r="BN267" s="18"/>
      <c r="BO267" s="19" t="s">
        <v>9178</v>
      </c>
      <c r="BP267" s="18"/>
      <c r="BQ267" s="15" t="s">
        <v>1193</v>
      </c>
      <c r="BR267" s="18"/>
      <c r="BS267" s="18"/>
      <c r="BT267" s="19" t="s">
        <v>9179</v>
      </c>
      <c r="BU267" s="19" t="s">
        <v>9180</v>
      </c>
      <c r="BV267" s="19" t="s">
        <v>9181</v>
      </c>
      <c r="BW267" s="15" t="s">
        <v>9182</v>
      </c>
      <c r="BX267" s="18"/>
      <c r="BY267" s="18" t="str">
        <f t="shared" si="104"/>
        <v>E&amp;TC</v>
      </c>
      <c r="BZ267" s="24" t="str">
        <f t="shared" si="100"/>
        <v>https://drive.google.com/open?id=1nkjFCw94Z_vwiXbggGbAGr5GC6o6EjO6</v>
      </c>
      <c r="CA267" s="24" t="str">
        <f t="shared" si="101"/>
        <v>https://drive.google.com/open?id=1deaX6G5zlGLpCymr6jhlY_1E_8LP709u</v>
      </c>
      <c r="CB267" s="15" t="s">
        <v>2821</v>
      </c>
      <c r="CC267" s="15" t="s">
        <v>2908</v>
      </c>
      <c r="CD267" s="25" t="s">
        <v>2909</v>
      </c>
      <c r="CE267" s="18"/>
      <c r="CF267" s="18"/>
      <c r="CG267" s="18"/>
    </row>
    <row r="268" ht="18.75" hidden="1" customHeight="1">
      <c r="A268" s="14">
        <v>44743.66830145833</v>
      </c>
      <c r="B268" s="15" t="s">
        <v>1986</v>
      </c>
      <c r="C268" s="16" t="s">
        <v>9183</v>
      </c>
      <c r="D268" s="15" t="str">
        <f>IFERROR(__xludf.DUMMYFUNCTION("QUERY(TY_ALL_2023_Batch!$A$1:$E$824, ""SELECT E WHERE C='""&amp;B268&amp;""'"", 0)"),"E&amp;TC")</f>
        <v>E&amp;TC</v>
      </c>
      <c r="E268" s="15" t="s">
        <v>9184</v>
      </c>
      <c r="F268" s="18"/>
      <c r="G268" s="15" t="s">
        <v>4542</v>
      </c>
      <c r="H268" s="15" t="s">
        <v>2785</v>
      </c>
      <c r="I268" s="17">
        <v>37157.0</v>
      </c>
      <c r="J268" s="15">
        <v>2019.0</v>
      </c>
      <c r="K268" s="15" t="s">
        <v>2786</v>
      </c>
      <c r="L268" s="15" t="s">
        <v>2787</v>
      </c>
      <c r="M268" s="18"/>
      <c r="N268" s="15" t="s">
        <v>9185</v>
      </c>
      <c r="O268" s="15" t="s">
        <v>1986</v>
      </c>
      <c r="P268" s="19" t="s">
        <v>9186</v>
      </c>
      <c r="Q268" s="15">
        <v>6.005483851E9</v>
      </c>
      <c r="R268" s="15">
        <v>6.005483851E9</v>
      </c>
      <c r="S268" s="18"/>
      <c r="T268" s="15" t="s">
        <v>9187</v>
      </c>
      <c r="U268" s="15" t="s">
        <v>9188</v>
      </c>
      <c r="V268" s="15" t="s">
        <v>9189</v>
      </c>
      <c r="W268" s="15" t="s">
        <v>9190</v>
      </c>
      <c r="X268" s="15">
        <v>87.0</v>
      </c>
      <c r="Y268" s="15" t="s">
        <v>2795</v>
      </c>
      <c r="Z268" s="15">
        <v>8.0</v>
      </c>
      <c r="AA268" s="15">
        <v>7.3</v>
      </c>
      <c r="AB268" s="15" t="s">
        <v>2796</v>
      </c>
      <c r="AC268" s="15" t="s">
        <v>2796</v>
      </c>
      <c r="AD268" s="15" t="s">
        <v>2796</v>
      </c>
      <c r="AE268" s="15" t="s">
        <v>2796</v>
      </c>
      <c r="AF268" s="15">
        <v>8.11</v>
      </c>
      <c r="AG268" s="15">
        <v>7.76</v>
      </c>
      <c r="AH268" s="15">
        <v>90.0</v>
      </c>
      <c r="AI268" s="18"/>
      <c r="AJ268" s="15" t="s">
        <v>2787</v>
      </c>
      <c r="AK268" s="15" t="s">
        <v>2787</v>
      </c>
      <c r="AL268" s="18"/>
      <c r="AM268" s="18"/>
      <c r="AN268" s="15" t="s">
        <v>2797</v>
      </c>
      <c r="AO268" s="18"/>
      <c r="AP268" s="18"/>
      <c r="AQ268" s="15" t="s">
        <v>5331</v>
      </c>
      <c r="AR268" s="18"/>
      <c r="AS268" s="15" t="s">
        <v>7352</v>
      </c>
      <c r="AT268" s="18"/>
      <c r="AU268" s="18"/>
      <c r="AV268" s="18"/>
      <c r="AW268" s="15" t="s">
        <v>9191</v>
      </c>
      <c r="AX268" s="18"/>
      <c r="AY268" s="15" t="s">
        <v>9192</v>
      </c>
      <c r="AZ268" s="15" t="s">
        <v>5260</v>
      </c>
      <c r="BA268" s="15" t="s">
        <v>5468</v>
      </c>
      <c r="BB268" s="15" t="s">
        <v>2807</v>
      </c>
      <c r="BC268" s="15" t="s">
        <v>8295</v>
      </c>
      <c r="BD268" s="15" t="s">
        <v>2807</v>
      </c>
      <c r="BE268" s="15" t="s">
        <v>2796</v>
      </c>
      <c r="BF268" s="18"/>
      <c r="BG268" s="18"/>
      <c r="BH268" s="18"/>
      <c r="BI268" s="18"/>
      <c r="BJ268" s="19" t="s">
        <v>9193</v>
      </c>
      <c r="BK268" s="19" t="s">
        <v>9194</v>
      </c>
      <c r="BL268" s="19" t="s">
        <v>9195</v>
      </c>
      <c r="BM268" s="19" t="s">
        <v>9196</v>
      </c>
      <c r="BN268" s="19" t="s">
        <v>9197</v>
      </c>
      <c r="BO268" s="19" t="s">
        <v>9198</v>
      </c>
      <c r="BP268" s="18"/>
      <c r="BQ268" s="15" t="s">
        <v>1193</v>
      </c>
      <c r="BR268" s="26"/>
      <c r="BS268" s="19" t="s">
        <v>9199</v>
      </c>
      <c r="BT268" s="19" t="s">
        <v>9200</v>
      </c>
      <c r="BU268" s="19" t="s">
        <v>9201</v>
      </c>
      <c r="BV268" s="19" t="s">
        <v>9202</v>
      </c>
      <c r="BW268" s="15" t="s">
        <v>9203</v>
      </c>
      <c r="BX268" s="26"/>
      <c r="BY268" s="18" t="str">
        <f t="shared" si="104"/>
        <v>E&amp;TC</v>
      </c>
      <c r="BZ268" s="24" t="str">
        <f t="shared" si="100"/>
        <v>https://drive.google.com/open?id=1vE7-G70t8Mlj_KuMfvtWU4GKCRqh9k9Q</v>
      </c>
      <c r="CA268" s="24" t="str">
        <f t="shared" si="101"/>
        <v>https://drive.google.com/open?id=1QMSQtZYRTry01AEIfX36OnNIV1vO8eEV</v>
      </c>
      <c r="CB268" s="15" t="s">
        <v>2821</v>
      </c>
      <c r="CC268" s="15" t="s">
        <v>2821</v>
      </c>
      <c r="CD268" s="25" t="s">
        <v>2909</v>
      </c>
      <c r="CE268" s="18"/>
      <c r="CF268" s="18"/>
      <c r="CG268" s="18"/>
    </row>
    <row r="269" ht="18.75" hidden="1" customHeight="1">
      <c r="A269" s="14">
        <v>44742.749130578704</v>
      </c>
      <c r="B269" s="15" t="s">
        <v>1824</v>
      </c>
      <c r="C269" s="16" t="s">
        <v>9204</v>
      </c>
      <c r="D269" s="15" t="str">
        <f>IFERROR(__xludf.DUMMYFUNCTION("QUERY(TY_ALL_2023_Batch!$A$1:$E$824, ""SELECT E WHERE C='""&amp;B269&amp;""'"", 0)"),"E&amp;TC")</f>
        <v>E&amp;TC</v>
      </c>
      <c r="E269" s="15" t="s">
        <v>3078</v>
      </c>
      <c r="F269" s="15" t="s">
        <v>9205</v>
      </c>
      <c r="G269" s="15" t="s">
        <v>3830</v>
      </c>
      <c r="H269" s="15" t="s">
        <v>2785</v>
      </c>
      <c r="I269" s="17">
        <v>37468.0</v>
      </c>
      <c r="J269" s="15">
        <v>2019.0</v>
      </c>
      <c r="K269" s="15" t="s">
        <v>2786</v>
      </c>
      <c r="L269" s="15" t="s">
        <v>2787</v>
      </c>
      <c r="M269" s="18"/>
      <c r="N269" s="15" t="s">
        <v>9206</v>
      </c>
      <c r="O269" s="15" t="s">
        <v>1824</v>
      </c>
      <c r="P269" s="19" t="s">
        <v>9207</v>
      </c>
      <c r="Q269" s="15">
        <v>8.177919226E9</v>
      </c>
      <c r="R269" s="15">
        <v>9.307939226E9</v>
      </c>
      <c r="S269" s="18"/>
      <c r="T269" s="15" t="s">
        <v>9205</v>
      </c>
      <c r="U269" s="15" t="s">
        <v>4661</v>
      </c>
      <c r="V269" s="15" t="s">
        <v>9208</v>
      </c>
      <c r="W269" s="18"/>
      <c r="X269" s="15">
        <v>90.6</v>
      </c>
      <c r="Y269" s="15" t="s">
        <v>2795</v>
      </c>
      <c r="Z269" s="15">
        <v>8.71</v>
      </c>
      <c r="AA269" s="15">
        <v>8.55</v>
      </c>
      <c r="AB269" s="15" t="s">
        <v>2796</v>
      </c>
      <c r="AC269" s="15" t="s">
        <v>2796</v>
      </c>
      <c r="AD269" s="15" t="s">
        <v>2796</v>
      </c>
      <c r="AE269" s="15" t="s">
        <v>2796</v>
      </c>
      <c r="AF269" s="15">
        <v>7.32</v>
      </c>
      <c r="AG269" s="15">
        <v>8.67</v>
      </c>
      <c r="AH269" s="15">
        <v>81.0</v>
      </c>
      <c r="AI269" s="18"/>
      <c r="AJ269" s="15" t="s">
        <v>2787</v>
      </c>
      <c r="AK269" s="15" t="s">
        <v>2787</v>
      </c>
      <c r="AL269" s="15">
        <v>605.0</v>
      </c>
      <c r="AM269" s="15">
        <v>528.0</v>
      </c>
      <c r="AN269" s="15" t="s">
        <v>2797</v>
      </c>
      <c r="AO269" s="18"/>
      <c r="AP269" s="18"/>
      <c r="AQ269" s="15" t="s">
        <v>9209</v>
      </c>
      <c r="AR269" s="18"/>
      <c r="AS269" s="18"/>
      <c r="AT269" s="18"/>
      <c r="AU269" s="18"/>
      <c r="AV269" s="15" t="s">
        <v>9210</v>
      </c>
      <c r="AW269" s="15" t="s">
        <v>9211</v>
      </c>
      <c r="AX269" s="18"/>
      <c r="AY269" s="15" t="s">
        <v>9212</v>
      </c>
      <c r="AZ269" s="15" t="s">
        <v>5625</v>
      </c>
      <c r="BA269" s="15" t="s">
        <v>5468</v>
      </c>
      <c r="BB269" s="15" t="s">
        <v>5673</v>
      </c>
      <c r="BC269" s="15" t="s">
        <v>9213</v>
      </c>
      <c r="BD269" s="15" t="s">
        <v>2807</v>
      </c>
      <c r="BE269" s="15" t="s">
        <v>9214</v>
      </c>
      <c r="BF269" s="18"/>
      <c r="BG269" s="18"/>
      <c r="BH269" s="18"/>
      <c r="BI269" s="15" t="s">
        <v>9215</v>
      </c>
      <c r="BJ269" s="19" t="s">
        <v>9216</v>
      </c>
      <c r="BK269" s="19" t="s">
        <v>9217</v>
      </c>
      <c r="BL269" s="18"/>
      <c r="BM269" s="18"/>
      <c r="BN269" s="19" t="s">
        <v>9218</v>
      </c>
      <c r="BO269" s="21" t="s">
        <v>9219</v>
      </c>
      <c r="BP269" s="19" t="s">
        <v>9220</v>
      </c>
      <c r="BQ269" s="15" t="s">
        <v>1193</v>
      </c>
      <c r="BR269" s="26"/>
      <c r="BS269" s="19" t="s">
        <v>9221</v>
      </c>
      <c r="BT269" s="26"/>
      <c r="BU269" s="26"/>
      <c r="BV269" s="26"/>
      <c r="BW269" s="15" t="s">
        <v>9222</v>
      </c>
      <c r="BX269" s="26"/>
      <c r="BY269" s="18" t="str">
        <f t="shared" si="104"/>
        <v>E&amp;TC</v>
      </c>
      <c r="BZ269" s="18" t="str">
        <f t="shared" si="100"/>
        <v/>
      </c>
      <c r="CA269" s="18" t="str">
        <f t="shared" si="101"/>
        <v/>
      </c>
      <c r="CB269" s="15" t="s">
        <v>2908</v>
      </c>
      <c r="CC269" s="15" t="s">
        <v>2908</v>
      </c>
      <c r="CD269" s="25" t="s">
        <v>2797</v>
      </c>
      <c r="CE269" s="18"/>
      <c r="CF269" s="18"/>
      <c r="CG269" s="18"/>
    </row>
    <row r="270" ht="18.75" hidden="1" customHeight="1">
      <c r="A270" s="14">
        <v>44746.79981483796</v>
      </c>
      <c r="B270" s="15" t="s">
        <v>1644</v>
      </c>
      <c r="C270" s="16" t="s">
        <v>9223</v>
      </c>
      <c r="D270" s="15" t="str">
        <f>IFERROR(__xludf.DUMMYFUNCTION("QUERY(TY_ALL_2023_Batch!$A$1:$E$824, ""SELECT E WHERE C='""&amp;B270&amp;""'"", 0)"),"E&amp;TC")</f>
        <v>E&amp;TC</v>
      </c>
      <c r="E270" s="15" t="s">
        <v>9224</v>
      </c>
      <c r="F270" s="18"/>
      <c r="G270" s="15" t="s">
        <v>9225</v>
      </c>
      <c r="H270" s="15" t="s">
        <v>2785</v>
      </c>
      <c r="I270" s="17">
        <v>37404.0</v>
      </c>
      <c r="J270" s="15">
        <v>2019.0</v>
      </c>
      <c r="K270" s="15" t="s">
        <v>2786</v>
      </c>
      <c r="L270" s="15" t="s">
        <v>2787</v>
      </c>
      <c r="M270" s="18"/>
      <c r="N270" s="15" t="s">
        <v>9226</v>
      </c>
      <c r="O270" s="15" t="s">
        <v>1644</v>
      </c>
      <c r="P270" s="19" t="s">
        <v>9227</v>
      </c>
      <c r="Q270" s="15">
        <v>9.021661163E9</v>
      </c>
      <c r="R270" s="15">
        <v>9.021661163E9</v>
      </c>
      <c r="S270" s="15">
        <v>9.02821362E9</v>
      </c>
      <c r="T270" s="15" t="s">
        <v>9228</v>
      </c>
      <c r="U270" s="15" t="s">
        <v>9229</v>
      </c>
      <c r="V270" s="15" t="s">
        <v>9230</v>
      </c>
      <c r="W270" s="18"/>
      <c r="X270" s="15">
        <v>91.4</v>
      </c>
      <c r="Y270" s="15" t="s">
        <v>2795</v>
      </c>
      <c r="Z270" s="15">
        <v>9.14</v>
      </c>
      <c r="AA270" s="15">
        <v>8.7</v>
      </c>
      <c r="AB270" s="15" t="s">
        <v>2796</v>
      </c>
      <c r="AC270" s="15" t="s">
        <v>2796</v>
      </c>
      <c r="AD270" s="15" t="s">
        <v>2796</v>
      </c>
      <c r="AE270" s="15" t="s">
        <v>2796</v>
      </c>
      <c r="AF270" s="15">
        <v>8.47</v>
      </c>
      <c r="AG270" s="15">
        <v>9.1</v>
      </c>
      <c r="AH270" s="15">
        <v>82.6</v>
      </c>
      <c r="AI270" s="18"/>
      <c r="AJ270" s="15" t="s">
        <v>2787</v>
      </c>
      <c r="AK270" s="15" t="s">
        <v>2787</v>
      </c>
      <c r="AL270" s="15">
        <v>78.33</v>
      </c>
      <c r="AM270" s="15">
        <v>89.66</v>
      </c>
      <c r="AN270" s="15" t="s">
        <v>2787</v>
      </c>
      <c r="AO270" s="18"/>
      <c r="AP270" s="15" t="s">
        <v>9231</v>
      </c>
      <c r="AQ270" s="15" t="s">
        <v>9232</v>
      </c>
      <c r="AR270" s="18"/>
      <c r="AS270" s="18"/>
      <c r="AT270" s="18"/>
      <c r="AU270" s="18"/>
      <c r="AV270" s="15" t="s">
        <v>9233</v>
      </c>
      <c r="AW270" s="15" t="s">
        <v>9234</v>
      </c>
      <c r="AX270" s="18"/>
      <c r="AY270" s="15" t="s">
        <v>9235</v>
      </c>
      <c r="AZ270" s="15" t="s">
        <v>4670</v>
      </c>
      <c r="BA270" s="15" t="s">
        <v>5552</v>
      </c>
      <c r="BB270" s="15" t="s">
        <v>2807</v>
      </c>
      <c r="BC270" s="15" t="s">
        <v>4746</v>
      </c>
      <c r="BD270" s="15" t="s">
        <v>3393</v>
      </c>
      <c r="BE270" s="15" t="s">
        <v>2796</v>
      </c>
      <c r="BF270" s="18"/>
      <c r="BG270" s="18"/>
      <c r="BH270" s="15" t="s">
        <v>9236</v>
      </c>
      <c r="BI270" s="15" t="s">
        <v>9237</v>
      </c>
      <c r="BJ270" s="19" t="s">
        <v>9238</v>
      </c>
      <c r="BK270" s="19" t="s">
        <v>9239</v>
      </c>
      <c r="BL270" s="19" t="s">
        <v>9240</v>
      </c>
      <c r="BM270" s="19" t="s">
        <v>9241</v>
      </c>
      <c r="BN270" s="19" t="s">
        <v>9242</v>
      </c>
      <c r="BO270" s="19" t="s">
        <v>9243</v>
      </c>
      <c r="BP270" s="18"/>
      <c r="BQ270" s="15" t="s">
        <v>1193</v>
      </c>
      <c r="BR270" s="26"/>
      <c r="BS270" s="26"/>
      <c r="BT270" s="19" t="s">
        <v>9244</v>
      </c>
      <c r="BU270" s="26"/>
      <c r="BV270" s="26"/>
      <c r="BW270" s="15" t="s">
        <v>9245</v>
      </c>
      <c r="BX270" s="26"/>
      <c r="BY270" s="18" t="str">
        <f t="shared" si="104"/>
        <v>E&amp;TC</v>
      </c>
      <c r="BZ270" s="24" t="str">
        <f t="shared" si="100"/>
        <v>https://drive.google.com/open?id=1CaJe0Muz2Pp7DxYBriYF5RYvdP5rzu3K</v>
      </c>
      <c r="CA270" s="24" t="str">
        <f t="shared" si="101"/>
        <v>https://drive.google.com/open?id=1tDZwHivvBu9O0vA1BE2QAKUE_h3cp-Mw</v>
      </c>
      <c r="CB270" s="15" t="s">
        <v>2821</v>
      </c>
      <c r="CC270" s="15" t="s">
        <v>2821</v>
      </c>
      <c r="CD270" s="25" t="s">
        <v>2909</v>
      </c>
      <c r="CE270" s="18"/>
      <c r="CF270" s="18"/>
      <c r="CG270" s="18"/>
    </row>
    <row r="271" ht="18.75" hidden="1" customHeight="1">
      <c r="A271" s="14">
        <v>44734.86068890046</v>
      </c>
      <c r="B271" s="15" t="s">
        <v>1716</v>
      </c>
      <c r="C271" s="16" t="s">
        <v>9246</v>
      </c>
      <c r="D271" s="15" t="str">
        <f>IFERROR(__xludf.DUMMYFUNCTION("QUERY(TY_ALL_2023_Batch!$A$1:$E$824, ""SELECT E WHERE C='""&amp;B271&amp;""'"", 0)"),"E&amp;TC")</f>
        <v>E&amp;TC</v>
      </c>
      <c r="E271" s="15" t="s">
        <v>9247</v>
      </c>
      <c r="F271" s="15" t="s">
        <v>9248</v>
      </c>
      <c r="G271" s="15" t="s">
        <v>9249</v>
      </c>
      <c r="H271" s="15" t="s">
        <v>2785</v>
      </c>
      <c r="I271" s="17">
        <v>37033.0</v>
      </c>
      <c r="J271" s="15">
        <v>2019.0</v>
      </c>
      <c r="K271" s="15" t="s">
        <v>2786</v>
      </c>
      <c r="L271" s="15" t="s">
        <v>2787</v>
      </c>
      <c r="M271" s="18"/>
      <c r="N271" s="15" t="s">
        <v>9250</v>
      </c>
      <c r="O271" s="15" t="s">
        <v>1716</v>
      </c>
      <c r="P271" s="19" t="s">
        <v>9251</v>
      </c>
      <c r="Q271" s="15">
        <v>8.983451534E9</v>
      </c>
      <c r="R271" s="15">
        <v>8.983451534E9</v>
      </c>
      <c r="S271" s="18"/>
      <c r="T271" s="15" t="s">
        <v>9252</v>
      </c>
      <c r="U271" s="15" t="s">
        <v>9253</v>
      </c>
      <c r="V271" s="15" t="s">
        <v>9254</v>
      </c>
      <c r="W271" s="18"/>
      <c r="X271" s="15">
        <v>94.4</v>
      </c>
      <c r="Y271" s="15" t="s">
        <v>2795</v>
      </c>
      <c r="Z271" s="15">
        <v>9.57</v>
      </c>
      <c r="AA271" s="15">
        <v>9.65</v>
      </c>
      <c r="AB271" s="15" t="s">
        <v>2796</v>
      </c>
      <c r="AC271" s="15" t="s">
        <v>2796</v>
      </c>
      <c r="AD271" s="15" t="s">
        <v>2796</v>
      </c>
      <c r="AE271" s="15" t="s">
        <v>2796</v>
      </c>
      <c r="AF271" s="15">
        <v>9.11</v>
      </c>
      <c r="AG271" s="15">
        <v>9.38</v>
      </c>
      <c r="AH271" s="15">
        <v>82.0</v>
      </c>
      <c r="AI271" s="18"/>
      <c r="AJ271" s="15" t="s">
        <v>2787</v>
      </c>
      <c r="AK271" s="15" t="s">
        <v>2787</v>
      </c>
      <c r="AL271" s="15">
        <v>674.0</v>
      </c>
      <c r="AM271" s="15">
        <v>660.0</v>
      </c>
      <c r="AN271" s="15" t="s">
        <v>2797</v>
      </c>
      <c r="AO271" s="18"/>
      <c r="AP271" s="18"/>
      <c r="AQ271" s="15" t="s">
        <v>9255</v>
      </c>
      <c r="AR271" s="15" t="s">
        <v>9256</v>
      </c>
      <c r="AS271" s="15" t="s">
        <v>8840</v>
      </c>
      <c r="AT271" s="18"/>
      <c r="AU271" s="15" t="s">
        <v>9257</v>
      </c>
      <c r="AV271" s="15" t="s">
        <v>9258</v>
      </c>
      <c r="AW271" s="15" t="s">
        <v>9259</v>
      </c>
      <c r="AX271" s="18"/>
      <c r="AY271" s="15" t="s">
        <v>9260</v>
      </c>
      <c r="AZ271" s="15" t="s">
        <v>5260</v>
      </c>
      <c r="BA271" s="15" t="s">
        <v>9261</v>
      </c>
      <c r="BB271" s="15" t="s">
        <v>2807</v>
      </c>
      <c r="BC271" s="15" t="s">
        <v>9262</v>
      </c>
      <c r="BD271" s="15" t="s">
        <v>2807</v>
      </c>
      <c r="BE271" s="15" t="s">
        <v>9263</v>
      </c>
      <c r="BF271" s="18"/>
      <c r="BG271" s="18"/>
      <c r="BH271" s="18"/>
      <c r="BI271" s="15" t="s">
        <v>9264</v>
      </c>
      <c r="BJ271" s="19" t="s">
        <v>9265</v>
      </c>
      <c r="BK271" s="19" t="s">
        <v>9266</v>
      </c>
      <c r="BL271" s="19" t="s">
        <v>9267</v>
      </c>
      <c r="BM271" s="19" t="s">
        <v>9268</v>
      </c>
      <c r="BN271" s="19" t="s">
        <v>9269</v>
      </c>
      <c r="BO271" s="19" t="s">
        <v>9270</v>
      </c>
      <c r="BP271" s="18"/>
      <c r="BQ271" s="15" t="s">
        <v>1193</v>
      </c>
      <c r="BR271" s="26"/>
      <c r="BS271" s="26"/>
      <c r="BT271" s="26"/>
      <c r="BU271" s="26"/>
      <c r="BV271" s="26"/>
      <c r="BW271" s="26"/>
      <c r="BX271" s="26"/>
      <c r="BY271" s="18" t="str">
        <f t="shared" si="104"/>
        <v>E&amp;TC</v>
      </c>
      <c r="BZ271" s="24" t="str">
        <f t="shared" si="100"/>
        <v>https://drive.google.com/open?id=1rSWmjYAjVZUHgnJO-Uon-ZAdpxqxkCzT</v>
      </c>
      <c r="CA271" s="24" t="str">
        <f t="shared" si="101"/>
        <v>https://drive.google.com/open?id=1ub3YMeX4ibXZgM1unqYpqfReOLVC_wl4</v>
      </c>
      <c r="CB271" s="15" t="s">
        <v>2821</v>
      </c>
      <c r="CC271" s="15" t="s">
        <v>2821</v>
      </c>
      <c r="CD271" s="25" t="s">
        <v>2797</v>
      </c>
      <c r="CE271" s="18"/>
      <c r="CF271" s="18"/>
      <c r="CG271" s="18"/>
    </row>
    <row r="272" ht="18.75" hidden="1" customHeight="1">
      <c r="A272" s="14">
        <v>44736.52333592593</v>
      </c>
      <c r="B272" s="15" t="s">
        <v>1902</v>
      </c>
      <c r="C272" s="16" t="s">
        <v>9271</v>
      </c>
      <c r="D272" s="15" t="str">
        <f>IFERROR(__xludf.DUMMYFUNCTION("QUERY(TY_ALL_2023_Batch!$A$1:$E$824, ""SELECT E WHERE C='""&amp;B272&amp;""'"", 0)"),"E&amp;TC")</f>
        <v>E&amp;TC</v>
      </c>
      <c r="E272" s="15" t="s">
        <v>9272</v>
      </c>
      <c r="F272" s="15" t="s">
        <v>3247</v>
      </c>
      <c r="G272" s="15" t="s">
        <v>9273</v>
      </c>
      <c r="H272" s="15" t="s">
        <v>2785</v>
      </c>
      <c r="I272" s="17">
        <v>37306.0</v>
      </c>
      <c r="J272" s="15">
        <v>2019.0</v>
      </c>
      <c r="K272" s="15" t="s">
        <v>2786</v>
      </c>
      <c r="L272" s="15" t="s">
        <v>2787</v>
      </c>
      <c r="M272" s="18"/>
      <c r="N272" s="15" t="s">
        <v>9274</v>
      </c>
      <c r="O272" s="15" t="s">
        <v>1902</v>
      </c>
      <c r="P272" s="19" t="s">
        <v>9275</v>
      </c>
      <c r="Q272" s="15">
        <v>9.8347925E9</v>
      </c>
      <c r="R272" s="15">
        <v>9.8347925E9</v>
      </c>
      <c r="S272" s="15">
        <v>9.270115375E9</v>
      </c>
      <c r="T272" s="15" t="s">
        <v>9276</v>
      </c>
      <c r="U272" s="15" t="s">
        <v>9277</v>
      </c>
      <c r="V272" s="15" t="s">
        <v>9278</v>
      </c>
      <c r="W272" s="15" t="s">
        <v>9279</v>
      </c>
      <c r="X272" s="15">
        <v>87.2</v>
      </c>
      <c r="Y272" s="15" t="s">
        <v>2795</v>
      </c>
      <c r="Z272" s="15">
        <v>8.33</v>
      </c>
      <c r="AA272" s="15">
        <v>9.35</v>
      </c>
      <c r="AB272" s="15" t="s">
        <v>2796</v>
      </c>
      <c r="AC272" s="15" t="s">
        <v>2796</v>
      </c>
      <c r="AD272" s="15" t="s">
        <v>2796</v>
      </c>
      <c r="AE272" s="15" t="s">
        <v>2796</v>
      </c>
      <c r="AF272" s="15">
        <v>8.42</v>
      </c>
      <c r="AG272" s="15">
        <v>8.62</v>
      </c>
      <c r="AH272" s="15">
        <v>72.62</v>
      </c>
      <c r="AI272" s="18"/>
      <c r="AJ272" s="15" t="s">
        <v>2787</v>
      </c>
      <c r="AK272" s="15" t="s">
        <v>2787</v>
      </c>
      <c r="AL272" s="15">
        <v>97.667</v>
      </c>
      <c r="AM272" s="15">
        <v>85.16</v>
      </c>
      <c r="AN272" s="15" t="s">
        <v>2787</v>
      </c>
      <c r="AO272" s="18"/>
      <c r="AP272" s="15"/>
      <c r="AQ272" s="15" t="s">
        <v>6143</v>
      </c>
      <c r="AR272" s="15" t="s">
        <v>9280</v>
      </c>
      <c r="AS272" s="15" t="s">
        <v>9281</v>
      </c>
      <c r="AT272" s="18"/>
      <c r="AU272" s="15" t="s">
        <v>9282</v>
      </c>
      <c r="AV272" s="15" t="s">
        <v>9283</v>
      </c>
      <c r="AW272" s="15" t="s">
        <v>9284</v>
      </c>
      <c r="AX272" s="18"/>
      <c r="AY272" s="15" t="s">
        <v>9285</v>
      </c>
      <c r="AZ272" s="15" t="s">
        <v>5287</v>
      </c>
      <c r="BA272" s="15" t="s">
        <v>2839</v>
      </c>
      <c r="BB272" s="15" t="s">
        <v>2807</v>
      </c>
      <c r="BC272" s="15" t="s">
        <v>9286</v>
      </c>
      <c r="BD272" s="15" t="s">
        <v>2807</v>
      </c>
      <c r="BE272" s="15" t="s">
        <v>9287</v>
      </c>
      <c r="BF272" s="18"/>
      <c r="BG272" s="18"/>
      <c r="BH272" s="15" t="s">
        <v>9288</v>
      </c>
      <c r="BI272" s="15" t="s">
        <v>9289</v>
      </c>
      <c r="BJ272" s="19" t="s">
        <v>9290</v>
      </c>
      <c r="BK272" s="19" t="s">
        <v>9291</v>
      </c>
      <c r="BL272" s="19" t="s">
        <v>9292</v>
      </c>
      <c r="BM272" s="19" t="s">
        <v>9293</v>
      </c>
      <c r="BN272" s="19" t="s">
        <v>9294</v>
      </c>
      <c r="BO272" s="19" t="s">
        <v>9295</v>
      </c>
      <c r="BP272" s="19" t="s">
        <v>9296</v>
      </c>
      <c r="BQ272" s="15" t="s">
        <v>1193</v>
      </c>
      <c r="BR272" s="26"/>
      <c r="BS272" s="26"/>
      <c r="BT272" s="26"/>
      <c r="BU272" s="26"/>
      <c r="BV272" s="26"/>
      <c r="BW272" s="26"/>
      <c r="BX272" s="26"/>
      <c r="BY272" s="18" t="str">
        <f t="shared" si="104"/>
        <v>E&amp;TC</v>
      </c>
      <c r="BZ272" s="24" t="str">
        <f t="shared" si="100"/>
        <v>https://drive.google.com/open?id=15ZU-W9UakXm_SlDHlJfYlEj4z_s3iF92</v>
      </c>
      <c r="CA272" s="24" t="str">
        <f t="shared" si="101"/>
        <v>https://drive.google.com/open?id=1JNsYVXgNvuyiSiexPB1bO-HEmPU_dHf_</v>
      </c>
      <c r="CB272" s="15" t="s">
        <v>2821</v>
      </c>
      <c r="CC272" s="15" t="s">
        <v>2821</v>
      </c>
      <c r="CD272" s="25" t="s">
        <v>2797</v>
      </c>
      <c r="CE272" s="18"/>
      <c r="CF272" s="18"/>
      <c r="CG272" s="18"/>
    </row>
    <row r="273" ht="18.75" hidden="1" customHeight="1">
      <c r="A273" s="14">
        <v>44742.916960428236</v>
      </c>
      <c r="B273" s="15" t="s">
        <v>1851</v>
      </c>
      <c r="C273" s="16" t="s">
        <v>9297</v>
      </c>
      <c r="D273" s="15" t="str">
        <f>IFERROR(__xludf.DUMMYFUNCTION("QUERY(TY_ALL_2023_Batch!$A$1:$E$824, ""SELECT E WHERE C='""&amp;B273&amp;""'"", 0)"),"E&amp;TC")</f>
        <v>E&amp;TC</v>
      </c>
      <c r="E273" s="15" t="s">
        <v>9298</v>
      </c>
      <c r="F273" s="15" t="s">
        <v>8655</v>
      </c>
      <c r="G273" s="15" t="s">
        <v>9299</v>
      </c>
      <c r="H273" s="15" t="s">
        <v>2826</v>
      </c>
      <c r="I273" s="17">
        <v>36526.0</v>
      </c>
      <c r="J273" s="15">
        <v>2019.0</v>
      </c>
      <c r="K273" s="15" t="s">
        <v>2786</v>
      </c>
      <c r="L273" s="15" t="s">
        <v>2787</v>
      </c>
      <c r="M273" s="18"/>
      <c r="N273" s="15" t="s">
        <v>9300</v>
      </c>
      <c r="O273" s="15" t="s">
        <v>1851</v>
      </c>
      <c r="P273" s="19" t="s">
        <v>9301</v>
      </c>
      <c r="Q273" s="15">
        <v>9.423102237E9</v>
      </c>
      <c r="R273" s="15">
        <v>9.423102237E9</v>
      </c>
      <c r="S273" s="15">
        <v>7.823047519E9</v>
      </c>
      <c r="T273" s="15" t="s">
        <v>9302</v>
      </c>
      <c r="U273" s="15" t="s">
        <v>9303</v>
      </c>
      <c r="V273" s="15" t="s">
        <v>9304</v>
      </c>
      <c r="W273" s="15" t="s">
        <v>9305</v>
      </c>
      <c r="X273" s="15">
        <v>87.6</v>
      </c>
      <c r="Y273" s="15" t="s">
        <v>2795</v>
      </c>
      <c r="Z273" s="15">
        <v>9.14</v>
      </c>
      <c r="AA273" s="15">
        <v>8.75</v>
      </c>
      <c r="AB273" s="15" t="s">
        <v>2796</v>
      </c>
      <c r="AC273" s="15" t="s">
        <v>2796</v>
      </c>
      <c r="AD273" s="15" t="s">
        <v>2796</v>
      </c>
      <c r="AE273" s="15" t="s">
        <v>2796</v>
      </c>
      <c r="AF273" s="15">
        <v>8.63</v>
      </c>
      <c r="AG273" s="15">
        <v>8.48</v>
      </c>
      <c r="AH273" s="15">
        <v>66.62</v>
      </c>
      <c r="AI273" s="18"/>
      <c r="AJ273" s="15" t="s">
        <v>2787</v>
      </c>
      <c r="AK273" s="15" t="s">
        <v>2787</v>
      </c>
      <c r="AL273" s="15">
        <v>635.66</v>
      </c>
      <c r="AM273" s="15">
        <v>568.33</v>
      </c>
      <c r="AN273" s="15" t="s">
        <v>2787</v>
      </c>
      <c r="AO273" s="18"/>
      <c r="AP273" s="15" t="s">
        <v>3201</v>
      </c>
      <c r="AQ273" s="15" t="s">
        <v>5331</v>
      </c>
      <c r="AR273" s="18"/>
      <c r="AS273" s="15" t="s">
        <v>9306</v>
      </c>
      <c r="AT273" s="18"/>
      <c r="AU273" s="18"/>
      <c r="AV273" s="15" t="s">
        <v>9307</v>
      </c>
      <c r="AW273" s="15" t="s">
        <v>6442</v>
      </c>
      <c r="AX273" s="18"/>
      <c r="AY273" s="15" t="s">
        <v>9308</v>
      </c>
      <c r="AZ273" s="15" t="s">
        <v>5287</v>
      </c>
      <c r="BA273" s="15" t="s">
        <v>2899</v>
      </c>
      <c r="BB273" s="15" t="s">
        <v>2807</v>
      </c>
      <c r="BC273" s="15" t="s">
        <v>8336</v>
      </c>
      <c r="BD273" s="15" t="s">
        <v>2807</v>
      </c>
      <c r="BE273" s="15" t="s">
        <v>2796</v>
      </c>
      <c r="BF273" s="18"/>
      <c r="BG273" s="18"/>
      <c r="BH273" s="18"/>
      <c r="BI273" s="18"/>
      <c r="BJ273" s="19" t="s">
        <v>9309</v>
      </c>
      <c r="BK273" s="19" t="s">
        <v>9310</v>
      </c>
      <c r="BL273" s="19" t="s">
        <v>9311</v>
      </c>
      <c r="BM273" s="19" t="s">
        <v>9312</v>
      </c>
      <c r="BN273" s="19" t="s">
        <v>9313</v>
      </c>
      <c r="BO273" s="19" t="s">
        <v>9314</v>
      </c>
      <c r="BP273" s="19" t="s">
        <v>9315</v>
      </c>
      <c r="BQ273" s="15" t="s">
        <v>1193</v>
      </c>
      <c r="BR273" s="19" t="s">
        <v>9316</v>
      </c>
      <c r="BS273" s="26"/>
      <c r="BT273" s="19" t="s">
        <v>9317</v>
      </c>
      <c r="BU273" s="19" t="s">
        <v>9318</v>
      </c>
      <c r="BV273" s="19" t="s">
        <v>9319</v>
      </c>
      <c r="BW273" s="15" t="s">
        <v>9320</v>
      </c>
      <c r="BX273" s="26"/>
      <c r="BY273" s="18" t="str">
        <f t="shared" si="104"/>
        <v>E&amp;TC</v>
      </c>
      <c r="BZ273" s="24" t="str">
        <f t="shared" si="100"/>
        <v>https://drive.google.com/open?id=1zevn3AlmvVMnquGpone36FLrS9qxqt0H</v>
      </c>
      <c r="CA273" s="24" t="str">
        <f t="shared" si="101"/>
        <v>https://drive.google.com/open?id=1cdLj11PoHfX_4M-spSEiqHYl7I-KkT23</v>
      </c>
      <c r="CB273" s="15" t="s">
        <v>2821</v>
      </c>
      <c r="CC273" s="15" t="s">
        <v>2821</v>
      </c>
      <c r="CD273" s="25" t="s">
        <v>2909</v>
      </c>
      <c r="CE273" s="18"/>
      <c r="CF273" s="18"/>
      <c r="CG273" s="18"/>
    </row>
    <row r="274" ht="18.75" hidden="1" customHeight="1">
      <c r="A274" s="14">
        <v>44742.995666863426</v>
      </c>
      <c r="B274" s="15" t="s">
        <v>1638</v>
      </c>
      <c r="C274" s="16" t="s">
        <v>9321</v>
      </c>
      <c r="D274" s="15" t="str">
        <f>IFERROR(__xludf.DUMMYFUNCTION("QUERY(TY_ALL_2023_Batch!$A$1:$E$824, ""SELECT E WHERE C='""&amp;B274&amp;""'"", 0)"),"E&amp;TC")</f>
        <v>E&amp;TC</v>
      </c>
      <c r="E274" s="15" t="s">
        <v>9322</v>
      </c>
      <c r="F274" s="18"/>
      <c r="G274" s="15" t="s">
        <v>9323</v>
      </c>
      <c r="H274" s="15" t="s">
        <v>2785</v>
      </c>
      <c r="I274" s="17">
        <v>36882.0</v>
      </c>
      <c r="J274" s="15">
        <v>2019.0</v>
      </c>
      <c r="K274" s="15" t="s">
        <v>2786</v>
      </c>
      <c r="L274" s="15" t="s">
        <v>2787</v>
      </c>
      <c r="M274" s="18"/>
      <c r="N274" s="15" t="s">
        <v>9324</v>
      </c>
      <c r="O274" s="15" t="s">
        <v>1638</v>
      </c>
      <c r="P274" s="19" t="s">
        <v>9325</v>
      </c>
      <c r="Q274" s="15">
        <v>9.440899535E9</v>
      </c>
      <c r="R274" s="15">
        <v>9.440899535E9</v>
      </c>
      <c r="S274" s="15">
        <v>8.079074462E9</v>
      </c>
      <c r="T274" s="15" t="s">
        <v>9326</v>
      </c>
      <c r="U274" s="15" t="s">
        <v>9327</v>
      </c>
      <c r="V274" s="15" t="s">
        <v>9328</v>
      </c>
      <c r="W274" s="15" t="s">
        <v>9329</v>
      </c>
      <c r="X274" s="15">
        <v>95.0</v>
      </c>
      <c r="Y274" s="15" t="s">
        <v>2795</v>
      </c>
      <c r="Z274" s="15">
        <v>7.9</v>
      </c>
      <c r="AA274" s="15">
        <v>8.3</v>
      </c>
      <c r="AB274" s="15" t="s">
        <v>2796</v>
      </c>
      <c r="AC274" s="15" t="s">
        <v>2796</v>
      </c>
      <c r="AD274" s="15" t="s">
        <v>2796</v>
      </c>
      <c r="AE274" s="15" t="s">
        <v>2796</v>
      </c>
      <c r="AF274" s="15">
        <v>7.32</v>
      </c>
      <c r="AG274" s="15">
        <v>8.1</v>
      </c>
      <c r="AH274" s="15">
        <v>66.4</v>
      </c>
      <c r="AI274" s="18"/>
      <c r="AJ274" s="15" t="s">
        <v>2787</v>
      </c>
      <c r="AK274" s="15" t="s">
        <v>2787</v>
      </c>
      <c r="AL274" s="15">
        <v>85.0</v>
      </c>
      <c r="AM274" s="15">
        <v>65.3</v>
      </c>
      <c r="AN274" s="15" t="s">
        <v>2797</v>
      </c>
      <c r="AO274" s="15" t="s">
        <v>2796</v>
      </c>
      <c r="AP274" s="15" t="s">
        <v>2796</v>
      </c>
      <c r="AQ274" s="15" t="s">
        <v>9330</v>
      </c>
      <c r="AR274" s="18"/>
      <c r="AS274" s="15" t="s">
        <v>8840</v>
      </c>
      <c r="AT274" s="18"/>
      <c r="AU274" s="18"/>
      <c r="AV274" s="15" t="s">
        <v>9331</v>
      </c>
      <c r="AW274" s="15" t="s">
        <v>2796</v>
      </c>
      <c r="AX274" s="18"/>
      <c r="AY274" s="15" t="s">
        <v>9332</v>
      </c>
      <c r="AZ274" s="15" t="s">
        <v>4670</v>
      </c>
      <c r="BA274" s="15" t="s">
        <v>6581</v>
      </c>
      <c r="BB274" s="15" t="s">
        <v>7402</v>
      </c>
      <c r="BC274" s="15" t="s">
        <v>6980</v>
      </c>
      <c r="BD274" s="15" t="s">
        <v>2807</v>
      </c>
      <c r="BE274" s="15" t="s">
        <v>2796</v>
      </c>
      <c r="BF274" s="18"/>
      <c r="BG274" s="18"/>
      <c r="BH274" s="18"/>
      <c r="BI274" s="18"/>
      <c r="BJ274" s="19" t="s">
        <v>9333</v>
      </c>
      <c r="BK274" s="19" t="s">
        <v>9334</v>
      </c>
      <c r="BL274" s="18"/>
      <c r="BM274" s="18"/>
      <c r="BN274" s="19" t="s">
        <v>9335</v>
      </c>
      <c r="BO274" s="19" t="s">
        <v>9336</v>
      </c>
      <c r="BP274" s="19" t="s">
        <v>9337</v>
      </c>
      <c r="BQ274" s="15" t="s">
        <v>1193</v>
      </c>
      <c r="BR274" s="26"/>
      <c r="BS274" s="26"/>
      <c r="BT274" s="26"/>
      <c r="BU274" s="26"/>
      <c r="BV274" s="26"/>
      <c r="BW274" s="15" t="s">
        <v>9338</v>
      </c>
      <c r="BX274" s="26"/>
      <c r="BY274" s="18" t="str">
        <f t="shared" si="104"/>
        <v>E&amp;TC</v>
      </c>
      <c r="BZ274" s="18" t="str">
        <f t="shared" si="100"/>
        <v/>
      </c>
      <c r="CA274" s="18" t="str">
        <f t="shared" si="101"/>
        <v/>
      </c>
      <c r="CB274" s="15" t="s">
        <v>2908</v>
      </c>
      <c r="CC274" s="15" t="s">
        <v>2908</v>
      </c>
      <c r="CD274" s="25" t="s">
        <v>2797</v>
      </c>
      <c r="CE274" s="18"/>
      <c r="CF274" s="18"/>
      <c r="CG274" s="18"/>
    </row>
    <row r="275" ht="18.75" hidden="1" customHeight="1">
      <c r="A275" s="14">
        <v>44742.48681501157</v>
      </c>
      <c r="B275" s="15" t="s">
        <v>1647</v>
      </c>
      <c r="C275" s="16" t="s">
        <v>9339</v>
      </c>
      <c r="D275" s="15" t="str">
        <f>IFERROR(__xludf.DUMMYFUNCTION("QUERY(TY_ALL_2023_Batch!$A$1:$E$824, ""SELECT E WHERE C='""&amp;B275&amp;""'"", 0)"),"E&amp;TC")</f>
        <v>E&amp;TC</v>
      </c>
      <c r="E275" s="15" t="s">
        <v>9340</v>
      </c>
      <c r="F275" s="18"/>
      <c r="G275" s="15" t="s">
        <v>4418</v>
      </c>
      <c r="H275" s="15" t="s">
        <v>2785</v>
      </c>
      <c r="I275" s="17">
        <v>37301.0</v>
      </c>
      <c r="J275" s="15">
        <v>2019.0</v>
      </c>
      <c r="K275" s="15" t="s">
        <v>2786</v>
      </c>
      <c r="L275" s="15" t="s">
        <v>2787</v>
      </c>
      <c r="M275" s="18"/>
      <c r="N275" s="15" t="s">
        <v>9341</v>
      </c>
      <c r="O275" s="15" t="s">
        <v>1647</v>
      </c>
      <c r="P275" s="19" t="s">
        <v>9342</v>
      </c>
      <c r="Q275" s="15">
        <v>9.307576162E9</v>
      </c>
      <c r="R275" s="15">
        <v>9.307576162E9</v>
      </c>
      <c r="S275" s="15">
        <v>9.546407824E9</v>
      </c>
      <c r="T275" s="15" t="s">
        <v>9343</v>
      </c>
      <c r="U275" s="15" t="s">
        <v>9344</v>
      </c>
      <c r="V275" s="15" t="s">
        <v>9345</v>
      </c>
      <c r="W275" s="15" t="s">
        <v>9346</v>
      </c>
      <c r="X275" s="15">
        <v>81.6</v>
      </c>
      <c r="Y275" s="15" t="s">
        <v>2795</v>
      </c>
      <c r="Z275" s="15">
        <v>9.1</v>
      </c>
      <c r="AA275" s="15">
        <v>8.9</v>
      </c>
      <c r="AB275" s="15" t="s">
        <v>2796</v>
      </c>
      <c r="AC275" s="15" t="s">
        <v>2796</v>
      </c>
      <c r="AD275" s="15" t="s">
        <v>2796</v>
      </c>
      <c r="AE275" s="15" t="s">
        <v>2796</v>
      </c>
      <c r="AF275" s="15">
        <v>8.62</v>
      </c>
      <c r="AG275" s="15">
        <v>9.05</v>
      </c>
      <c r="AH275" s="15">
        <v>80.4</v>
      </c>
      <c r="AI275" s="18"/>
      <c r="AJ275" s="15" t="s">
        <v>2787</v>
      </c>
      <c r="AK275" s="15" t="s">
        <v>2787</v>
      </c>
      <c r="AL275" s="15">
        <v>670.0</v>
      </c>
      <c r="AM275" s="15">
        <v>708.0</v>
      </c>
      <c r="AN275" s="15" t="s">
        <v>2797</v>
      </c>
      <c r="AO275" s="18"/>
      <c r="AP275" s="18"/>
      <c r="AQ275" s="15" t="s">
        <v>5356</v>
      </c>
      <c r="AR275" s="15" t="s">
        <v>9347</v>
      </c>
      <c r="AS275" s="18"/>
      <c r="AT275" s="18"/>
      <c r="AU275" s="18"/>
      <c r="AV275" s="18"/>
      <c r="AW275" s="15" t="s">
        <v>9348</v>
      </c>
      <c r="AX275" s="18"/>
      <c r="AY275" s="15" t="s">
        <v>2796</v>
      </c>
      <c r="AZ275" s="15" t="s">
        <v>5335</v>
      </c>
      <c r="BA275" s="15" t="s">
        <v>5552</v>
      </c>
      <c r="BB275" s="15" t="s">
        <v>2807</v>
      </c>
      <c r="BC275" s="15" t="s">
        <v>3686</v>
      </c>
      <c r="BD275" s="15" t="s">
        <v>2807</v>
      </c>
      <c r="BE275" s="15" t="s">
        <v>9349</v>
      </c>
      <c r="BF275" s="18"/>
      <c r="BG275" s="18"/>
      <c r="BH275" s="18"/>
      <c r="BI275" s="18"/>
      <c r="BJ275" s="19" t="s">
        <v>9350</v>
      </c>
      <c r="BK275" s="19" t="s">
        <v>9351</v>
      </c>
      <c r="BL275" s="18"/>
      <c r="BM275" s="18"/>
      <c r="BN275" s="19" t="s">
        <v>9352</v>
      </c>
      <c r="BO275" s="19" t="s">
        <v>9353</v>
      </c>
      <c r="BP275" s="18"/>
      <c r="BQ275" s="15" t="s">
        <v>1193</v>
      </c>
      <c r="BR275" s="18"/>
      <c r="BS275" s="18"/>
      <c r="BT275" s="18"/>
      <c r="BU275" s="19" t="s">
        <v>9354</v>
      </c>
      <c r="BV275" s="19" t="s">
        <v>9355</v>
      </c>
      <c r="BW275" s="15" t="s">
        <v>9356</v>
      </c>
      <c r="BX275" s="18"/>
      <c r="BY275" s="18" t="str">
        <f t="shared" si="104"/>
        <v>E&amp;TC</v>
      </c>
      <c r="BZ275" s="24" t="str">
        <f t="shared" si="100"/>
        <v>https://drive.google.com/open?id=1iVv4JfQzz-UUZjgo8nqa8a7PtF8Ibrro</v>
      </c>
      <c r="CA275" s="24" t="str">
        <f t="shared" si="101"/>
        <v>https://drive.google.com/open?id=1wSQ62mTwy27lkWRnPNdtmnH4Gium_o6Y</v>
      </c>
      <c r="CB275" s="15" t="s">
        <v>2908</v>
      </c>
      <c r="CC275" s="15" t="s">
        <v>2908</v>
      </c>
      <c r="CD275" s="25" t="s">
        <v>2797</v>
      </c>
      <c r="CE275" s="18"/>
      <c r="CF275" s="18"/>
      <c r="CG275" s="18"/>
    </row>
    <row r="276" ht="18.75" hidden="1" customHeight="1">
      <c r="A276" s="14">
        <v>44736.11514163195</v>
      </c>
      <c r="B276" s="15" t="s">
        <v>1818</v>
      </c>
      <c r="C276" s="16" t="s">
        <v>9357</v>
      </c>
      <c r="D276" s="15" t="str">
        <f>IFERROR(__xludf.DUMMYFUNCTION("QUERY(TY_ALL_2023_Batch!$A$1:$E$824, ""SELECT E WHERE C='""&amp;B276&amp;""'"", 0)"),"E&amp;TC")</f>
        <v>E&amp;TC</v>
      </c>
      <c r="E276" s="15" t="s">
        <v>9358</v>
      </c>
      <c r="F276" s="18"/>
      <c r="G276" s="15" t="s">
        <v>5816</v>
      </c>
      <c r="H276" s="15" t="s">
        <v>2785</v>
      </c>
      <c r="I276" s="17">
        <v>36561.0</v>
      </c>
      <c r="J276" s="15">
        <v>2019.0</v>
      </c>
      <c r="K276" s="15" t="s">
        <v>2786</v>
      </c>
      <c r="L276" s="15" t="s">
        <v>2787</v>
      </c>
      <c r="M276" s="18"/>
      <c r="N276" s="15" t="s">
        <v>1818</v>
      </c>
      <c r="O276" s="15" t="s">
        <v>1818</v>
      </c>
      <c r="P276" s="19" t="s">
        <v>9359</v>
      </c>
      <c r="Q276" s="15">
        <v>7.091359802E9</v>
      </c>
      <c r="R276" s="15">
        <v>7.091359802E9</v>
      </c>
      <c r="S276" s="15">
        <v>9.334815174E9</v>
      </c>
      <c r="T276" s="15" t="s">
        <v>9360</v>
      </c>
      <c r="U276" s="15" t="s">
        <v>9361</v>
      </c>
      <c r="V276" s="15" t="s">
        <v>9362</v>
      </c>
      <c r="W276" s="15" t="s">
        <v>9363</v>
      </c>
      <c r="X276" s="15">
        <v>77.0</v>
      </c>
      <c r="Y276" s="15" t="s">
        <v>2795</v>
      </c>
      <c r="Z276" s="15">
        <v>8.14</v>
      </c>
      <c r="AA276" s="15">
        <v>7.65</v>
      </c>
      <c r="AB276" s="15" t="s">
        <v>2796</v>
      </c>
      <c r="AC276" s="15" t="s">
        <v>2796</v>
      </c>
      <c r="AD276" s="15" t="s">
        <v>2796</v>
      </c>
      <c r="AE276" s="15" t="s">
        <v>2796</v>
      </c>
      <c r="AF276" s="15">
        <v>5.84</v>
      </c>
      <c r="AG276" s="15">
        <v>7.71</v>
      </c>
      <c r="AH276" s="15">
        <v>68.0</v>
      </c>
      <c r="AI276" s="18"/>
      <c r="AJ276" s="15" t="s">
        <v>2787</v>
      </c>
      <c r="AK276" s="15" t="s">
        <v>2787</v>
      </c>
      <c r="AL276" s="18"/>
      <c r="AM276" s="18"/>
      <c r="AN276" s="15" t="s">
        <v>2797</v>
      </c>
      <c r="AO276" s="15" t="s">
        <v>2796</v>
      </c>
      <c r="AP276" s="15" t="s">
        <v>2796</v>
      </c>
      <c r="AQ276" s="15" t="s">
        <v>9364</v>
      </c>
      <c r="AR276" s="15" t="s">
        <v>9365</v>
      </c>
      <c r="AS276" s="15" t="s">
        <v>9366</v>
      </c>
      <c r="AT276" s="15" t="s">
        <v>2796</v>
      </c>
      <c r="AU276" s="15" t="s">
        <v>9367</v>
      </c>
      <c r="AV276" s="15" t="s">
        <v>9368</v>
      </c>
      <c r="AW276" s="15" t="s">
        <v>9369</v>
      </c>
      <c r="AX276" s="15" t="s">
        <v>2796</v>
      </c>
      <c r="AY276" s="15" t="s">
        <v>9370</v>
      </c>
      <c r="AZ276" s="15" t="s">
        <v>4670</v>
      </c>
      <c r="BA276" s="15" t="s">
        <v>5552</v>
      </c>
      <c r="BB276" s="15" t="s">
        <v>9371</v>
      </c>
      <c r="BC276" s="15" t="s">
        <v>5554</v>
      </c>
      <c r="BD276" s="15" t="s">
        <v>2807</v>
      </c>
      <c r="BE276" s="15" t="s">
        <v>9372</v>
      </c>
      <c r="BF276" s="15" t="s">
        <v>2796</v>
      </c>
      <c r="BG276" s="15" t="s">
        <v>2796</v>
      </c>
      <c r="BH276" s="15" t="s">
        <v>9373</v>
      </c>
      <c r="BI276" s="15" t="s">
        <v>9374</v>
      </c>
      <c r="BJ276" s="19" t="s">
        <v>9375</v>
      </c>
      <c r="BK276" s="19" t="s">
        <v>9376</v>
      </c>
      <c r="BL276" s="18"/>
      <c r="BM276" s="19" t="s">
        <v>9377</v>
      </c>
      <c r="BN276" s="18"/>
      <c r="BO276" s="19" t="s">
        <v>9378</v>
      </c>
      <c r="BP276" s="18"/>
      <c r="BQ276" s="15" t="s">
        <v>1193</v>
      </c>
      <c r="BR276" s="26"/>
      <c r="BS276" s="26"/>
      <c r="BT276" s="26"/>
      <c r="BU276" s="26"/>
      <c r="BV276" s="26"/>
      <c r="BW276" s="26"/>
      <c r="BX276" s="26"/>
      <c r="BY276" s="18" t="str">
        <f t="shared" si="104"/>
        <v>E&amp;TC</v>
      </c>
      <c r="BZ276" s="18" t="str">
        <f t="shared" si="100"/>
        <v/>
      </c>
      <c r="CA276" s="24" t="str">
        <f t="shared" si="101"/>
        <v>https://drive.google.com/open?id=1dp1TQQ6AqF8oD1Iu_-sNUYMzp4XGgKjM</v>
      </c>
      <c r="CB276" s="15" t="s">
        <v>2908</v>
      </c>
      <c r="CC276" s="15" t="s">
        <v>2821</v>
      </c>
      <c r="CD276" s="25" t="s">
        <v>2797</v>
      </c>
      <c r="CE276" s="18"/>
      <c r="CF276" s="18"/>
      <c r="CG276" s="18"/>
    </row>
    <row r="277" ht="18.75" hidden="1" customHeight="1">
      <c r="A277" s="14">
        <v>44741.74539369213</v>
      </c>
      <c r="B277" s="15" t="s">
        <v>1761</v>
      </c>
      <c r="C277" s="16" t="s">
        <v>9379</v>
      </c>
      <c r="D277" s="15" t="str">
        <f>IFERROR(__xludf.DUMMYFUNCTION("QUERY(TY_ALL_2023_Batch!$A$1:$E$824, ""SELECT E WHERE C='""&amp;B277&amp;""'"", 0)"),"E&amp;TC")</f>
        <v>E&amp;TC</v>
      </c>
      <c r="E277" s="15" t="s">
        <v>9380</v>
      </c>
      <c r="F277" s="15" t="s">
        <v>3977</v>
      </c>
      <c r="G277" s="15" t="s">
        <v>9381</v>
      </c>
      <c r="H277" s="15" t="s">
        <v>2826</v>
      </c>
      <c r="I277" s="17">
        <v>36994.0</v>
      </c>
      <c r="J277" s="15">
        <v>2019.0</v>
      </c>
      <c r="K277" s="15" t="s">
        <v>2786</v>
      </c>
      <c r="L277" s="15" t="s">
        <v>2787</v>
      </c>
      <c r="M277" s="18"/>
      <c r="N277" s="15" t="s">
        <v>9382</v>
      </c>
      <c r="O277" s="15" t="s">
        <v>1761</v>
      </c>
      <c r="P277" s="19" t="s">
        <v>9383</v>
      </c>
      <c r="Q277" s="15">
        <v>9.307734421E9</v>
      </c>
      <c r="R277" s="15">
        <v>9.307734421E9</v>
      </c>
      <c r="S277" s="18"/>
      <c r="T277" s="15" t="s">
        <v>3977</v>
      </c>
      <c r="U277" s="15" t="s">
        <v>3907</v>
      </c>
      <c r="V277" s="15" t="s">
        <v>9384</v>
      </c>
      <c r="W277" s="15" t="s">
        <v>9385</v>
      </c>
      <c r="X277" s="15">
        <v>77.0</v>
      </c>
      <c r="Y277" s="15" t="s">
        <v>2795</v>
      </c>
      <c r="Z277" s="15">
        <v>6.4</v>
      </c>
      <c r="AA277" s="15">
        <v>6.6</v>
      </c>
      <c r="AB277" s="15">
        <v>7.0</v>
      </c>
      <c r="AC277" s="15" t="s">
        <v>2796</v>
      </c>
      <c r="AD277" s="15" t="s">
        <v>2796</v>
      </c>
      <c r="AE277" s="15" t="s">
        <v>2796</v>
      </c>
      <c r="AF277" s="15">
        <v>7.0</v>
      </c>
      <c r="AG277" s="15">
        <v>6.97</v>
      </c>
      <c r="AH277" s="15">
        <v>60.0</v>
      </c>
      <c r="AI277" s="18"/>
      <c r="AJ277" s="15" t="s">
        <v>2787</v>
      </c>
      <c r="AK277" s="15" t="s">
        <v>2787</v>
      </c>
      <c r="AL277" s="15">
        <v>598.3</v>
      </c>
      <c r="AM277" s="15">
        <v>543.3</v>
      </c>
      <c r="AN277" s="15" t="s">
        <v>2787</v>
      </c>
      <c r="AO277" s="18"/>
      <c r="AP277" s="15" t="s">
        <v>9386</v>
      </c>
      <c r="AQ277" s="15" t="s">
        <v>9387</v>
      </c>
      <c r="AR277" s="15" t="s">
        <v>9388</v>
      </c>
      <c r="AS277" s="15" t="s">
        <v>9389</v>
      </c>
      <c r="AT277" s="18"/>
      <c r="AU277" s="15" t="s">
        <v>5947</v>
      </c>
      <c r="AV277" s="15" t="s">
        <v>9390</v>
      </c>
      <c r="AW277" s="15" t="s">
        <v>9391</v>
      </c>
      <c r="AX277" s="15" t="s">
        <v>9392</v>
      </c>
      <c r="AY277" s="15" t="s">
        <v>9393</v>
      </c>
      <c r="AZ277" s="15" t="s">
        <v>8440</v>
      </c>
      <c r="BA277" s="15" t="s">
        <v>2839</v>
      </c>
      <c r="BB277" s="15" t="s">
        <v>5673</v>
      </c>
      <c r="BC277" s="15" t="s">
        <v>5394</v>
      </c>
      <c r="BD277" s="15" t="s">
        <v>2807</v>
      </c>
      <c r="BE277" s="15" t="s">
        <v>2796</v>
      </c>
      <c r="BF277" s="18"/>
      <c r="BG277" s="18"/>
      <c r="BH277" s="18"/>
      <c r="BI277" s="15" t="s">
        <v>9394</v>
      </c>
      <c r="BJ277" s="19" t="s">
        <v>9395</v>
      </c>
      <c r="BK277" s="19" t="s">
        <v>9396</v>
      </c>
      <c r="BL277" s="19" t="s">
        <v>9397</v>
      </c>
      <c r="BM277" s="19" t="s">
        <v>9398</v>
      </c>
      <c r="BN277" s="19" t="s">
        <v>9399</v>
      </c>
      <c r="BO277" s="19" t="s">
        <v>9400</v>
      </c>
      <c r="BP277" s="18"/>
      <c r="BQ277" s="15" t="s">
        <v>1193</v>
      </c>
      <c r="BR277" s="26"/>
      <c r="BS277" s="26"/>
      <c r="BT277" s="26"/>
      <c r="BU277" s="19" t="s">
        <v>9401</v>
      </c>
      <c r="BV277" s="19" t="s">
        <v>9402</v>
      </c>
      <c r="BW277" s="15" t="s">
        <v>9403</v>
      </c>
      <c r="BX277" s="26"/>
      <c r="BY277" s="18" t="str">
        <f t="shared" si="104"/>
        <v>E&amp;TC</v>
      </c>
      <c r="BZ277" s="24" t="str">
        <f t="shared" si="100"/>
        <v>https://drive.google.com/open?id=1rvCJQSZeaF_sh5m4XBcKXDFnldNBm5lz</v>
      </c>
      <c r="CA277" s="24" t="str">
        <f t="shared" si="101"/>
        <v>https://drive.google.com/open?id=17FXG19RRGu_DGEivCgvuA3NvF5dPklry</v>
      </c>
      <c r="CB277" s="15" t="s">
        <v>2821</v>
      </c>
      <c r="CC277" s="15" t="s">
        <v>2821</v>
      </c>
      <c r="CD277" s="25" t="s">
        <v>2797</v>
      </c>
      <c r="CE277" s="18"/>
      <c r="CF277" s="18"/>
      <c r="CG277" s="18"/>
    </row>
    <row r="278" ht="18.75" hidden="1" customHeight="1">
      <c r="A278" s="14">
        <v>44734.57904196759</v>
      </c>
      <c r="B278" s="15" t="s">
        <v>1944</v>
      </c>
      <c r="C278" s="16" t="s">
        <v>9404</v>
      </c>
      <c r="D278" s="15" t="str">
        <f>IFERROR(__xludf.DUMMYFUNCTION("QUERY(TY_ALL_2023_Batch!$A$1:$E$824, ""SELECT E WHERE C='""&amp;B278&amp;""'"", 0)"),"E&amp;TC")</f>
        <v>E&amp;TC</v>
      </c>
      <c r="E278" s="15" t="s">
        <v>4298</v>
      </c>
      <c r="F278" s="15" t="s">
        <v>6015</v>
      </c>
      <c r="G278" s="15" t="s">
        <v>9405</v>
      </c>
      <c r="H278" s="15" t="s">
        <v>2785</v>
      </c>
      <c r="I278" s="17">
        <v>36799.0</v>
      </c>
      <c r="J278" s="15">
        <v>2019.0</v>
      </c>
      <c r="K278" s="15" t="s">
        <v>2786</v>
      </c>
      <c r="L278" s="15" t="s">
        <v>2787</v>
      </c>
      <c r="M278" s="18"/>
      <c r="N278" s="15" t="s">
        <v>9406</v>
      </c>
      <c r="O278" s="15" t="s">
        <v>1944</v>
      </c>
      <c r="P278" s="19" t="s">
        <v>9407</v>
      </c>
      <c r="Q278" s="15">
        <v>7.05770202E9</v>
      </c>
      <c r="R278" s="15">
        <v>7.05770202E9</v>
      </c>
      <c r="S278" s="15">
        <v>9.73027781E9</v>
      </c>
      <c r="T278" s="15" t="s">
        <v>9408</v>
      </c>
      <c r="U278" s="15" t="s">
        <v>9409</v>
      </c>
      <c r="V278" s="15" t="s">
        <v>9410</v>
      </c>
      <c r="W278" s="15" t="s">
        <v>9411</v>
      </c>
      <c r="X278" s="15">
        <v>74.69</v>
      </c>
      <c r="Y278" s="15" t="s">
        <v>2795</v>
      </c>
      <c r="Z278" s="15">
        <v>8.42</v>
      </c>
      <c r="AA278" s="15">
        <v>9.05</v>
      </c>
      <c r="AB278" s="15" t="s">
        <v>2796</v>
      </c>
      <c r="AC278" s="15" t="s">
        <v>2796</v>
      </c>
      <c r="AD278" s="15" t="s">
        <v>2796</v>
      </c>
      <c r="AE278" s="15" t="s">
        <v>2796</v>
      </c>
      <c r="AF278" s="15">
        <v>8.42</v>
      </c>
      <c r="AG278" s="15">
        <v>9.05</v>
      </c>
      <c r="AH278" s="15">
        <v>87.69</v>
      </c>
      <c r="AI278" s="18"/>
      <c r="AJ278" s="15" t="s">
        <v>2787</v>
      </c>
      <c r="AK278" s="15" t="s">
        <v>2787</v>
      </c>
      <c r="AL278" s="15">
        <v>61.5</v>
      </c>
      <c r="AM278" s="15">
        <v>58.83</v>
      </c>
      <c r="AN278" s="15" t="s">
        <v>2787</v>
      </c>
      <c r="AO278" s="15" t="s">
        <v>2796</v>
      </c>
      <c r="AP278" s="15" t="s">
        <v>9412</v>
      </c>
      <c r="AQ278" s="15" t="s">
        <v>9413</v>
      </c>
      <c r="AR278" s="15" t="s">
        <v>2796</v>
      </c>
      <c r="AS278" s="15" t="s">
        <v>9414</v>
      </c>
      <c r="AT278" s="15" t="s">
        <v>2796</v>
      </c>
      <c r="AU278" s="15" t="s">
        <v>9390</v>
      </c>
      <c r="AV278" s="15" t="s">
        <v>9415</v>
      </c>
      <c r="AW278" s="15" t="s">
        <v>9416</v>
      </c>
      <c r="AX278" s="15" t="s">
        <v>2796</v>
      </c>
      <c r="AY278" s="15" t="s">
        <v>9417</v>
      </c>
      <c r="AZ278" s="15" t="s">
        <v>5260</v>
      </c>
      <c r="BA278" s="15" t="s">
        <v>9418</v>
      </c>
      <c r="BB278" s="15" t="s">
        <v>2807</v>
      </c>
      <c r="BC278" s="15" t="s">
        <v>8295</v>
      </c>
      <c r="BD278" s="15" t="s">
        <v>2807</v>
      </c>
      <c r="BE278" s="15" t="s">
        <v>9419</v>
      </c>
      <c r="BF278" s="15" t="s">
        <v>2796</v>
      </c>
      <c r="BG278" s="15" t="s">
        <v>2796</v>
      </c>
      <c r="BH278" s="18"/>
      <c r="BI278" s="15" t="s">
        <v>9420</v>
      </c>
      <c r="BJ278" s="19" t="s">
        <v>9421</v>
      </c>
      <c r="BK278" s="19" t="s">
        <v>9422</v>
      </c>
      <c r="BL278" s="18"/>
      <c r="BM278" s="18"/>
      <c r="BN278" s="19" t="s">
        <v>9423</v>
      </c>
      <c r="BO278" s="19" t="s">
        <v>9424</v>
      </c>
      <c r="BP278" s="19" t="s">
        <v>9425</v>
      </c>
      <c r="BQ278" s="15" t="s">
        <v>1193</v>
      </c>
      <c r="BR278" s="26"/>
      <c r="BS278" s="26"/>
      <c r="BT278" s="26"/>
      <c r="BU278" s="26"/>
      <c r="BV278" s="26"/>
      <c r="BW278" s="26"/>
      <c r="BX278" s="26"/>
      <c r="BY278" s="18" t="str">
        <f t="shared" si="104"/>
        <v>E&amp;TC</v>
      </c>
      <c r="BZ278" s="18" t="str">
        <f t="shared" si="100"/>
        <v/>
      </c>
      <c r="CA278" s="18" t="str">
        <f t="shared" si="101"/>
        <v/>
      </c>
      <c r="CB278" s="15" t="s">
        <v>2908</v>
      </c>
      <c r="CC278" s="15" t="s">
        <v>2908</v>
      </c>
      <c r="CD278" s="25" t="s">
        <v>2797</v>
      </c>
      <c r="CE278" s="18"/>
      <c r="CF278" s="18"/>
      <c r="CG278" s="18"/>
    </row>
    <row r="279" ht="18.75" hidden="1" customHeight="1">
      <c r="A279" s="14">
        <v>44740.68372133102</v>
      </c>
      <c r="B279" s="15" t="s">
        <v>2019</v>
      </c>
      <c r="C279" s="16" t="s">
        <v>9426</v>
      </c>
      <c r="D279" s="15" t="str">
        <f>IFERROR(__xludf.DUMMYFUNCTION("QUERY(TY_ALL_2023_Batch!$A$1:$E$824, ""SELECT E WHERE C='""&amp;B279&amp;""'"", 0)"),"E&amp;TC")</f>
        <v>E&amp;TC</v>
      </c>
      <c r="E279" s="15" t="s">
        <v>9427</v>
      </c>
      <c r="F279" s="15" t="s">
        <v>9428</v>
      </c>
      <c r="G279" s="15" t="s">
        <v>9429</v>
      </c>
      <c r="H279" s="15" t="s">
        <v>2826</v>
      </c>
      <c r="I279" s="17">
        <v>37155.0</v>
      </c>
      <c r="J279" s="15">
        <v>2019.0</v>
      </c>
      <c r="K279" s="15" t="s">
        <v>2786</v>
      </c>
      <c r="L279" s="15" t="s">
        <v>2787</v>
      </c>
      <c r="M279" s="18"/>
      <c r="N279" s="15" t="s">
        <v>9430</v>
      </c>
      <c r="O279" s="15" t="s">
        <v>2019</v>
      </c>
      <c r="P279" s="19" t="s">
        <v>9431</v>
      </c>
      <c r="Q279" s="15">
        <v>9.689577629E9</v>
      </c>
      <c r="R279" s="15">
        <v>9.689577629E9</v>
      </c>
      <c r="S279" s="15">
        <v>9.145662848E9</v>
      </c>
      <c r="T279" s="15" t="s">
        <v>9432</v>
      </c>
      <c r="U279" s="15" t="s">
        <v>9433</v>
      </c>
      <c r="V279" s="15" t="s">
        <v>9434</v>
      </c>
      <c r="W279" s="18"/>
      <c r="X279" s="15">
        <v>95.0</v>
      </c>
      <c r="Y279" s="15" t="s">
        <v>2795</v>
      </c>
      <c r="Z279" s="15">
        <v>9.33</v>
      </c>
      <c r="AA279" s="15">
        <v>9.6</v>
      </c>
      <c r="AB279" s="15" t="s">
        <v>2796</v>
      </c>
      <c r="AC279" s="15" t="s">
        <v>2796</v>
      </c>
      <c r="AD279" s="15" t="s">
        <v>2796</v>
      </c>
      <c r="AE279" s="15" t="s">
        <v>2796</v>
      </c>
      <c r="AF279" s="15">
        <v>9.32</v>
      </c>
      <c r="AG279" s="15">
        <v>9.62</v>
      </c>
      <c r="AH279" s="15">
        <v>89.8</v>
      </c>
      <c r="AI279" s="18"/>
      <c r="AJ279" s="15" t="s">
        <v>2787</v>
      </c>
      <c r="AK279" s="15" t="s">
        <v>2787</v>
      </c>
      <c r="AL279" s="15" t="s">
        <v>9435</v>
      </c>
      <c r="AM279" s="15" t="s">
        <v>9436</v>
      </c>
      <c r="AN279" s="15" t="s">
        <v>2797</v>
      </c>
      <c r="AO279" s="18"/>
      <c r="AP279" s="18"/>
      <c r="AQ279" s="15" t="s">
        <v>8866</v>
      </c>
      <c r="AR279" s="15" t="s">
        <v>9437</v>
      </c>
      <c r="AS279" s="15" t="s">
        <v>9438</v>
      </c>
      <c r="AT279" s="18"/>
      <c r="AU279" s="18"/>
      <c r="AV279" s="15" t="s">
        <v>9439</v>
      </c>
      <c r="AW279" s="15" t="s">
        <v>9440</v>
      </c>
      <c r="AX279" s="18"/>
      <c r="AY279" s="15" t="s">
        <v>5869</v>
      </c>
      <c r="AZ279" s="15" t="s">
        <v>5260</v>
      </c>
      <c r="BA279" s="15" t="s">
        <v>5392</v>
      </c>
      <c r="BB279" s="15" t="s">
        <v>9441</v>
      </c>
      <c r="BC279" s="15" t="s">
        <v>9442</v>
      </c>
      <c r="BD279" s="15" t="s">
        <v>2807</v>
      </c>
      <c r="BE279" s="15" t="s">
        <v>9443</v>
      </c>
      <c r="BF279" s="18"/>
      <c r="BG279" s="18"/>
      <c r="BH279" s="18"/>
      <c r="BI279" s="18"/>
      <c r="BJ279" s="19" t="s">
        <v>9444</v>
      </c>
      <c r="BK279" s="19" t="s">
        <v>9445</v>
      </c>
      <c r="BL279" s="19" t="s">
        <v>9446</v>
      </c>
      <c r="BM279" s="19" t="s">
        <v>9447</v>
      </c>
      <c r="BN279" s="19" t="s">
        <v>9448</v>
      </c>
      <c r="BO279" s="19" t="s">
        <v>9449</v>
      </c>
      <c r="BP279" s="19" t="s">
        <v>9450</v>
      </c>
      <c r="BQ279" s="15" t="s">
        <v>1193</v>
      </c>
      <c r="BR279" s="19" t="s">
        <v>9451</v>
      </c>
      <c r="BS279" s="19" t="s">
        <v>9452</v>
      </c>
      <c r="BT279" s="19" t="s">
        <v>9453</v>
      </c>
      <c r="BU279" s="19" t="s">
        <v>9454</v>
      </c>
      <c r="BV279" s="19" t="s">
        <v>9455</v>
      </c>
      <c r="BW279" s="15" t="s">
        <v>9456</v>
      </c>
      <c r="BX279" s="26"/>
      <c r="BY279" s="18" t="str">
        <f t="shared" si="104"/>
        <v>E&amp;TC</v>
      </c>
      <c r="BZ279" s="24" t="str">
        <f t="shared" si="100"/>
        <v>https://drive.google.com/open?id=1TQWoXe4Ckb5IRizb8LTEP1tqoEDsh9MI</v>
      </c>
      <c r="CA279" s="24" t="str">
        <f t="shared" si="101"/>
        <v>https://drive.google.com/open?id=1PJ5NmKfE2nmay7q6-Rf8V_LY3hQcDspj</v>
      </c>
      <c r="CB279" s="15" t="s">
        <v>2821</v>
      </c>
      <c r="CC279" s="15" t="s">
        <v>2821</v>
      </c>
      <c r="CD279" s="25" t="s">
        <v>2909</v>
      </c>
      <c r="CE279" s="18"/>
      <c r="CF279" s="18"/>
      <c r="CG279" s="18"/>
    </row>
    <row r="280" ht="18.75" hidden="1" customHeight="1">
      <c r="A280" s="14">
        <v>44739.771115787036</v>
      </c>
      <c r="B280" s="15" t="s">
        <v>1809</v>
      </c>
      <c r="C280" s="16" t="s">
        <v>9457</v>
      </c>
      <c r="D280" s="15" t="str">
        <f>IFERROR(__xludf.DUMMYFUNCTION("QUERY(TY_ALL_2023_Batch!$A$1:$E$824, ""SELECT E WHERE C='""&amp;B280&amp;""'"", 0)"),"E&amp;TC")</f>
        <v>E&amp;TC</v>
      </c>
      <c r="E280" s="15" t="s">
        <v>9458</v>
      </c>
      <c r="F280" s="15" t="s">
        <v>7295</v>
      </c>
      <c r="G280" s="15" t="s">
        <v>9459</v>
      </c>
      <c r="H280" s="15" t="s">
        <v>2785</v>
      </c>
      <c r="I280" s="17">
        <v>37078.0</v>
      </c>
      <c r="J280" s="15">
        <v>2019.0</v>
      </c>
      <c r="K280" s="15" t="s">
        <v>2786</v>
      </c>
      <c r="L280" s="15" t="s">
        <v>2787</v>
      </c>
      <c r="M280" s="18"/>
      <c r="N280" s="15" t="s">
        <v>9460</v>
      </c>
      <c r="O280" s="15" t="s">
        <v>1809</v>
      </c>
      <c r="P280" s="19" t="s">
        <v>9461</v>
      </c>
      <c r="Q280" s="15">
        <v>8.308507926E9</v>
      </c>
      <c r="R280" s="15">
        <v>8.308507926E9</v>
      </c>
      <c r="S280" s="15">
        <v>9.322022718E9</v>
      </c>
      <c r="T280" s="15" t="s">
        <v>9462</v>
      </c>
      <c r="U280" s="15" t="s">
        <v>9463</v>
      </c>
      <c r="V280" s="15" t="s">
        <v>9464</v>
      </c>
      <c r="W280" s="18"/>
      <c r="X280" s="15">
        <v>97.6</v>
      </c>
      <c r="Y280" s="15" t="s">
        <v>2795</v>
      </c>
      <c r="Z280" s="15">
        <v>8.62</v>
      </c>
      <c r="AA280" s="15">
        <v>8.85</v>
      </c>
      <c r="AB280" s="15" t="s">
        <v>2796</v>
      </c>
      <c r="AC280" s="15" t="s">
        <v>2796</v>
      </c>
      <c r="AD280" s="15" t="s">
        <v>2796</v>
      </c>
      <c r="AE280" s="15" t="s">
        <v>2796</v>
      </c>
      <c r="AF280" s="15">
        <v>7.58</v>
      </c>
      <c r="AG280" s="15">
        <v>7.57</v>
      </c>
      <c r="AH280" s="15">
        <v>86.15</v>
      </c>
      <c r="AI280" s="18"/>
      <c r="AJ280" s="15" t="s">
        <v>2787</v>
      </c>
      <c r="AK280" s="15" t="s">
        <v>2787</v>
      </c>
      <c r="AL280" s="15">
        <v>648.0</v>
      </c>
      <c r="AM280" s="15">
        <v>632.0</v>
      </c>
      <c r="AN280" s="15" t="s">
        <v>2797</v>
      </c>
      <c r="AO280" s="18"/>
      <c r="AP280" s="18"/>
      <c r="AQ280" s="15" t="s">
        <v>9465</v>
      </c>
      <c r="AR280" s="15" t="s">
        <v>9466</v>
      </c>
      <c r="AS280" s="15" t="s">
        <v>9467</v>
      </c>
      <c r="AT280" s="18"/>
      <c r="AU280" s="18"/>
      <c r="AV280" s="15" t="s">
        <v>9468</v>
      </c>
      <c r="AW280" s="15" t="s">
        <v>9469</v>
      </c>
      <c r="AX280" s="18"/>
      <c r="AY280" s="15" t="s">
        <v>9470</v>
      </c>
      <c r="AZ280" s="15" t="s">
        <v>4670</v>
      </c>
      <c r="BA280" s="15" t="s">
        <v>5552</v>
      </c>
      <c r="BB280" s="15" t="s">
        <v>9471</v>
      </c>
      <c r="BC280" s="15" t="s">
        <v>9472</v>
      </c>
      <c r="BD280" s="15" t="s">
        <v>2842</v>
      </c>
      <c r="BE280" s="15" t="s">
        <v>9473</v>
      </c>
      <c r="BF280" s="15" t="s">
        <v>9474</v>
      </c>
      <c r="BG280" s="18"/>
      <c r="BH280" s="15" t="s">
        <v>9475</v>
      </c>
      <c r="BI280" s="15" t="s">
        <v>9476</v>
      </c>
      <c r="BJ280" s="19" t="s">
        <v>9477</v>
      </c>
      <c r="BK280" s="19" t="s">
        <v>9478</v>
      </c>
      <c r="BL280" s="19" t="s">
        <v>9479</v>
      </c>
      <c r="BM280" s="20" t="s">
        <v>9480</v>
      </c>
      <c r="BN280" s="19" t="s">
        <v>9481</v>
      </c>
      <c r="BO280" s="19" t="s">
        <v>9482</v>
      </c>
      <c r="BP280" s="19" t="s">
        <v>9483</v>
      </c>
      <c r="BQ280" s="15" t="s">
        <v>1193</v>
      </c>
      <c r="BR280" s="26"/>
      <c r="BS280" s="26"/>
      <c r="BT280" s="26"/>
      <c r="BU280" s="26"/>
      <c r="BV280" s="26"/>
      <c r="BW280" s="15" t="s">
        <v>3313</v>
      </c>
      <c r="BX280" s="26"/>
      <c r="BY280" s="18" t="str">
        <f t="shared" si="104"/>
        <v>E&amp;TC</v>
      </c>
      <c r="BZ280" s="24" t="str">
        <f t="shared" si="100"/>
        <v>https://drive.google.com/open?id=1fdrpA3X9ODwpCfRsiG2BasHp6npxZ-_R</v>
      </c>
      <c r="CA280" s="24" t="str">
        <f t="shared" si="101"/>
        <v>https://drive.google.com/open?id=107P3sBl5xTYrrp8ZBbnRTpaaXTFEZNDv</v>
      </c>
      <c r="CB280" s="15" t="s">
        <v>2821</v>
      </c>
      <c r="CC280" s="15" t="s">
        <v>2821</v>
      </c>
      <c r="CD280" s="25" t="s">
        <v>2797</v>
      </c>
      <c r="CE280" s="18"/>
      <c r="CF280" s="18"/>
      <c r="CG280" s="18"/>
    </row>
    <row r="281" ht="18.75" hidden="1" customHeight="1">
      <c r="A281" s="14">
        <v>44742.98337945602</v>
      </c>
      <c r="B281" s="15" t="s">
        <v>1983</v>
      </c>
      <c r="C281" s="16" t="s">
        <v>9484</v>
      </c>
      <c r="D281" s="15" t="str">
        <f>IFERROR(__xludf.DUMMYFUNCTION("QUERY(TY_ALL_2023_Batch!$A$1:$E$824, ""SELECT E WHERE C='""&amp;B281&amp;""'"", 0)"),"E&amp;TC")</f>
        <v>E&amp;TC</v>
      </c>
      <c r="E281" s="15" t="s">
        <v>5205</v>
      </c>
      <c r="F281" s="15" t="s">
        <v>4054</v>
      </c>
      <c r="G281" s="15" t="s">
        <v>4471</v>
      </c>
      <c r="H281" s="15" t="s">
        <v>2826</v>
      </c>
      <c r="I281" s="17">
        <v>37167.0</v>
      </c>
      <c r="J281" s="15">
        <v>2019.0</v>
      </c>
      <c r="K281" s="15" t="s">
        <v>2786</v>
      </c>
      <c r="L281" s="15" t="s">
        <v>2787</v>
      </c>
      <c r="M281" s="18"/>
      <c r="N281" s="15" t="s">
        <v>9485</v>
      </c>
      <c r="O281" s="15" t="s">
        <v>1983</v>
      </c>
      <c r="P281" s="19" t="s">
        <v>9486</v>
      </c>
      <c r="Q281" s="15">
        <v>9.834287571E9</v>
      </c>
      <c r="R281" s="15">
        <v>9.834287571E9</v>
      </c>
      <c r="S281" s="15">
        <v>9.834287571E9</v>
      </c>
      <c r="T281" s="15" t="s">
        <v>9487</v>
      </c>
      <c r="U281" s="15" t="s">
        <v>9488</v>
      </c>
      <c r="V281" s="15" t="s">
        <v>9489</v>
      </c>
      <c r="W281" s="18"/>
      <c r="X281" s="15">
        <v>87.0</v>
      </c>
      <c r="Y281" s="15" t="s">
        <v>2795</v>
      </c>
      <c r="Z281" s="15">
        <v>9.48</v>
      </c>
      <c r="AA281" s="15">
        <v>9.5</v>
      </c>
      <c r="AB281" s="15" t="s">
        <v>2796</v>
      </c>
      <c r="AC281" s="15" t="s">
        <v>2796</v>
      </c>
      <c r="AD281" s="15" t="s">
        <v>2796</v>
      </c>
      <c r="AE281" s="15" t="s">
        <v>2796</v>
      </c>
      <c r="AF281" s="15">
        <v>8.68</v>
      </c>
      <c r="AG281" s="15">
        <v>8.81</v>
      </c>
      <c r="AH281" s="15">
        <v>78.0</v>
      </c>
      <c r="AI281" s="18"/>
      <c r="AJ281" s="15" t="s">
        <v>2787</v>
      </c>
      <c r="AK281" s="15" t="s">
        <v>2787</v>
      </c>
      <c r="AL281" s="15">
        <v>90.0</v>
      </c>
      <c r="AM281" s="15">
        <v>83.0</v>
      </c>
      <c r="AN281" s="15" t="s">
        <v>2797</v>
      </c>
      <c r="AO281" s="15" t="s">
        <v>2796</v>
      </c>
      <c r="AP281" s="15" t="s">
        <v>2796</v>
      </c>
      <c r="AQ281" s="15" t="s">
        <v>9490</v>
      </c>
      <c r="AR281" s="15" t="s">
        <v>9491</v>
      </c>
      <c r="AS281" s="15" t="s">
        <v>9492</v>
      </c>
      <c r="AT281" s="15" t="s">
        <v>2796</v>
      </c>
      <c r="AU281" s="15" t="s">
        <v>9493</v>
      </c>
      <c r="AV281" s="15" t="s">
        <v>9494</v>
      </c>
      <c r="AW281" s="15" t="s">
        <v>9495</v>
      </c>
      <c r="AX281" s="15" t="s">
        <v>2796</v>
      </c>
      <c r="AY281" s="15" t="s">
        <v>9496</v>
      </c>
      <c r="AZ281" s="15" t="s">
        <v>5260</v>
      </c>
      <c r="BA281" s="15" t="s">
        <v>6926</v>
      </c>
      <c r="BB281" s="15" t="s">
        <v>2807</v>
      </c>
      <c r="BC281" s="15" t="s">
        <v>2926</v>
      </c>
      <c r="BD281" s="15" t="s">
        <v>2842</v>
      </c>
      <c r="BE281" s="15" t="s">
        <v>9497</v>
      </c>
      <c r="BF281" s="15" t="s">
        <v>9498</v>
      </c>
      <c r="BG281" s="18"/>
      <c r="BH281" s="15" t="s">
        <v>9499</v>
      </c>
      <c r="BI281" s="15" t="s">
        <v>9500</v>
      </c>
      <c r="BJ281" s="19" t="s">
        <v>9501</v>
      </c>
      <c r="BK281" s="19" t="s">
        <v>9502</v>
      </c>
      <c r="BL281" s="19" t="s">
        <v>9503</v>
      </c>
      <c r="BM281" s="19" t="s">
        <v>9504</v>
      </c>
      <c r="BN281" s="19" t="s">
        <v>9505</v>
      </c>
      <c r="BO281" s="19" t="s">
        <v>9506</v>
      </c>
      <c r="BP281" s="19" t="s">
        <v>9507</v>
      </c>
      <c r="BQ281" s="15" t="s">
        <v>1193</v>
      </c>
      <c r="BR281" s="26"/>
      <c r="BS281" s="26"/>
      <c r="BT281" s="26"/>
      <c r="BU281" s="19" t="s">
        <v>9508</v>
      </c>
      <c r="BV281" s="19" t="s">
        <v>9509</v>
      </c>
      <c r="BW281" s="15" t="s">
        <v>9510</v>
      </c>
      <c r="BX281" s="26"/>
      <c r="BY281" s="18" t="str">
        <f t="shared" si="104"/>
        <v>E&amp;TC</v>
      </c>
      <c r="BZ281" s="24" t="str">
        <f t="shared" si="100"/>
        <v>https://drive.google.com/open?id=1InOJ2oKwuW7i-A2KeS6KziDPpCm2BI29</v>
      </c>
      <c r="CA281" s="24" t="str">
        <f t="shared" si="101"/>
        <v>https://drive.google.com/open?id=1J0dPUnxSuxcIfQoQE2pgwQBc2-amkXSe</v>
      </c>
      <c r="CB281" s="15" t="s">
        <v>2821</v>
      </c>
      <c r="CC281" s="15" t="s">
        <v>2821</v>
      </c>
      <c r="CD281" s="25" t="s">
        <v>2797</v>
      </c>
      <c r="CE281" s="18"/>
      <c r="CF281" s="18"/>
      <c r="CG281" s="18"/>
    </row>
    <row r="282" ht="18.75" hidden="1" customHeight="1">
      <c r="A282" s="14">
        <v>44736.011789490745</v>
      </c>
      <c r="B282" s="15" t="s">
        <v>1992</v>
      </c>
      <c r="C282" s="16" t="s">
        <v>9511</v>
      </c>
      <c r="D282" s="15" t="str">
        <f>IFERROR(__xludf.DUMMYFUNCTION("QUERY(TY_ALL_2023_Batch!$A$1:$E$824, ""SELECT E WHERE C='""&amp;B282&amp;""'"", 0)"),"E&amp;TC")</f>
        <v>E&amp;TC</v>
      </c>
      <c r="E282" s="15" t="s">
        <v>9512</v>
      </c>
      <c r="F282" s="15" t="s">
        <v>9513</v>
      </c>
      <c r="G282" s="15" t="s">
        <v>9514</v>
      </c>
      <c r="H282" s="15" t="s">
        <v>2826</v>
      </c>
      <c r="I282" s="17">
        <v>37331.0</v>
      </c>
      <c r="J282" s="15">
        <v>2019.0</v>
      </c>
      <c r="K282" s="15" t="s">
        <v>2786</v>
      </c>
      <c r="L282" s="15" t="s">
        <v>2787</v>
      </c>
      <c r="M282" s="18"/>
      <c r="N282" s="15" t="s">
        <v>9515</v>
      </c>
      <c r="O282" s="15" t="s">
        <v>1992</v>
      </c>
      <c r="P282" s="19" t="s">
        <v>9516</v>
      </c>
      <c r="Q282" s="15">
        <v>9.834960639E9</v>
      </c>
      <c r="R282" s="15">
        <v>9.834960639E9</v>
      </c>
      <c r="S282" s="18"/>
      <c r="T282" s="15" t="s">
        <v>9517</v>
      </c>
      <c r="U282" s="15" t="s">
        <v>9518</v>
      </c>
      <c r="V282" s="15" t="s">
        <v>9519</v>
      </c>
      <c r="W282" s="18"/>
      <c r="X282" s="15">
        <v>78.0</v>
      </c>
      <c r="Y282" s="15" t="s">
        <v>2795</v>
      </c>
      <c r="Z282" s="15">
        <v>8.24</v>
      </c>
      <c r="AA282" s="15">
        <v>8.6</v>
      </c>
      <c r="AB282" s="15" t="s">
        <v>2796</v>
      </c>
      <c r="AC282" s="15" t="s">
        <v>2796</v>
      </c>
      <c r="AD282" s="15" t="s">
        <v>2796</v>
      </c>
      <c r="AE282" s="15" t="s">
        <v>2796</v>
      </c>
      <c r="AF282" s="15">
        <v>7.05</v>
      </c>
      <c r="AG282" s="15">
        <v>8.1</v>
      </c>
      <c r="AH282" s="15">
        <v>56.48</v>
      </c>
      <c r="AI282" s="18"/>
      <c r="AJ282" s="15" t="s">
        <v>2787</v>
      </c>
      <c r="AK282" s="15" t="s">
        <v>2787</v>
      </c>
      <c r="AL282" s="18"/>
      <c r="AM282" s="18"/>
      <c r="AN282" s="15" t="s">
        <v>2787</v>
      </c>
      <c r="AO282" s="15" t="s">
        <v>9520</v>
      </c>
      <c r="AP282" s="15" t="s">
        <v>9521</v>
      </c>
      <c r="AQ282" s="15" t="s">
        <v>9522</v>
      </c>
      <c r="AR282" s="15" t="s">
        <v>9523</v>
      </c>
      <c r="AS282" s="18"/>
      <c r="AT282" s="18"/>
      <c r="AU282" s="18"/>
      <c r="AV282" s="15" t="s">
        <v>9524</v>
      </c>
      <c r="AW282" s="15" t="s">
        <v>9525</v>
      </c>
      <c r="AX282" s="18"/>
      <c r="AY282" s="15" t="s">
        <v>9526</v>
      </c>
      <c r="AZ282" s="15" t="s">
        <v>4044</v>
      </c>
      <c r="BA282" s="15" t="s">
        <v>2839</v>
      </c>
      <c r="BB282" s="15" t="s">
        <v>2807</v>
      </c>
      <c r="BC282" s="15" t="s">
        <v>4746</v>
      </c>
      <c r="BD282" s="15" t="s">
        <v>2807</v>
      </c>
      <c r="BE282" s="15" t="s">
        <v>2796</v>
      </c>
      <c r="BF282" s="18"/>
      <c r="BG282" s="15" t="s">
        <v>3751</v>
      </c>
      <c r="BH282" s="18"/>
      <c r="BI282" s="15" t="s">
        <v>9527</v>
      </c>
      <c r="BJ282" s="19" t="s">
        <v>9528</v>
      </c>
      <c r="BK282" s="19" t="s">
        <v>9529</v>
      </c>
      <c r="BL282" s="18"/>
      <c r="BM282" s="18"/>
      <c r="BN282" s="18"/>
      <c r="BO282" s="19" t="s">
        <v>9530</v>
      </c>
      <c r="BP282" s="19" t="s">
        <v>9531</v>
      </c>
      <c r="BQ282" s="15" t="s">
        <v>1193</v>
      </c>
      <c r="BR282" s="26"/>
      <c r="BS282" s="26"/>
      <c r="BT282" s="26"/>
      <c r="BU282" s="26"/>
      <c r="BV282" s="26"/>
      <c r="BW282" s="26"/>
      <c r="BX282" s="26"/>
      <c r="BY282" s="18" t="str">
        <f t="shared" si="104"/>
        <v>E&amp;TC</v>
      </c>
      <c r="BZ282" s="18" t="str">
        <f t="shared" si="100"/>
        <v/>
      </c>
      <c r="CA282" s="18" t="str">
        <f t="shared" si="101"/>
        <v/>
      </c>
      <c r="CB282" s="15" t="s">
        <v>2908</v>
      </c>
      <c r="CC282" s="15" t="s">
        <v>2908</v>
      </c>
      <c r="CD282" s="25" t="s">
        <v>2797</v>
      </c>
      <c r="CE282" s="18"/>
      <c r="CF282" s="18"/>
      <c r="CG282" s="18"/>
    </row>
    <row r="283" ht="18.75" hidden="1" customHeight="1">
      <c r="A283" s="14">
        <v>44736.81279519676</v>
      </c>
      <c r="B283" s="15" t="s">
        <v>1800</v>
      </c>
      <c r="C283" s="16" t="s">
        <v>9532</v>
      </c>
      <c r="D283" s="15" t="str">
        <f>IFERROR(__xludf.DUMMYFUNCTION("QUERY(TY_ALL_2023_Batch!$A$1:$E$824, ""SELECT E WHERE C='""&amp;B283&amp;""'"", 0)"),"E&amp;TC")</f>
        <v>E&amp;TC</v>
      </c>
      <c r="E283" s="15" t="s">
        <v>9533</v>
      </c>
      <c r="F283" s="15" t="s">
        <v>5352</v>
      </c>
      <c r="G283" s="15" t="s">
        <v>9534</v>
      </c>
      <c r="H283" s="15" t="s">
        <v>2785</v>
      </c>
      <c r="I283" s="17">
        <v>37262.0</v>
      </c>
      <c r="J283" s="15">
        <v>2019.0</v>
      </c>
      <c r="K283" s="15" t="s">
        <v>2786</v>
      </c>
      <c r="L283" s="15" t="s">
        <v>2787</v>
      </c>
      <c r="M283" s="18"/>
      <c r="N283" s="15" t="s">
        <v>9535</v>
      </c>
      <c r="O283" s="15" t="s">
        <v>1800</v>
      </c>
      <c r="P283" s="19" t="s">
        <v>9536</v>
      </c>
      <c r="Q283" s="15">
        <v>9.890921333E9</v>
      </c>
      <c r="R283" s="15">
        <v>9.890921333E9</v>
      </c>
      <c r="S283" s="15">
        <v>8.600803673E9</v>
      </c>
      <c r="T283" s="15" t="s">
        <v>9537</v>
      </c>
      <c r="U283" s="15" t="s">
        <v>9538</v>
      </c>
      <c r="V283" s="15" t="s">
        <v>9539</v>
      </c>
      <c r="W283" s="18"/>
      <c r="X283" s="15">
        <v>93.0</v>
      </c>
      <c r="Y283" s="15" t="s">
        <v>2795</v>
      </c>
      <c r="Z283" s="15">
        <v>8.1</v>
      </c>
      <c r="AA283" s="15">
        <v>8.14</v>
      </c>
      <c r="AB283" s="15" t="s">
        <v>2796</v>
      </c>
      <c r="AC283" s="15" t="s">
        <v>2796</v>
      </c>
      <c r="AD283" s="15" t="s">
        <v>2796</v>
      </c>
      <c r="AE283" s="15" t="s">
        <v>2796</v>
      </c>
      <c r="AF283" s="15">
        <v>8.14</v>
      </c>
      <c r="AG283" s="15">
        <v>7.95</v>
      </c>
      <c r="AH283" s="15">
        <v>68.46</v>
      </c>
      <c r="AI283" s="18"/>
      <c r="AJ283" s="15" t="s">
        <v>2787</v>
      </c>
      <c r="AK283" s="15" t="s">
        <v>2787</v>
      </c>
      <c r="AL283" s="15">
        <v>61.0</v>
      </c>
      <c r="AM283" s="15">
        <v>54.66</v>
      </c>
      <c r="AN283" s="15" t="s">
        <v>2787</v>
      </c>
      <c r="AO283" s="18"/>
      <c r="AP283" s="15" t="s">
        <v>9540</v>
      </c>
      <c r="AQ283" s="15" t="s">
        <v>9541</v>
      </c>
      <c r="AR283" s="15" t="s">
        <v>9542</v>
      </c>
      <c r="AS283" s="15" t="s">
        <v>9543</v>
      </c>
      <c r="AT283" s="18"/>
      <c r="AU283" s="15" t="s">
        <v>9544</v>
      </c>
      <c r="AV283" s="15" t="s">
        <v>9545</v>
      </c>
      <c r="AW283" s="15" t="s">
        <v>9546</v>
      </c>
      <c r="AX283" s="18"/>
      <c r="AY283" s="15" t="s">
        <v>9546</v>
      </c>
      <c r="AZ283" s="15" t="s">
        <v>4670</v>
      </c>
      <c r="BA283" s="15" t="s">
        <v>9547</v>
      </c>
      <c r="BB283" s="15" t="s">
        <v>9548</v>
      </c>
      <c r="BC283" s="15" t="s">
        <v>6980</v>
      </c>
      <c r="BD283" s="15" t="s">
        <v>2807</v>
      </c>
      <c r="BE283" s="15" t="s">
        <v>9549</v>
      </c>
      <c r="BF283" s="18"/>
      <c r="BG283" s="18"/>
      <c r="BH283" s="18"/>
      <c r="BI283" s="18"/>
      <c r="BJ283" s="19" t="s">
        <v>9550</v>
      </c>
      <c r="BK283" s="19" t="s">
        <v>9551</v>
      </c>
      <c r="BL283" s="19" t="s">
        <v>9552</v>
      </c>
      <c r="BM283" s="20" t="s">
        <v>9553</v>
      </c>
      <c r="BN283" s="20" t="s">
        <v>9554</v>
      </c>
      <c r="BO283" s="19" t="s">
        <v>9555</v>
      </c>
      <c r="BP283" s="19" t="s">
        <v>9556</v>
      </c>
      <c r="BQ283" s="15" t="s">
        <v>1193</v>
      </c>
      <c r="BR283" s="26"/>
      <c r="BS283" s="26"/>
      <c r="BT283" s="26"/>
      <c r="BU283" s="26"/>
      <c r="BV283" s="26"/>
      <c r="BW283" s="15" t="s">
        <v>9557</v>
      </c>
      <c r="BX283" s="26"/>
      <c r="BY283" s="18" t="str">
        <f t="shared" si="104"/>
        <v>E&amp;TC</v>
      </c>
      <c r="BZ283" s="24" t="str">
        <f t="shared" si="100"/>
        <v>https://drive.google.com/open?id=1G0S64yRwx26r-UopZrbH8nr41XGk06aP</v>
      </c>
      <c r="CA283" s="24" t="str">
        <f t="shared" si="101"/>
        <v>https://drive.google.com/open?id=1Lz5WBSL24lvC1tlLVvMGBVAfINPQ5rfO</v>
      </c>
      <c r="CB283" s="15" t="s">
        <v>2821</v>
      </c>
      <c r="CC283" s="15" t="s">
        <v>2821</v>
      </c>
      <c r="CD283" s="25" t="s">
        <v>2797</v>
      </c>
      <c r="CE283" s="18"/>
      <c r="CF283" s="18"/>
      <c r="CG283" s="18"/>
    </row>
    <row r="284" ht="18.75" hidden="1" customHeight="1">
      <c r="A284" s="14">
        <v>44746.460594432865</v>
      </c>
      <c r="B284" s="15" t="s">
        <v>1746</v>
      </c>
      <c r="C284" s="16" t="s">
        <v>9558</v>
      </c>
      <c r="D284" s="15" t="str">
        <f>IFERROR(__xludf.DUMMYFUNCTION("QUERY(TY_ALL_2023_Batch!$A$1:$E$824, ""SELECT E WHERE C='""&amp;B284&amp;""'"", 0)"),"E&amp;TC")</f>
        <v>E&amp;TC</v>
      </c>
      <c r="E284" s="15" t="s">
        <v>5205</v>
      </c>
      <c r="F284" s="15" t="s">
        <v>7409</v>
      </c>
      <c r="G284" s="15" t="s">
        <v>9559</v>
      </c>
      <c r="H284" s="15" t="s">
        <v>2826</v>
      </c>
      <c r="I284" s="17">
        <v>37039.0</v>
      </c>
      <c r="J284" s="15">
        <v>2019.0</v>
      </c>
      <c r="K284" s="15" t="s">
        <v>2786</v>
      </c>
      <c r="L284" s="15" t="s">
        <v>2787</v>
      </c>
      <c r="M284" s="18"/>
      <c r="N284" s="15" t="s">
        <v>9560</v>
      </c>
      <c r="O284" s="15" t="s">
        <v>1746</v>
      </c>
      <c r="P284" s="19" t="s">
        <v>9561</v>
      </c>
      <c r="Q284" s="15">
        <v>7.620275799E9</v>
      </c>
      <c r="R284" s="15">
        <v>7.620275799E9</v>
      </c>
      <c r="S284" s="15">
        <v>9.823862955E9</v>
      </c>
      <c r="T284" s="15" t="s">
        <v>9562</v>
      </c>
      <c r="U284" s="15" t="s">
        <v>9563</v>
      </c>
      <c r="V284" s="15" t="s">
        <v>9564</v>
      </c>
      <c r="W284" s="15" t="s">
        <v>9565</v>
      </c>
      <c r="X284" s="15">
        <v>92.0</v>
      </c>
      <c r="Y284" s="15" t="s">
        <v>2795</v>
      </c>
      <c r="Z284" s="15">
        <v>8.76</v>
      </c>
      <c r="AA284" s="15">
        <v>8.9</v>
      </c>
      <c r="AB284" s="15" t="s">
        <v>2796</v>
      </c>
      <c r="AC284" s="15" t="s">
        <v>2796</v>
      </c>
      <c r="AD284" s="15" t="s">
        <v>2796</v>
      </c>
      <c r="AE284" s="15" t="s">
        <v>2796</v>
      </c>
      <c r="AF284" s="15">
        <v>8.32</v>
      </c>
      <c r="AG284" s="15">
        <v>8.95</v>
      </c>
      <c r="AH284" s="15">
        <v>76.0</v>
      </c>
      <c r="AI284" s="18"/>
      <c r="AJ284" s="15" t="s">
        <v>2787</v>
      </c>
      <c r="AK284" s="15" t="s">
        <v>2787</v>
      </c>
      <c r="AL284" s="15" t="s">
        <v>9566</v>
      </c>
      <c r="AM284" s="15">
        <v>570.0</v>
      </c>
      <c r="AN284" s="15" t="s">
        <v>2797</v>
      </c>
      <c r="AO284" s="18"/>
      <c r="AP284" s="18"/>
      <c r="AQ284" s="15" t="s">
        <v>5356</v>
      </c>
      <c r="AR284" s="15" t="s">
        <v>9567</v>
      </c>
      <c r="AS284" s="15" t="s">
        <v>9568</v>
      </c>
      <c r="AT284" s="18"/>
      <c r="AU284" s="18"/>
      <c r="AV284" s="15" t="s">
        <v>9569</v>
      </c>
      <c r="AW284" s="15" t="s">
        <v>9570</v>
      </c>
      <c r="AX284" s="18"/>
      <c r="AY284" s="15" t="s">
        <v>9571</v>
      </c>
      <c r="AZ284" s="15" t="s">
        <v>5287</v>
      </c>
      <c r="BA284" s="15" t="s">
        <v>2839</v>
      </c>
      <c r="BB284" s="15" t="s">
        <v>2807</v>
      </c>
      <c r="BC284" s="15" t="s">
        <v>9572</v>
      </c>
      <c r="BD284" s="15" t="s">
        <v>2807</v>
      </c>
      <c r="BE284" s="15" t="s">
        <v>9573</v>
      </c>
      <c r="BF284" s="18"/>
      <c r="BG284" s="18"/>
      <c r="BH284" s="15" t="s">
        <v>9574</v>
      </c>
      <c r="BI284" s="15" t="s">
        <v>9575</v>
      </c>
      <c r="BJ284" s="19" t="s">
        <v>9576</v>
      </c>
      <c r="BK284" s="19" t="s">
        <v>9577</v>
      </c>
      <c r="BL284" s="19" t="s">
        <v>9578</v>
      </c>
      <c r="BM284" s="18"/>
      <c r="BN284" s="19" t="s">
        <v>9579</v>
      </c>
      <c r="BO284" s="19" t="s">
        <v>9580</v>
      </c>
      <c r="BP284" s="19" t="s">
        <v>9581</v>
      </c>
      <c r="BQ284" s="15" t="s">
        <v>1193</v>
      </c>
      <c r="BR284" s="26"/>
      <c r="BS284" s="19" t="s">
        <v>9582</v>
      </c>
      <c r="BT284" s="19" t="s">
        <v>9583</v>
      </c>
      <c r="BU284" s="19" t="s">
        <v>9584</v>
      </c>
      <c r="BV284" s="19" t="s">
        <v>9585</v>
      </c>
      <c r="BW284" s="15" t="s">
        <v>9586</v>
      </c>
      <c r="BX284" s="26"/>
      <c r="BY284" s="18" t="str">
        <f t="shared" si="104"/>
        <v>E&amp;TC</v>
      </c>
      <c r="BZ284" s="24" t="str">
        <f t="shared" si="100"/>
        <v>https://drive.google.com/open?id=1Xmd1BjxUCOEsXf2jUynBYjLxXxH6U9IX</v>
      </c>
      <c r="CA284" s="24" t="str">
        <f t="shared" si="101"/>
        <v>https://drive.google.com/open?id=1HHBJIQbfRPGV0L1dGg7dTsDlhgSGKEfh</v>
      </c>
      <c r="CB284" s="15" t="s">
        <v>2821</v>
      </c>
      <c r="CC284" s="15" t="s">
        <v>2908</v>
      </c>
      <c r="CD284" s="25" t="s">
        <v>2909</v>
      </c>
      <c r="CE284" s="18"/>
      <c r="CF284" s="18"/>
      <c r="CG284" s="18"/>
    </row>
    <row r="285" ht="18.75" hidden="1" customHeight="1">
      <c r="A285" s="14">
        <v>44742.95342121528</v>
      </c>
      <c r="B285" s="15" t="s">
        <v>1908</v>
      </c>
      <c r="C285" s="16" t="s">
        <v>9587</v>
      </c>
      <c r="D285" s="15" t="str">
        <f>IFERROR(__xludf.DUMMYFUNCTION("QUERY(TY_ALL_2023_Batch!$A$1:$E$824, ""SELECT E WHERE C='""&amp;B285&amp;""'"", 0)"),"E&amp;TC")</f>
        <v>E&amp;TC</v>
      </c>
      <c r="E285" s="15" t="s">
        <v>4905</v>
      </c>
      <c r="F285" s="15" t="s">
        <v>4134</v>
      </c>
      <c r="G285" s="15" t="s">
        <v>9588</v>
      </c>
      <c r="H285" s="15" t="s">
        <v>2826</v>
      </c>
      <c r="I285" s="17">
        <v>36990.0</v>
      </c>
      <c r="J285" s="15">
        <v>2019.0</v>
      </c>
      <c r="K285" s="15" t="s">
        <v>2786</v>
      </c>
      <c r="L285" s="15" t="s">
        <v>2787</v>
      </c>
      <c r="M285" s="18"/>
      <c r="N285" s="15" t="s">
        <v>9589</v>
      </c>
      <c r="O285" s="15" t="s">
        <v>1908</v>
      </c>
      <c r="P285" s="19" t="s">
        <v>9590</v>
      </c>
      <c r="Q285" s="15">
        <v>9.284045394E9</v>
      </c>
      <c r="R285" s="15">
        <v>9.284045394E9</v>
      </c>
      <c r="S285" s="15">
        <v>9.767035122E9</v>
      </c>
      <c r="T285" s="15" t="s">
        <v>4134</v>
      </c>
      <c r="U285" s="15" t="s">
        <v>8538</v>
      </c>
      <c r="V285" s="15" t="s">
        <v>9591</v>
      </c>
      <c r="W285" s="15" t="s">
        <v>9592</v>
      </c>
      <c r="X285" s="15">
        <v>86.6</v>
      </c>
      <c r="Y285" s="15" t="s">
        <v>2795</v>
      </c>
      <c r="Z285" s="15">
        <v>8.57</v>
      </c>
      <c r="AA285" s="15">
        <v>8.45</v>
      </c>
      <c r="AB285" s="15" t="s">
        <v>2796</v>
      </c>
      <c r="AC285" s="15" t="s">
        <v>2796</v>
      </c>
      <c r="AD285" s="15" t="s">
        <v>2796</v>
      </c>
      <c r="AE285" s="15" t="s">
        <v>2796</v>
      </c>
      <c r="AF285" s="15">
        <v>7.58</v>
      </c>
      <c r="AG285" s="15">
        <v>8.62</v>
      </c>
      <c r="AH285" s="15">
        <v>72.0</v>
      </c>
      <c r="AI285" s="18"/>
      <c r="AJ285" s="15" t="s">
        <v>2787</v>
      </c>
      <c r="AK285" s="15" t="s">
        <v>2787</v>
      </c>
      <c r="AL285" s="15">
        <v>630.0</v>
      </c>
      <c r="AM285" s="15">
        <v>533.0</v>
      </c>
      <c r="AN285" s="15" t="s">
        <v>2797</v>
      </c>
      <c r="AO285" s="18"/>
      <c r="AP285" s="18"/>
      <c r="AQ285" s="15" t="s">
        <v>9593</v>
      </c>
      <c r="AR285" s="15" t="s">
        <v>9594</v>
      </c>
      <c r="AS285" s="15"/>
      <c r="AT285" s="18"/>
      <c r="AU285" s="18"/>
      <c r="AV285" s="18"/>
      <c r="AW285" s="15" t="s">
        <v>9595</v>
      </c>
      <c r="AX285" s="18"/>
      <c r="AY285" s="15" t="s">
        <v>9596</v>
      </c>
      <c r="AZ285" s="15" t="s">
        <v>4670</v>
      </c>
      <c r="BA285" s="15" t="s">
        <v>2839</v>
      </c>
      <c r="BB285" s="15" t="s">
        <v>2807</v>
      </c>
      <c r="BC285" s="15" t="s">
        <v>5394</v>
      </c>
      <c r="BD285" s="15" t="s">
        <v>2807</v>
      </c>
      <c r="BE285" s="15" t="s">
        <v>9597</v>
      </c>
      <c r="BF285" s="15" t="s">
        <v>9598</v>
      </c>
      <c r="BG285" s="18"/>
      <c r="BH285" s="18"/>
      <c r="BI285" s="15" t="s">
        <v>9599</v>
      </c>
      <c r="BJ285" s="19" t="s">
        <v>9600</v>
      </c>
      <c r="BK285" s="19" t="s">
        <v>9601</v>
      </c>
      <c r="BL285" s="19" t="s">
        <v>9602</v>
      </c>
      <c r="BM285" s="19" t="s">
        <v>9603</v>
      </c>
      <c r="BN285" s="19" t="s">
        <v>9604</v>
      </c>
      <c r="BO285" s="19" t="s">
        <v>9605</v>
      </c>
      <c r="BP285" s="18"/>
      <c r="BQ285" s="15" t="s">
        <v>1193</v>
      </c>
      <c r="BR285" s="26"/>
      <c r="BS285" s="26"/>
      <c r="BT285" s="19" t="s">
        <v>9606</v>
      </c>
      <c r="BU285" s="26"/>
      <c r="BV285" s="26"/>
      <c r="BW285" s="15" t="s">
        <v>9607</v>
      </c>
      <c r="BX285" s="26"/>
      <c r="BY285" s="18" t="str">
        <f t="shared" si="104"/>
        <v>E&amp;TC</v>
      </c>
      <c r="BZ285" s="24" t="str">
        <f t="shared" si="100"/>
        <v>https://drive.google.com/open?id=19OuqkP-4b-5aVwr9L9hijBUL-j2WD_f7</v>
      </c>
      <c r="CA285" s="24" t="str">
        <f t="shared" si="101"/>
        <v>https://drive.google.com/open?id=1h-nM6Dz4UZr7kQuJqdcvPHmzPv8gO4xb</v>
      </c>
      <c r="CB285" s="15" t="s">
        <v>2821</v>
      </c>
      <c r="CC285" s="15" t="s">
        <v>2821</v>
      </c>
      <c r="CD285" s="25" t="s">
        <v>2909</v>
      </c>
      <c r="CE285" s="18"/>
      <c r="CF285" s="18"/>
      <c r="CG285" s="18"/>
    </row>
    <row r="286" ht="18.75" hidden="1" customHeight="1">
      <c r="A286" s="14">
        <v>44734.49032890046</v>
      </c>
      <c r="B286" s="15" t="s">
        <v>1677</v>
      </c>
      <c r="C286" s="16" t="s">
        <v>9608</v>
      </c>
      <c r="D286" s="15" t="str">
        <f>IFERROR(__xludf.DUMMYFUNCTION("QUERY(TY_ALL_2023_Batch!$A$1:$E$824, ""SELECT E WHERE C='""&amp;B286&amp;""'"", 0)"),"E&amp;TC")</f>
        <v>E&amp;TC</v>
      </c>
      <c r="E286" s="15" t="s">
        <v>3404</v>
      </c>
      <c r="F286" s="15" t="s">
        <v>9609</v>
      </c>
      <c r="G286" s="15" t="s">
        <v>9610</v>
      </c>
      <c r="H286" s="15" t="s">
        <v>2785</v>
      </c>
      <c r="I286" s="17">
        <v>37070.0</v>
      </c>
      <c r="J286" s="15">
        <v>2019.0</v>
      </c>
      <c r="K286" s="15" t="s">
        <v>2786</v>
      </c>
      <c r="L286" s="15" t="s">
        <v>2787</v>
      </c>
      <c r="M286" s="18"/>
      <c r="N286" s="15" t="s">
        <v>9611</v>
      </c>
      <c r="O286" s="15" t="s">
        <v>1677</v>
      </c>
      <c r="P286" s="19" t="s">
        <v>9612</v>
      </c>
      <c r="Q286" s="15">
        <v>7.620356067E9</v>
      </c>
      <c r="R286" s="15">
        <v>7.620356067E9</v>
      </c>
      <c r="S286" s="15">
        <v>7.020984254E9</v>
      </c>
      <c r="T286" s="15" t="s">
        <v>9613</v>
      </c>
      <c r="U286" s="15" t="s">
        <v>9614</v>
      </c>
      <c r="V286" s="15" t="s">
        <v>9615</v>
      </c>
      <c r="W286" s="15" t="s">
        <v>9615</v>
      </c>
      <c r="X286" s="15">
        <v>90.2</v>
      </c>
      <c r="Y286" s="15" t="s">
        <v>2795</v>
      </c>
      <c r="Z286" s="15">
        <v>8.81</v>
      </c>
      <c r="AA286" s="15">
        <v>9.25</v>
      </c>
      <c r="AB286" s="15" t="s">
        <v>2796</v>
      </c>
      <c r="AC286" s="15" t="s">
        <v>2796</v>
      </c>
      <c r="AD286" s="15" t="s">
        <v>2796</v>
      </c>
      <c r="AE286" s="15" t="s">
        <v>2796</v>
      </c>
      <c r="AF286" s="15">
        <v>8.37</v>
      </c>
      <c r="AG286" s="15">
        <v>8.38</v>
      </c>
      <c r="AH286" s="15">
        <v>69.69</v>
      </c>
      <c r="AI286" s="18"/>
      <c r="AJ286" s="15" t="s">
        <v>2787</v>
      </c>
      <c r="AK286" s="15" t="s">
        <v>2787</v>
      </c>
      <c r="AL286" s="15">
        <v>597.0</v>
      </c>
      <c r="AM286" s="15">
        <v>560.0</v>
      </c>
      <c r="AN286" s="15" t="s">
        <v>2787</v>
      </c>
      <c r="AO286" s="15" t="s">
        <v>2796</v>
      </c>
      <c r="AP286" s="15" t="s">
        <v>9616</v>
      </c>
      <c r="AQ286" s="15" t="s">
        <v>9617</v>
      </c>
      <c r="AR286" s="15" t="s">
        <v>2796</v>
      </c>
      <c r="AS286" s="15" t="s">
        <v>9438</v>
      </c>
      <c r="AT286" s="15" t="s">
        <v>2796</v>
      </c>
      <c r="AU286" s="15" t="s">
        <v>2796</v>
      </c>
      <c r="AV286" s="15" t="s">
        <v>9618</v>
      </c>
      <c r="AW286" s="15" t="s">
        <v>9619</v>
      </c>
      <c r="AX286" s="15" t="s">
        <v>2796</v>
      </c>
      <c r="AY286" s="15" t="s">
        <v>8961</v>
      </c>
      <c r="AZ286" s="15" t="s">
        <v>4670</v>
      </c>
      <c r="BA286" s="15" t="s">
        <v>4085</v>
      </c>
      <c r="BB286" s="15" t="s">
        <v>5753</v>
      </c>
      <c r="BC286" s="15" t="s">
        <v>9620</v>
      </c>
      <c r="BD286" s="15" t="s">
        <v>2842</v>
      </c>
      <c r="BE286" s="15" t="s">
        <v>9621</v>
      </c>
      <c r="BF286" s="18"/>
      <c r="BG286" s="18"/>
      <c r="BH286" s="15" t="s">
        <v>9622</v>
      </c>
      <c r="BI286" s="15" t="s">
        <v>9623</v>
      </c>
      <c r="BJ286" s="19" t="s">
        <v>9624</v>
      </c>
      <c r="BK286" s="19" t="s">
        <v>9625</v>
      </c>
      <c r="BL286" s="19" t="s">
        <v>9626</v>
      </c>
      <c r="BM286" s="19" t="s">
        <v>9627</v>
      </c>
      <c r="BN286" s="19" t="s">
        <v>9628</v>
      </c>
      <c r="BO286" s="19" t="s">
        <v>9629</v>
      </c>
      <c r="BP286" s="19" t="s">
        <v>9630</v>
      </c>
      <c r="BQ286" s="15" t="s">
        <v>1193</v>
      </c>
      <c r="BR286" s="26"/>
      <c r="BS286" s="26"/>
      <c r="BT286" s="26"/>
      <c r="BU286" s="26"/>
      <c r="BV286" s="26"/>
      <c r="BW286" s="26"/>
      <c r="BX286" s="26"/>
      <c r="BY286" s="18" t="str">
        <f t="shared" si="104"/>
        <v>E&amp;TC</v>
      </c>
      <c r="BZ286" s="24" t="str">
        <f t="shared" si="100"/>
        <v>https://drive.google.com/open?id=1Tm49AeMW7u8uJKC1ZCmeX3ECIFNPIQzR</v>
      </c>
      <c r="CA286" s="24" t="str">
        <f t="shared" si="101"/>
        <v>https://drive.google.com/open?id=1pRF8-F3FebfQoPxaPjs0Uk3adWAuNfzF</v>
      </c>
      <c r="CB286" s="15" t="s">
        <v>2821</v>
      </c>
      <c r="CC286" s="15" t="s">
        <v>2821</v>
      </c>
      <c r="CD286" s="25" t="s">
        <v>2797</v>
      </c>
      <c r="CE286" s="18"/>
      <c r="CF286" s="18"/>
      <c r="CG286" s="18"/>
    </row>
    <row r="287" ht="18.75" hidden="1" customHeight="1">
      <c r="A287" s="14">
        <v>44736.48370902777</v>
      </c>
      <c r="B287" s="15" t="s">
        <v>1803</v>
      </c>
      <c r="C287" s="16" t="s">
        <v>9631</v>
      </c>
      <c r="D287" s="15" t="str">
        <f>IFERROR(__xludf.DUMMYFUNCTION("QUERY(TY_ALL_2023_Batch!$A$1:$E$824, ""SELECT E WHERE C='""&amp;B287&amp;""'"", 0)"),"E&amp;TC")</f>
        <v>E&amp;TC</v>
      </c>
      <c r="E287" s="15" t="s">
        <v>9632</v>
      </c>
      <c r="F287" s="15" t="s">
        <v>9633</v>
      </c>
      <c r="G287" s="15" t="s">
        <v>9634</v>
      </c>
      <c r="H287" s="15" t="s">
        <v>2785</v>
      </c>
      <c r="I287" s="17">
        <v>37040.0</v>
      </c>
      <c r="J287" s="15">
        <v>2019.0</v>
      </c>
      <c r="K287" s="15" t="s">
        <v>2786</v>
      </c>
      <c r="L287" s="15" t="s">
        <v>2787</v>
      </c>
      <c r="M287" s="18"/>
      <c r="N287" s="15" t="s">
        <v>9635</v>
      </c>
      <c r="O287" s="15" t="s">
        <v>9636</v>
      </c>
      <c r="P287" s="19" t="s">
        <v>9637</v>
      </c>
      <c r="Q287" s="15">
        <v>9.325821092E9</v>
      </c>
      <c r="R287" s="15">
        <v>9.325821092E9</v>
      </c>
      <c r="S287" s="15">
        <v>9.17263561E9</v>
      </c>
      <c r="T287" s="15" t="s">
        <v>9633</v>
      </c>
      <c r="U287" s="15" t="s">
        <v>4073</v>
      </c>
      <c r="V287" s="15" t="s">
        <v>9638</v>
      </c>
      <c r="W287" s="18"/>
      <c r="X287" s="15">
        <v>74.2</v>
      </c>
      <c r="Y287" s="15" t="s">
        <v>2795</v>
      </c>
      <c r="Z287" s="15">
        <v>5.7</v>
      </c>
      <c r="AA287" s="15">
        <v>7.2</v>
      </c>
      <c r="AB287" s="15" t="s">
        <v>2796</v>
      </c>
      <c r="AC287" s="15" t="s">
        <v>2796</v>
      </c>
      <c r="AD287" s="15" t="s">
        <v>2796</v>
      </c>
      <c r="AE287" s="15" t="s">
        <v>2796</v>
      </c>
      <c r="AF287" s="15">
        <v>8.63</v>
      </c>
      <c r="AG287" s="15">
        <v>8.39</v>
      </c>
      <c r="AH287" s="15">
        <v>53.5</v>
      </c>
      <c r="AI287" s="18"/>
      <c r="AJ287" s="15" t="s">
        <v>2787</v>
      </c>
      <c r="AK287" s="15" t="s">
        <v>2787</v>
      </c>
      <c r="AL287" s="18"/>
      <c r="AM287" s="15" t="s">
        <v>9639</v>
      </c>
      <c r="AN287" s="15" t="s">
        <v>2787</v>
      </c>
      <c r="AO287" s="15" t="s">
        <v>9640</v>
      </c>
      <c r="AP287" s="18"/>
      <c r="AQ287" s="15" t="s">
        <v>9641</v>
      </c>
      <c r="AR287" s="15" t="s">
        <v>9642</v>
      </c>
      <c r="AS287" s="15" t="s">
        <v>9643</v>
      </c>
      <c r="AT287" s="18"/>
      <c r="AU287" s="15" t="s">
        <v>9644</v>
      </c>
      <c r="AV287" s="15" t="s">
        <v>9645</v>
      </c>
      <c r="AW287" s="15" t="s">
        <v>9646</v>
      </c>
      <c r="AX287" s="18"/>
      <c r="AY287" s="15" t="s">
        <v>9647</v>
      </c>
      <c r="AZ287" s="15" t="s">
        <v>9648</v>
      </c>
      <c r="BA287" s="15" t="s">
        <v>2899</v>
      </c>
      <c r="BB287" s="15" t="s">
        <v>2807</v>
      </c>
      <c r="BC287" s="15" t="s">
        <v>4746</v>
      </c>
      <c r="BD287" s="15" t="s">
        <v>2807</v>
      </c>
      <c r="BE287" s="15" t="s">
        <v>2796</v>
      </c>
      <c r="BF287" s="15" t="s">
        <v>9649</v>
      </c>
      <c r="BG287" s="18"/>
      <c r="BH287" s="18"/>
      <c r="BI287" s="15" t="s">
        <v>9650</v>
      </c>
      <c r="BJ287" s="19" t="s">
        <v>9651</v>
      </c>
      <c r="BK287" s="19" t="s">
        <v>9652</v>
      </c>
      <c r="BL287" s="18"/>
      <c r="BM287" s="19" t="s">
        <v>9653</v>
      </c>
      <c r="BN287" s="19" t="s">
        <v>9654</v>
      </c>
      <c r="BO287" s="19" t="s">
        <v>9655</v>
      </c>
      <c r="BP287" s="18"/>
      <c r="BQ287" s="15" t="s">
        <v>1193</v>
      </c>
      <c r="BR287" s="26"/>
      <c r="BS287" s="26"/>
      <c r="BT287" s="26"/>
      <c r="BU287" s="26"/>
      <c r="BV287" s="26"/>
      <c r="BW287" s="26"/>
      <c r="BX287" s="26"/>
      <c r="BY287" s="18" t="str">
        <f t="shared" si="104"/>
        <v>E&amp;TC</v>
      </c>
      <c r="BZ287" s="18" t="str">
        <f t="shared" si="100"/>
        <v/>
      </c>
      <c r="CA287" s="24" t="str">
        <f t="shared" si="101"/>
        <v>https://drive.google.com/open?id=1C3IATobPz_s-NRqLQjh5rX73JOOtuE5T</v>
      </c>
      <c r="CB287" s="15" t="s">
        <v>2908</v>
      </c>
      <c r="CC287" s="15" t="s">
        <v>2821</v>
      </c>
      <c r="CD287" s="25" t="s">
        <v>2797</v>
      </c>
      <c r="CE287" s="18"/>
      <c r="CF287" s="18"/>
      <c r="CG287" s="18"/>
    </row>
    <row r="288" ht="18.75" hidden="1" customHeight="1">
      <c r="A288" s="14">
        <v>44740.347047777774</v>
      </c>
      <c r="B288" s="15" t="s">
        <v>1674</v>
      </c>
      <c r="C288" s="16" t="s">
        <v>9656</v>
      </c>
      <c r="D288" s="15" t="str">
        <f>IFERROR(__xludf.DUMMYFUNCTION("QUERY(TY_ALL_2023_Batch!$A$1:$E$824, ""SELECT E WHERE C='""&amp;B288&amp;""'"", 0)"),"E&amp;TC")</f>
        <v>E&amp;TC</v>
      </c>
      <c r="E288" s="15" t="s">
        <v>9657</v>
      </c>
      <c r="F288" s="15" t="s">
        <v>8952</v>
      </c>
      <c r="G288" s="15" t="s">
        <v>9658</v>
      </c>
      <c r="H288" s="15" t="s">
        <v>2785</v>
      </c>
      <c r="I288" s="17">
        <v>36882.0</v>
      </c>
      <c r="J288" s="15">
        <v>2019.0</v>
      </c>
      <c r="K288" s="15" t="s">
        <v>2786</v>
      </c>
      <c r="L288" s="15" t="s">
        <v>2787</v>
      </c>
      <c r="M288" s="18"/>
      <c r="N288" s="15" t="s">
        <v>9659</v>
      </c>
      <c r="O288" s="15" t="s">
        <v>1674</v>
      </c>
      <c r="P288" s="19" t="s">
        <v>9660</v>
      </c>
      <c r="Q288" s="15">
        <v>9.075341243E9</v>
      </c>
      <c r="R288" s="15">
        <v>9.075341243E9</v>
      </c>
      <c r="S288" s="15">
        <v>9.850423488E9</v>
      </c>
      <c r="T288" s="15" t="s">
        <v>8952</v>
      </c>
      <c r="U288" s="15" t="s">
        <v>3083</v>
      </c>
      <c r="V288" s="15" t="s">
        <v>9661</v>
      </c>
      <c r="W288" s="15" t="s">
        <v>9662</v>
      </c>
      <c r="X288" s="15">
        <v>89.6</v>
      </c>
      <c r="Y288" s="15" t="s">
        <v>2795</v>
      </c>
      <c r="Z288" s="15">
        <v>6.33</v>
      </c>
      <c r="AA288" s="15">
        <v>7.25</v>
      </c>
      <c r="AB288" s="15" t="s">
        <v>2796</v>
      </c>
      <c r="AC288" s="15" t="s">
        <v>2796</v>
      </c>
      <c r="AD288" s="15" t="s">
        <v>2796</v>
      </c>
      <c r="AE288" s="15" t="s">
        <v>2796</v>
      </c>
      <c r="AF288" s="15">
        <v>7.79</v>
      </c>
      <c r="AG288" s="15">
        <v>7.14</v>
      </c>
      <c r="AH288" s="15">
        <v>74.31</v>
      </c>
      <c r="AI288" s="18"/>
      <c r="AJ288" s="15" t="s">
        <v>2787</v>
      </c>
      <c r="AK288" s="15" t="s">
        <v>2787</v>
      </c>
      <c r="AL288" s="15">
        <v>718.33</v>
      </c>
      <c r="AM288" s="15">
        <v>950.0</v>
      </c>
      <c r="AN288" s="15" t="s">
        <v>2787</v>
      </c>
      <c r="AO288" s="18"/>
      <c r="AP288" s="15" t="s">
        <v>9663</v>
      </c>
      <c r="AQ288" s="15" t="s">
        <v>6749</v>
      </c>
      <c r="AR288" s="15" t="s">
        <v>9664</v>
      </c>
      <c r="AS288" s="15" t="s">
        <v>9665</v>
      </c>
      <c r="AT288" s="18"/>
      <c r="AU288" s="15" t="s">
        <v>9666</v>
      </c>
      <c r="AV288" s="15" t="s">
        <v>9667</v>
      </c>
      <c r="AW288" s="15" t="s">
        <v>9668</v>
      </c>
      <c r="AX288" s="15" t="s">
        <v>9669</v>
      </c>
      <c r="AY288" s="15" t="s">
        <v>9669</v>
      </c>
      <c r="AZ288" s="15" t="s">
        <v>5625</v>
      </c>
      <c r="BA288" s="15" t="s">
        <v>4085</v>
      </c>
      <c r="BB288" s="15" t="s">
        <v>5673</v>
      </c>
      <c r="BC288" s="15" t="s">
        <v>9670</v>
      </c>
      <c r="BD288" s="15" t="s">
        <v>4556</v>
      </c>
      <c r="BE288" s="15" t="s">
        <v>9671</v>
      </c>
      <c r="BF288" s="15" t="s">
        <v>9672</v>
      </c>
      <c r="BG288" s="18"/>
      <c r="BH288" s="15" t="s">
        <v>5464</v>
      </c>
      <c r="BI288" s="15" t="s">
        <v>9673</v>
      </c>
      <c r="BJ288" s="19" t="s">
        <v>9674</v>
      </c>
      <c r="BK288" s="19" t="s">
        <v>9675</v>
      </c>
      <c r="BL288" s="18"/>
      <c r="BM288" s="18"/>
      <c r="BN288" s="19" t="s">
        <v>9676</v>
      </c>
      <c r="BO288" s="19" t="s">
        <v>9677</v>
      </c>
      <c r="BP288" s="19" t="s">
        <v>9678</v>
      </c>
      <c r="BQ288" s="15" t="s">
        <v>1193</v>
      </c>
      <c r="BR288" s="26"/>
      <c r="BS288" s="26"/>
      <c r="BT288" s="26"/>
      <c r="BU288" s="19" t="s">
        <v>9679</v>
      </c>
      <c r="BV288" s="19" t="s">
        <v>9680</v>
      </c>
      <c r="BW288" s="15" t="s">
        <v>9681</v>
      </c>
      <c r="BX288" s="26"/>
      <c r="BY288" s="18" t="str">
        <f t="shared" si="104"/>
        <v>E&amp;TC</v>
      </c>
      <c r="BZ288" s="24" t="str">
        <f t="shared" si="100"/>
        <v>https://drive.google.com/open?id=1ja3RUvhLOGBPo9YD8RxzBn7OTi4HelwO</v>
      </c>
      <c r="CA288" s="24" t="str">
        <f t="shared" si="101"/>
        <v>https://drive.google.com/open?id=1mLqFuROBJ5kpv6aLom1W_wuClk4XOlPK</v>
      </c>
      <c r="CB288" s="15" t="s">
        <v>2908</v>
      </c>
      <c r="CC288" s="15" t="s">
        <v>2908</v>
      </c>
      <c r="CD288" s="25" t="s">
        <v>2797</v>
      </c>
      <c r="CE288" s="18"/>
      <c r="CF288" s="18"/>
      <c r="CG288" s="18"/>
    </row>
    <row r="289" ht="18.75" hidden="1" customHeight="1">
      <c r="A289" s="14">
        <v>44742.99032993056</v>
      </c>
      <c r="B289" s="15" t="s">
        <v>1938</v>
      </c>
      <c r="C289" s="16" t="s">
        <v>9682</v>
      </c>
      <c r="D289" s="15" t="str">
        <f>IFERROR(__xludf.DUMMYFUNCTION("QUERY(TY_ALL_2023_Batch!$A$1:$E$824, ""SELECT E WHERE C='""&amp;B289&amp;""'"", 0)"),"E&amp;TC")</f>
        <v>E&amp;TC</v>
      </c>
      <c r="E289" s="15" t="s">
        <v>9683</v>
      </c>
      <c r="F289" s="18"/>
      <c r="G289" s="15" t="s">
        <v>5816</v>
      </c>
      <c r="H289" s="15" t="s">
        <v>2785</v>
      </c>
      <c r="I289" s="17">
        <v>36576.0</v>
      </c>
      <c r="J289" s="15">
        <v>2019.0</v>
      </c>
      <c r="K289" s="15" t="s">
        <v>2786</v>
      </c>
      <c r="L289" s="15" t="s">
        <v>2787</v>
      </c>
      <c r="M289" s="18"/>
      <c r="N289" s="15" t="s">
        <v>9684</v>
      </c>
      <c r="O289" s="15" t="s">
        <v>1938</v>
      </c>
      <c r="P289" s="19" t="s">
        <v>9685</v>
      </c>
      <c r="Q289" s="15">
        <v>7.038068731E9</v>
      </c>
      <c r="R289" s="15">
        <v>7.038068731E9</v>
      </c>
      <c r="S289" s="18"/>
      <c r="T289" s="15" t="s">
        <v>9686</v>
      </c>
      <c r="U289" s="15" t="s">
        <v>9687</v>
      </c>
      <c r="V289" s="15" t="s">
        <v>9688</v>
      </c>
      <c r="W289" s="18"/>
      <c r="X289" s="15">
        <v>81.6</v>
      </c>
      <c r="Y289" s="15" t="s">
        <v>2795</v>
      </c>
      <c r="Z289" s="15">
        <v>8.24</v>
      </c>
      <c r="AA289" s="15">
        <v>8.35</v>
      </c>
      <c r="AB289" s="15" t="s">
        <v>2796</v>
      </c>
      <c r="AC289" s="15" t="s">
        <v>2796</v>
      </c>
      <c r="AD289" s="15" t="s">
        <v>3005</v>
      </c>
      <c r="AE289" s="15" t="s">
        <v>3005</v>
      </c>
      <c r="AF289" s="15">
        <v>7.42</v>
      </c>
      <c r="AG289" s="15">
        <v>7.43</v>
      </c>
      <c r="AH289" s="15">
        <v>63.68</v>
      </c>
      <c r="AI289" s="18"/>
      <c r="AJ289" s="15" t="s">
        <v>2787</v>
      </c>
      <c r="AK289" s="15" t="s">
        <v>2787</v>
      </c>
      <c r="AL289" s="42">
        <v>0.8133</v>
      </c>
      <c r="AM289" s="42">
        <v>0.8266</v>
      </c>
      <c r="AN289" s="15" t="s">
        <v>2797</v>
      </c>
      <c r="AO289" s="18"/>
      <c r="AP289" s="18"/>
      <c r="AQ289" s="15" t="s">
        <v>5387</v>
      </c>
      <c r="AR289" s="18"/>
      <c r="AS289" s="18"/>
      <c r="AT289" s="18"/>
      <c r="AU289" s="15" t="s">
        <v>5947</v>
      </c>
      <c r="AV289" s="15" t="s">
        <v>9689</v>
      </c>
      <c r="AW289" s="15" t="s">
        <v>9690</v>
      </c>
      <c r="AX289" s="18"/>
      <c r="AY289" s="15" t="s">
        <v>9691</v>
      </c>
      <c r="AZ289" s="15" t="s">
        <v>4670</v>
      </c>
      <c r="BA289" s="15" t="s">
        <v>9692</v>
      </c>
      <c r="BB289" s="15" t="s">
        <v>5729</v>
      </c>
      <c r="BC289" s="15" t="s">
        <v>9693</v>
      </c>
      <c r="BD289" s="15" t="s">
        <v>2807</v>
      </c>
      <c r="BE289" s="15" t="s">
        <v>2796</v>
      </c>
      <c r="BF289" s="18"/>
      <c r="BG289" s="18"/>
      <c r="BH289" s="18"/>
      <c r="BI289" s="15" t="s">
        <v>9694</v>
      </c>
      <c r="BJ289" s="19" t="s">
        <v>9695</v>
      </c>
      <c r="BK289" s="19" t="s">
        <v>9696</v>
      </c>
      <c r="BL289" s="18"/>
      <c r="BM289" s="18"/>
      <c r="BN289" s="18"/>
      <c r="BO289" s="19" t="s">
        <v>9697</v>
      </c>
      <c r="BP289" s="19" t="s">
        <v>9698</v>
      </c>
      <c r="BQ289" s="15" t="s">
        <v>1193</v>
      </c>
      <c r="BR289" s="26"/>
      <c r="BS289" s="26"/>
      <c r="BT289" s="26"/>
      <c r="BU289" s="26"/>
      <c r="BV289" s="26"/>
      <c r="BW289" s="15" t="s">
        <v>2797</v>
      </c>
      <c r="BX289" s="26"/>
      <c r="BY289" s="18" t="str">
        <f t="shared" si="104"/>
        <v>E&amp;TC</v>
      </c>
      <c r="BZ289" s="18" t="str">
        <f t="shared" si="100"/>
        <v/>
      </c>
      <c r="CA289" s="18" t="str">
        <f t="shared" si="101"/>
        <v/>
      </c>
      <c r="CB289" s="15" t="s">
        <v>2908</v>
      </c>
      <c r="CC289" s="15" t="s">
        <v>2908</v>
      </c>
      <c r="CD289" s="25" t="s">
        <v>2797</v>
      </c>
      <c r="CE289" s="18"/>
      <c r="CF289" s="18"/>
      <c r="CG289" s="18"/>
    </row>
    <row r="290" ht="18.75" hidden="1" customHeight="1">
      <c r="A290" s="14">
        <v>44742.68132603009</v>
      </c>
      <c r="B290" s="15" t="s">
        <v>1617</v>
      </c>
      <c r="C290" s="16" t="s">
        <v>9699</v>
      </c>
      <c r="D290" s="15" t="str">
        <f>IFERROR(__xludf.DUMMYFUNCTION("QUERY(TY_ALL_2023_Batch!$A$1:$E$824, ""SELECT E WHERE C='""&amp;B290&amp;""'"", 0)"),"E&amp;TC")</f>
        <v>E&amp;TC</v>
      </c>
      <c r="E290" s="15" t="s">
        <v>9700</v>
      </c>
      <c r="F290" s="15" t="s">
        <v>7409</v>
      </c>
      <c r="G290" s="15" t="s">
        <v>4418</v>
      </c>
      <c r="H290" s="15" t="s">
        <v>2785</v>
      </c>
      <c r="I290" s="17">
        <v>37023.0</v>
      </c>
      <c r="J290" s="15">
        <v>2019.0</v>
      </c>
      <c r="K290" s="15" t="s">
        <v>2786</v>
      </c>
      <c r="L290" s="15" t="s">
        <v>2787</v>
      </c>
      <c r="M290" s="18"/>
      <c r="N290" s="15" t="s">
        <v>9701</v>
      </c>
      <c r="O290" s="15" t="s">
        <v>1617</v>
      </c>
      <c r="P290" s="19" t="s">
        <v>9702</v>
      </c>
      <c r="Q290" s="15">
        <v>7.767008681E9</v>
      </c>
      <c r="R290" s="15">
        <v>7.767008681E9</v>
      </c>
      <c r="S290" s="15">
        <v>9.8810571E9</v>
      </c>
      <c r="T290" s="15" t="s">
        <v>9703</v>
      </c>
      <c r="U290" s="15" t="s">
        <v>9704</v>
      </c>
      <c r="V290" s="15" t="s">
        <v>9705</v>
      </c>
      <c r="W290" s="18"/>
      <c r="X290" s="15">
        <v>85.0</v>
      </c>
      <c r="Y290" s="15" t="s">
        <v>2795</v>
      </c>
      <c r="Z290" s="15">
        <v>9.0</v>
      </c>
      <c r="AA290" s="15">
        <v>9.3</v>
      </c>
      <c r="AB290" s="15" t="s">
        <v>2796</v>
      </c>
      <c r="AC290" s="15" t="s">
        <v>2796</v>
      </c>
      <c r="AD290" s="15" t="s">
        <v>2796</v>
      </c>
      <c r="AE290" s="15" t="s">
        <v>2796</v>
      </c>
      <c r="AF290" s="15">
        <v>8.37</v>
      </c>
      <c r="AG290" s="15">
        <v>9.0</v>
      </c>
      <c r="AH290" s="15">
        <v>76.0</v>
      </c>
      <c r="AI290" s="18"/>
      <c r="AJ290" s="15" t="s">
        <v>2787</v>
      </c>
      <c r="AK290" s="15" t="s">
        <v>2787</v>
      </c>
      <c r="AL290" s="15">
        <v>633.0</v>
      </c>
      <c r="AM290" s="15">
        <v>645.0</v>
      </c>
      <c r="AN290" s="15" t="s">
        <v>2797</v>
      </c>
      <c r="AO290" s="18"/>
      <c r="AP290" s="18"/>
      <c r="AQ290" s="15" t="s">
        <v>9706</v>
      </c>
      <c r="AR290" s="15" t="s">
        <v>9707</v>
      </c>
      <c r="AS290" s="18"/>
      <c r="AT290" s="18"/>
      <c r="AU290" s="15" t="s">
        <v>9708</v>
      </c>
      <c r="AV290" s="15" t="s">
        <v>9709</v>
      </c>
      <c r="AW290" s="15" t="s">
        <v>9710</v>
      </c>
      <c r="AX290" s="18"/>
      <c r="AY290" s="15" t="s">
        <v>9711</v>
      </c>
      <c r="AZ290" s="15" t="s">
        <v>4670</v>
      </c>
      <c r="BA290" s="15" t="s">
        <v>4727</v>
      </c>
      <c r="BB290" s="15" t="s">
        <v>2807</v>
      </c>
      <c r="BC290" s="15" t="s">
        <v>9712</v>
      </c>
      <c r="BD290" s="15" t="s">
        <v>2807</v>
      </c>
      <c r="BE290" s="15" t="s">
        <v>2796</v>
      </c>
      <c r="BF290" s="18"/>
      <c r="BG290" s="18"/>
      <c r="BH290" s="18"/>
      <c r="BI290" s="15" t="s">
        <v>9713</v>
      </c>
      <c r="BJ290" s="19" t="s">
        <v>9714</v>
      </c>
      <c r="BK290" s="19" t="s">
        <v>9715</v>
      </c>
      <c r="BL290" s="19" t="s">
        <v>9716</v>
      </c>
      <c r="BM290" s="19" t="s">
        <v>9717</v>
      </c>
      <c r="BN290" s="19" t="s">
        <v>9718</v>
      </c>
      <c r="BO290" s="19" t="s">
        <v>9719</v>
      </c>
      <c r="BP290" s="18"/>
      <c r="BQ290" s="15" t="s">
        <v>1193</v>
      </c>
      <c r="BR290" s="18"/>
      <c r="BS290" s="18"/>
      <c r="BT290" s="19" t="s">
        <v>9720</v>
      </c>
      <c r="BU290" s="18"/>
      <c r="BV290" s="18"/>
      <c r="BW290" s="15" t="s">
        <v>9721</v>
      </c>
      <c r="BX290" s="18"/>
      <c r="BY290" s="18" t="str">
        <f t="shared" si="104"/>
        <v>E&amp;TC</v>
      </c>
      <c r="BZ290" s="24" t="str">
        <f t="shared" si="100"/>
        <v>https://drive.google.com/open?id=1UyWxseFwcVfUVMguTsy5GK2CZY5b9xjH</v>
      </c>
      <c r="CA290" s="24" t="str">
        <f t="shared" si="101"/>
        <v>https://drive.google.com/open?id=1Up7hskVR8TbrEqvRNA06CqxSHVuPK6NU</v>
      </c>
      <c r="CB290" s="15" t="s">
        <v>2821</v>
      </c>
      <c r="CC290" s="15" t="s">
        <v>2821</v>
      </c>
      <c r="CD290" s="25" t="s">
        <v>2787</v>
      </c>
      <c r="CE290" s="18"/>
      <c r="CF290" s="18"/>
      <c r="CG290" s="18"/>
    </row>
    <row r="291" ht="18.75" hidden="1" customHeight="1">
      <c r="A291" s="14">
        <v>44742.803090914356</v>
      </c>
      <c r="B291" s="15" t="s">
        <v>2004</v>
      </c>
      <c r="C291" s="16" t="s">
        <v>9722</v>
      </c>
      <c r="D291" s="15" t="str">
        <f>IFERROR(__xludf.DUMMYFUNCTION("QUERY(TY_ALL_2023_Batch!$A$1:$E$824, ""SELECT E WHERE C='""&amp;B291&amp;""'"", 0)"),"E&amp;TC")</f>
        <v>E&amp;TC</v>
      </c>
      <c r="E291" s="15" t="s">
        <v>9723</v>
      </c>
      <c r="F291" s="15" t="s">
        <v>9724</v>
      </c>
      <c r="G291" s="15" t="s">
        <v>5457</v>
      </c>
      <c r="H291" s="15" t="s">
        <v>2785</v>
      </c>
      <c r="I291" s="17">
        <v>37082.0</v>
      </c>
      <c r="J291" s="15">
        <v>2019.0</v>
      </c>
      <c r="K291" s="15" t="s">
        <v>2786</v>
      </c>
      <c r="L291" s="15" t="s">
        <v>2787</v>
      </c>
      <c r="M291" s="18"/>
      <c r="N291" s="15" t="s">
        <v>9725</v>
      </c>
      <c r="O291" s="15" t="s">
        <v>2004</v>
      </c>
      <c r="P291" s="19" t="s">
        <v>9726</v>
      </c>
      <c r="Q291" s="15">
        <v>9.657177196E9</v>
      </c>
      <c r="R291" s="15">
        <v>9.657177199E9</v>
      </c>
      <c r="S291" s="15">
        <v>9.657177196E9</v>
      </c>
      <c r="T291" s="15" t="s">
        <v>9724</v>
      </c>
      <c r="U291" s="15" t="s">
        <v>3885</v>
      </c>
      <c r="V291" s="15" t="s">
        <v>9727</v>
      </c>
      <c r="W291" s="18"/>
      <c r="X291" s="15">
        <v>92.0</v>
      </c>
      <c r="Y291" s="15" t="s">
        <v>2795</v>
      </c>
      <c r="Z291" s="15">
        <v>7.95</v>
      </c>
      <c r="AA291" s="15">
        <v>6.75</v>
      </c>
      <c r="AB291" s="15" t="s">
        <v>2796</v>
      </c>
      <c r="AC291" s="15" t="s">
        <v>2796</v>
      </c>
      <c r="AD291" s="15" t="s">
        <v>2796</v>
      </c>
      <c r="AE291" s="15" t="s">
        <v>2796</v>
      </c>
      <c r="AF291" s="15">
        <v>8.32</v>
      </c>
      <c r="AG291" s="15">
        <v>7.71</v>
      </c>
      <c r="AH291" s="15">
        <v>72.46</v>
      </c>
      <c r="AI291" s="18"/>
      <c r="AJ291" s="15" t="s">
        <v>2787</v>
      </c>
      <c r="AK291" s="15" t="s">
        <v>2787</v>
      </c>
      <c r="AL291" s="15">
        <v>580.0</v>
      </c>
      <c r="AM291" s="18"/>
      <c r="AN291" s="15" t="s">
        <v>2797</v>
      </c>
      <c r="AO291" s="18"/>
      <c r="AP291" s="18"/>
      <c r="AQ291" s="15" t="s">
        <v>9728</v>
      </c>
      <c r="AR291" s="18"/>
      <c r="AS291" s="15" t="s">
        <v>9729</v>
      </c>
      <c r="AT291" s="18"/>
      <c r="AU291" s="18"/>
      <c r="AV291" s="18"/>
      <c r="AW291" s="15" t="s">
        <v>9730</v>
      </c>
      <c r="AX291" s="18"/>
      <c r="AY291" s="15" t="s">
        <v>9731</v>
      </c>
      <c r="AZ291" s="15" t="s">
        <v>9648</v>
      </c>
      <c r="BA291" s="15" t="s">
        <v>6926</v>
      </c>
      <c r="BB291" s="15" t="s">
        <v>9732</v>
      </c>
      <c r="BC291" s="15" t="s">
        <v>8295</v>
      </c>
      <c r="BD291" s="15" t="s">
        <v>2807</v>
      </c>
      <c r="BE291" s="15" t="s">
        <v>2796</v>
      </c>
      <c r="BF291" s="18"/>
      <c r="BG291" s="18"/>
      <c r="BH291" s="18"/>
      <c r="BI291" s="15" t="s">
        <v>9733</v>
      </c>
      <c r="BJ291" s="19" t="s">
        <v>9734</v>
      </c>
      <c r="BK291" s="19" t="s">
        <v>9735</v>
      </c>
      <c r="BL291" s="19" t="s">
        <v>9736</v>
      </c>
      <c r="BM291" s="18"/>
      <c r="BN291" s="18"/>
      <c r="BO291" s="19" t="s">
        <v>9737</v>
      </c>
      <c r="BP291" s="19" t="s">
        <v>9738</v>
      </c>
      <c r="BQ291" s="15" t="s">
        <v>1193</v>
      </c>
      <c r="BR291" s="18"/>
      <c r="BS291" s="18"/>
      <c r="BT291" s="19" t="s">
        <v>9739</v>
      </c>
      <c r="BU291" s="18"/>
      <c r="BV291" s="18"/>
      <c r="BW291" s="15" t="s">
        <v>9740</v>
      </c>
      <c r="BX291" s="18"/>
      <c r="BY291" s="18" t="str">
        <f t="shared" si="104"/>
        <v>E&amp;TC</v>
      </c>
      <c r="BZ291" s="24" t="str">
        <f t="shared" si="100"/>
        <v>https://drive.google.com/open?id=16paxBCcV2mQd_AI8R92THO6-qABD81Si</v>
      </c>
      <c r="CA291" s="18" t="str">
        <f t="shared" si="101"/>
        <v/>
      </c>
      <c r="CB291" s="15" t="s">
        <v>2821</v>
      </c>
      <c r="CC291" s="15" t="s">
        <v>2908</v>
      </c>
      <c r="CD291" s="25" t="s">
        <v>2787</v>
      </c>
      <c r="CE291" s="18"/>
      <c r="CF291" s="18"/>
      <c r="CG291" s="18"/>
    </row>
    <row r="292" ht="18.75" hidden="1" customHeight="1">
      <c r="A292" s="14">
        <v>44739.79749092592</v>
      </c>
      <c r="B292" s="15" t="s">
        <v>1680</v>
      </c>
      <c r="C292" s="16" t="s">
        <v>9741</v>
      </c>
      <c r="D292" s="15" t="str">
        <f>IFERROR(__xludf.DUMMYFUNCTION("QUERY(TY_ALL_2023_Batch!$A$1:$E$824, ""SELECT E WHERE C='""&amp;B292&amp;""'"", 0)"),"E&amp;TC")</f>
        <v>E&amp;TC</v>
      </c>
      <c r="E292" s="15" t="s">
        <v>9742</v>
      </c>
      <c r="F292" s="15" t="s">
        <v>9743</v>
      </c>
      <c r="G292" s="15" t="s">
        <v>9744</v>
      </c>
      <c r="H292" s="15" t="s">
        <v>2785</v>
      </c>
      <c r="I292" s="17">
        <v>37196.0</v>
      </c>
      <c r="J292" s="15">
        <v>2019.0</v>
      </c>
      <c r="K292" s="15" t="s">
        <v>2786</v>
      </c>
      <c r="L292" s="15" t="s">
        <v>2787</v>
      </c>
      <c r="M292" s="18"/>
      <c r="N292" s="15" t="s">
        <v>9745</v>
      </c>
      <c r="O292" s="15" t="s">
        <v>1680</v>
      </c>
      <c r="P292" s="19" t="s">
        <v>9746</v>
      </c>
      <c r="Q292" s="15">
        <v>8.669343286E9</v>
      </c>
      <c r="R292" s="15">
        <v>8.669343286E9</v>
      </c>
      <c r="S292" s="18"/>
      <c r="T292" s="15" t="s">
        <v>9747</v>
      </c>
      <c r="U292" s="15" t="s">
        <v>9748</v>
      </c>
      <c r="V292" s="15" t="s">
        <v>9749</v>
      </c>
      <c r="W292" s="15" t="s">
        <v>9750</v>
      </c>
      <c r="X292" s="15">
        <v>86.16</v>
      </c>
      <c r="Y292" s="15" t="s">
        <v>2795</v>
      </c>
      <c r="Z292" s="15">
        <v>9.48</v>
      </c>
      <c r="AA292" s="15">
        <v>9.5</v>
      </c>
      <c r="AB292" s="15" t="s">
        <v>2796</v>
      </c>
      <c r="AC292" s="15" t="s">
        <v>2796</v>
      </c>
      <c r="AD292" s="15" t="s">
        <v>2796</v>
      </c>
      <c r="AE292" s="15" t="s">
        <v>2796</v>
      </c>
      <c r="AF292" s="15">
        <v>8.84</v>
      </c>
      <c r="AG292" s="15">
        <v>9.43</v>
      </c>
      <c r="AH292" s="15">
        <v>67.92</v>
      </c>
      <c r="AI292" s="18"/>
      <c r="AJ292" s="15" t="s">
        <v>2787</v>
      </c>
      <c r="AK292" s="15" t="s">
        <v>2787</v>
      </c>
      <c r="AL292" s="15">
        <v>595.0</v>
      </c>
      <c r="AM292" s="15">
        <v>657.0</v>
      </c>
      <c r="AN292" s="15" t="s">
        <v>2797</v>
      </c>
      <c r="AO292" s="15" t="s">
        <v>2796</v>
      </c>
      <c r="AP292" s="15" t="s">
        <v>2796</v>
      </c>
      <c r="AQ292" s="15" t="s">
        <v>9751</v>
      </c>
      <c r="AR292" s="18"/>
      <c r="AS292" s="15" t="s">
        <v>5356</v>
      </c>
      <c r="AT292" s="18"/>
      <c r="AU292" s="18"/>
      <c r="AV292" s="15" t="s">
        <v>9752</v>
      </c>
      <c r="AW292" s="15" t="s">
        <v>9753</v>
      </c>
      <c r="AX292" s="18"/>
      <c r="AY292" s="15" t="s">
        <v>9260</v>
      </c>
      <c r="AZ292" s="15" t="s">
        <v>5287</v>
      </c>
      <c r="BA292" s="15" t="s">
        <v>9754</v>
      </c>
      <c r="BB292" s="15" t="s">
        <v>2807</v>
      </c>
      <c r="BC292" s="15" t="s">
        <v>9755</v>
      </c>
      <c r="BD292" s="15" t="s">
        <v>2807</v>
      </c>
      <c r="BE292" s="15" t="s">
        <v>9756</v>
      </c>
      <c r="BF292" s="15" t="s">
        <v>9757</v>
      </c>
      <c r="BG292" s="18"/>
      <c r="BH292" s="15" t="s">
        <v>9758</v>
      </c>
      <c r="BI292" s="18"/>
      <c r="BJ292" s="19" t="s">
        <v>9759</v>
      </c>
      <c r="BK292" s="19" t="s">
        <v>9760</v>
      </c>
      <c r="BL292" s="19" t="s">
        <v>9761</v>
      </c>
      <c r="BM292" s="19" t="s">
        <v>9762</v>
      </c>
      <c r="BN292" s="19" t="s">
        <v>9763</v>
      </c>
      <c r="BO292" s="19" t="s">
        <v>9764</v>
      </c>
      <c r="BP292" s="19" t="s">
        <v>9765</v>
      </c>
      <c r="BQ292" s="15" t="s">
        <v>1193</v>
      </c>
      <c r="BR292" s="26"/>
      <c r="BS292" s="26"/>
      <c r="BT292" s="26"/>
      <c r="BU292" s="26"/>
      <c r="BV292" s="26"/>
      <c r="BW292" s="15" t="s">
        <v>9766</v>
      </c>
      <c r="BX292" s="26"/>
      <c r="BY292" s="18" t="str">
        <f t="shared" si="104"/>
        <v>E&amp;TC</v>
      </c>
      <c r="BZ292" s="24" t="str">
        <f t="shared" si="100"/>
        <v>https://drive.google.com/open?id=14C35uHQO1gU-eNRXjhLWtnc8fDUe8I6L</v>
      </c>
      <c r="CA292" s="24" t="str">
        <f t="shared" si="101"/>
        <v>https://drive.google.com/open?id=1UN__OpTgPvL8e5tphEcJr4UaFzXm8rz4</v>
      </c>
      <c r="CB292" s="15" t="s">
        <v>2821</v>
      </c>
      <c r="CC292" s="15" t="s">
        <v>2821</v>
      </c>
      <c r="CD292" s="25" t="s">
        <v>2797</v>
      </c>
      <c r="CE292" s="18"/>
      <c r="CF292" s="18"/>
      <c r="CG292" s="18"/>
    </row>
    <row r="293" ht="18.75" hidden="1" customHeight="1">
      <c r="A293" s="14">
        <v>44749.692810092594</v>
      </c>
      <c r="B293" s="15" t="s">
        <v>1821</v>
      </c>
      <c r="C293" s="16" t="s">
        <v>9767</v>
      </c>
      <c r="D293" s="15" t="str">
        <f>IFERROR(__xludf.DUMMYFUNCTION("QUERY(TY_ALL_2023_Batch!$A$1:$E$824, ""SELECT E WHERE C='""&amp;B293&amp;""'"", 0)"),"E&amp;TC")</f>
        <v>E&amp;TC</v>
      </c>
      <c r="E293" s="15" t="s">
        <v>9768</v>
      </c>
      <c r="F293" s="15" t="s">
        <v>8952</v>
      </c>
      <c r="G293" s="15" t="s">
        <v>9769</v>
      </c>
      <c r="H293" s="15" t="s">
        <v>2785</v>
      </c>
      <c r="I293" s="17">
        <v>37185.0</v>
      </c>
      <c r="J293" s="15">
        <v>2019.0</v>
      </c>
      <c r="K293" s="15" t="s">
        <v>2786</v>
      </c>
      <c r="L293" s="15" t="s">
        <v>2787</v>
      </c>
      <c r="M293" s="18"/>
      <c r="N293" s="15" t="s">
        <v>9770</v>
      </c>
      <c r="O293" s="15" t="s">
        <v>1821</v>
      </c>
      <c r="P293" s="19" t="s">
        <v>9771</v>
      </c>
      <c r="Q293" s="15">
        <v>9.37319606E9</v>
      </c>
      <c r="R293" s="15">
        <v>9.37319606E9</v>
      </c>
      <c r="S293" s="15">
        <v>7.798696844E9</v>
      </c>
      <c r="T293" s="15" t="s">
        <v>9772</v>
      </c>
      <c r="U293" s="15" t="s">
        <v>9773</v>
      </c>
      <c r="V293" s="15" t="s">
        <v>9774</v>
      </c>
      <c r="W293" s="15" t="s">
        <v>9775</v>
      </c>
      <c r="X293" s="15">
        <v>93.6</v>
      </c>
      <c r="Y293" s="15" t="s">
        <v>2795</v>
      </c>
      <c r="Z293" s="15">
        <v>7.2</v>
      </c>
      <c r="AA293" s="15">
        <v>7.65</v>
      </c>
      <c r="AB293" s="15" t="s">
        <v>3005</v>
      </c>
      <c r="AC293" s="15" t="s">
        <v>3005</v>
      </c>
      <c r="AD293" s="15" t="s">
        <v>3005</v>
      </c>
      <c r="AE293" s="15" t="s">
        <v>3005</v>
      </c>
      <c r="AF293" s="15">
        <v>7.57</v>
      </c>
      <c r="AG293" s="15">
        <v>8.42</v>
      </c>
      <c r="AH293" s="15">
        <v>68.4</v>
      </c>
      <c r="AI293" s="18"/>
      <c r="AJ293" s="15" t="s">
        <v>2787</v>
      </c>
      <c r="AK293" s="15" t="s">
        <v>2787</v>
      </c>
      <c r="AL293" s="29">
        <v>5.705906E8</v>
      </c>
      <c r="AM293" s="29">
        <v>6.25500645E8</v>
      </c>
      <c r="AN293" s="15" t="s">
        <v>2797</v>
      </c>
      <c r="AO293" s="18"/>
      <c r="AP293" s="18"/>
      <c r="AQ293" s="15" t="s">
        <v>9776</v>
      </c>
      <c r="AR293" s="15" t="s">
        <v>9777</v>
      </c>
      <c r="AS293" s="15" t="s">
        <v>6143</v>
      </c>
      <c r="AT293" s="18"/>
      <c r="AU293" s="18"/>
      <c r="AV293" s="15" t="s">
        <v>9778</v>
      </c>
      <c r="AW293" s="15" t="s">
        <v>9779</v>
      </c>
      <c r="AX293" s="18"/>
      <c r="AY293" s="15" t="s">
        <v>9780</v>
      </c>
      <c r="AZ293" s="15" t="s">
        <v>4670</v>
      </c>
      <c r="BA293" s="15" t="s">
        <v>6193</v>
      </c>
      <c r="BB293" s="15" t="s">
        <v>5649</v>
      </c>
      <c r="BC293" s="15" t="s">
        <v>4746</v>
      </c>
      <c r="BD293" s="15" t="s">
        <v>2807</v>
      </c>
      <c r="BE293" s="15" t="s">
        <v>2796</v>
      </c>
      <c r="BF293" s="18"/>
      <c r="BG293" s="18"/>
      <c r="BH293" s="18"/>
      <c r="BI293" s="18"/>
      <c r="BJ293" s="19" t="s">
        <v>9781</v>
      </c>
      <c r="BK293" s="19" t="s">
        <v>9782</v>
      </c>
      <c r="BL293" s="19" t="s">
        <v>9783</v>
      </c>
      <c r="BM293" s="19" t="s">
        <v>9784</v>
      </c>
      <c r="BN293" s="18"/>
      <c r="BO293" s="19" t="s">
        <v>9785</v>
      </c>
      <c r="BP293" s="19" t="s">
        <v>9786</v>
      </c>
      <c r="BQ293" s="15" t="s">
        <v>1193</v>
      </c>
      <c r="BR293" s="26"/>
      <c r="BS293" s="26"/>
      <c r="BT293" s="19" t="s">
        <v>9787</v>
      </c>
      <c r="BU293" s="26"/>
      <c r="BV293" s="26"/>
      <c r="BW293" s="15" t="s">
        <v>9788</v>
      </c>
      <c r="BX293" s="26"/>
      <c r="BY293" s="18" t="str">
        <f t="shared" si="104"/>
        <v>E&amp;TC</v>
      </c>
      <c r="BZ293" s="24" t="str">
        <f t="shared" si="100"/>
        <v>https://drive.google.com/open?id=1-yL9nAGLfrUHK6QkQ1iDqOu9_EyKzumT</v>
      </c>
      <c r="CA293" s="24" t="str">
        <f t="shared" si="101"/>
        <v>https://drive.google.com/open?id=1OBSehv7q1-renDCSlYTxeQEbSwd-Wq7q</v>
      </c>
      <c r="CB293" s="15" t="s">
        <v>2821</v>
      </c>
      <c r="CC293" s="15" t="s">
        <v>2821</v>
      </c>
      <c r="CD293" s="25" t="s">
        <v>2797</v>
      </c>
      <c r="CE293" s="18"/>
      <c r="CF293" s="18"/>
      <c r="CG293" s="18"/>
    </row>
    <row r="294" ht="18.75" hidden="1" customHeight="1">
      <c r="A294" s="14">
        <v>44734.49912299769</v>
      </c>
      <c r="B294" s="15" t="s">
        <v>1887</v>
      </c>
      <c r="C294" s="16" t="s">
        <v>9789</v>
      </c>
      <c r="D294" s="15" t="str">
        <f>IFERROR(__xludf.DUMMYFUNCTION("QUERY(TY_ALL_2023_Batch!$A$1:$E$824, ""SELECT E WHERE C='""&amp;B294&amp;""'"", 0)"),"E&amp;TC")</f>
        <v>E&amp;TC</v>
      </c>
      <c r="E294" s="15" t="s">
        <v>5968</v>
      </c>
      <c r="F294" s="15" t="s">
        <v>3885</v>
      </c>
      <c r="G294" s="15" t="s">
        <v>2973</v>
      </c>
      <c r="H294" s="15" t="s">
        <v>2785</v>
      </c>
      <c r="I294" s="17">
        <v>36973.0</v>
      </c>
      <c r="J294" s="15">
        <v>2019.0</v>
      </c>
      <c r="K294" s="15" t="s">
        <v>2786</v>
      </c>
      <c r="L294" s="15" t="s">
        <v>2787</v>
      </c>
      <c r="M294" s="18"/>
      <c r="N294" s="15" t="s">
        <v>9790</v>
      </c>
      <c r="O294" s="15" t="s">
        <v>1887</v>
      </c>
      <c r="P294" s="19" t="s">
        <v>9791</v>
      </c>
      <c r="Q294" s="15">
        <v>9.307515008E9</v>
      </c>
      <c r="R294" s="15">
        <v>9.307515008E9</v>
      </c>
      <c r="S294" s="15">
        <v>9.764473448E9</v>
      </c>
      <c r="T294" s="15" t="s">
        <v>9792</v>
      </c>
      <c r="U294" s="15" t="s">
        <v>9793</v>
      </c>
      <c r="V294" s="15" t="s">
        <v>9794</v>
      </c>
      <c r="W294" s="15" t="s">
        <v>9795</v>
      </c>
      <c r="X294" s="15">
        <v>90.4</v>
      </c>
      <c r="Y294" s="15" t="s">
        <v>2795</v>
      </c>
      <c r="Z294" s="15">
        <v>7.9</v>
      </c>
      <c r="AA294" s="15">
        <v>8.0</v>
      </c>
      <c r="AB294" s="15" t="s">
        <v>2796</v>
      </c>
      <c r="AC294" s="15" t="s">
        <v>2796</v>
      </c>
      <c r="AD294" s="15" t="s">
        <v>2796</v>
      </c>
      <c r="AE294" s="15" t="s">
        <v>2796</v>
      </c>
      <c r="AF294" s="15">
        <v>8.19</v>
      </c>
      <c r="AG294" s="15">
        <v>6.79</v>
      </c>
      <c r="AH294" s="15">
        <v>78.0</v>
      </c>
      <c r="AI294" s="18"/>
      <c r="AJ294" s="15" t="s">
        <v>2787</v>
      </c>
      <c r="AK294" s="15" t="s">
        <v>2787</v>
      </c>
      <c r="AL294" s="15" t="s">
        <v>9796</v>
      </c>
      <c r="AM294" s="15" t="s">
        <v>9797</v>
      </c>
      <c r="AN294" s="15" t="s">
        <v>2797</v>
      </c>
      <c r="AO294" s="15" t="s">
        <v>2796</v>
      </c>
      <c r="AP294" s="15" t="s">
        <v>2796</v>
      </c>
      <c r="AQ294" s="15" t="s">
        <v>9798</v>
      </c>
      <c r="AR294" s="18"/>
      <c r="AS294" s="15" t="s">
        <v>9799</v>
      </c>
      <c r="AT294" s="18"/>
      <c r="AU294" s="15" t="s">
        <v>9800</v>
      </c>
      <c r="AV294" s="15" t="s">
        <v>9801</v>
      </c>
      <c r="AW294" s="15" t="s">
        <v>9802</v>
      </c>
      <c r="AX294" s="18"/>
      <c r="AY294" s="15" t="s">
        <v>9803</v>
      </c>
      <c r="AZ294" s="15" t="s">
        <v>8440</v>
      </c>
      <c r="BA294" s="15" t="s">
        <v>2839</v>
      </c>
      <c r="BB294" s="15" t="s">
        <v>9804</v>
      </c>
      <c r="BC294" s="15" t="s">
        <v>5394</v>
      </c>
      <c r="BD294" s="15" t="s">
        <v>2842</v>
      </c>
      <c r="BE294" s="15" t="s">
        <v>9805</v>
      </c>
      <c r="BF294" s="18"/>
      <c r="BG294" s="18"/>
      <c r="BH294" s="18"/>
      <c r="BI294" s="18"/>
      <c r="BJ294" s="19" t="s">
        <v>9806</v>
      </c>
      <c r="BK294" s="19" t="s">
        <v>9807</v>
      </c>
      <c r="BL294" s="19" t="s">
        <v>9808</v>
      </c>
      <c r="BM294" s="19" t="s">
        <v>9809</v>
      </c>
      <c r="BN294" s="18"/>
      <c r="BO294" s="19" t="s">
        <v>9810</v>
      </c>
      <c r="BP294" s="19" t="s">
        <v>9811</v>
      </c>
      <c r="BQ294" s="15" t="s">
        <v>1193</v>
      </c>
      <c r="BR294" s="26"/>
      <c r="BS294" s="26"/>
      <c r="BT294" s="26"/>
      <c r="BU294" s="26"/>
      <c r="BV294" s="26"/>
      <c r="BW294" s="26"/>
      <c r="BX294" s="26"/>
      <c r="BY294" s="18" t="str">
        <f t="shared" si="104"/>
        <v>E&amp;TC</v>
      </c>
      <c r="BZ294" s="24" t="str">
        <f t="shared" si="100"/>
        <v>https://drive.google.com/open?id=1lp3I17Mi_Grw432vMz25bZ_MnB8sv7Ep</v>
      </c>
      <c r="CA294" s="24" t="str">
        <f t="shared" si="101"/>
        <v>https://drive.google.com/open?id=1PcuHb4HnTJt-jlw88CB5w8IK2V88yPjA</v>
      </c>
      <c r="CB294" s="15" t="s">
        <v>2821</v>
      </c>
      <c r="CC294" s="15" t="s">
        <v>2821</v>
      </c>
      <c r="CD294" s="25" t="s">
        <v>2797</v>
      </c>
      <c r="CE294" s="18"/>
      <c r="CF294" s="18"/>
      <c r="CG294" s="18"/>
    </row>
    <row r="295" ht="18.75" hidden="1" customHeight="1">
      <c r="A295" s="14">
        <v>44742.66678366898</v>
      </c>
      <c r="B295" s="15" t="s">
        <v>1827</v>
      </c>
      <c r="C295" s="16" t="s">
        <v>9812</v>
      </c>
      <c r="D295" s="15" t="str">
        <f>IFERROR(__xludf.DUMMYFUNCTION("QUERY(TY_ALL_2023_Batch!$A$1:$E$824, ""SELECT E WHERE C='""&amp;B295&amp;""'"", 0)"),"E&amp;TC")</f>
        <v>E&amp;TC</v>
      </c>
      <c r="E295" s="15" t="s">
        <v>9813</v>
      </c>
      <c r="F295" s="15" t="s">
        <v>9814</v>
      </c>
      <c r="G295" s="15" t="s">
        <v>9815</v>
      </c>
      <c r="H295" s="15" t="s">
        <v>2785</v>
      </c>
      <c r="I295" s="17">
        <v>37323.0</v>
      </c>
      <c r="J295" s="15">
        <v>2019.0</v>
      </c>
      <c r="K295" s="15" t="s">
        <v>2786</v>
      </c>
      <c r="L295" s="15" t="s">
        <v>2787</v>
      </c>
      <c r="M295" s="18"/>
      <c r="N295" s="15" t="s">
        <v>9816</v>
      </c>
      <c r="O295" s="15" t="s">
        <v>1827</v>
      </c>
      <c r="P295" s="19" t="s">
        <v>9817</v>
      </c>
      <c r="Q295" s="15">
        <v>7.559298112E9</v>
      </c>
      <c r="R295" s="15">
        <v>7.559298112E9</v>
      </c>
      <c r="S295" s="15">
        <v>7.559298112E9</v>
      </c>
      <c r="T295" s="15" t="s">
        <v>9818</v>
      </c>
      <c r="U295" s="15" t="s">
        <v>9819</v>
      </c>
      <c r="V295" s="15" t="s">
        <v>9820</v>
      </c>
      <c r="W295" s="15" t="s">
        <v>9821</v>
      </c>
      <c r="X295" s="15">
        <v>84.0</v>
      </c>
      <c r="Y295" s="15" t="s">
        <v>2795</v>
      </c>
      <c r="Z295" s="15">
        <v>7.33</v>
      </c>
      <c r="AA295" s="15">
        <v>7.05</v>
      </c>
      <c r="AB295" s="15" t="s">
        <v>2796</v>
      </c>
      <c r="AC295" s="15" t="s">
        <v>2796</v>
      </c>
      <c r="AD295" s="15" t="s">
        <v>2796</v>
      </c>
      <c r="AE295" s="15" t="s">
        <v>2796</v>
      </c>
      <c r="AF295" s="15">
        <v>7.32</v>
      </c>
      <c r="AG295" s="15">
        <v>7.43</v>
      </c>
      <c r="AH295" s="15">
        <v>84.8</v>
      </c>
      <c r="AI295" s="18"/>
      <c r="AJ295" s="15" t="s">
        <v>2787</v>
      </c>
      <c r="AK295" s="15" t="s">
        <v>2787</v>
      </c>
      <c r="AL295" s="15">
        <v>551.0</v>
      </c>
      <c r="AM295" s="15">
        <v>630.0</v>
      </c>
      <c r="AN295" s="15" t="s">
        <v>2787</v>
      </c>
      <c r="AO295" s="15">
        <v>0.0</v>
      </c>
      <c r="AP295" s="15" t="s">
        <v>9822</v>
      </c>
      <c r="AQ295" s="15" t="s">
        <v>9823</v>
      </c>
      <c r="AR295" s="18"/>
      <c r="AS295" s="15" t="s">
        <v>5356</v>
      </c>
      <c r="AT295" s="18"/>
      <c r="AU295" s="18"/>
      <c r="AV295" s="18"/>
      <c r="AW295" s="15" t="s">
        <v>9824</v>
      </c>
      <c r="AX295" s="18"/>
      <c r="AY295" s="15" t="s">
        <v>9825</v>
      </c>
      <c r="AZ295" s="15" t="s">
        <v>5625</v>
      </c>
      <c r="BA295" s="15" t="s">
        <v>5552</v>
      </c>
      <c r="BB295" s="15" t="s">
        <v>8773</v>
      </c>
      <c r="BC295" s="15" t="s">
        <v>3893</v>
      </c>
      <c r="BD295" s="15" t="s">
        <v>6284</v>
      </c>
      <c r="BE295" s="15" t="s">
        <v>2796</v>
      </c>
      <c r="BF295" s="18"/>
      <c r="BG295" s="18"/>
      <c r="BH295" s="18"/>
      <c r="BI295" s="18"/>
      <c r="BJ295" s="19" t="s">
        <v>9826</v>
      </c>
      <c r="BK295" s="19" t="s">
        <v>9827</v>
      </c>
      <c r="BL295" s="19" t="s">
        <v>9828</v>
      </c>
      <c r="BM295" s="19" t="s">
        <v>9829</v>
      </c>
      <c r="BN295" s="19" t="s">
        <v>9830</v>
      </c>
      <c r="BO295" s="19" t="s">
        <v>9831</v>
      </c>
      <c r="BP295" s="19" t="s">
        <v>9832</v>
      </c>
      <c r="BQ295" s="15" t="s">
        <v>1193</v>
      </c>
      <c r="BR295" s="26"/>
      <c r="BS295" s="26"/>
      <c r="BT295" s="26"/>
      <c r="BU295" s="19" t="s">
        <v>9833</v>
      </c>
      <c r="BV295" s="19" t="s">
        <v>9834</v>
      </c>
      <c r="BW295" s="15" t="s">
        <v>9835</v>
      </c>
      <c r="BX295" s="26"/>
      <c r="BY295" s="18" t="str">
        <f t="shared" si="104"/>
        <v>E&amp;TC</v>
      </c>
      <c r="BZ295" s="24" t="str">
        <f t="shared" si="100"/>
        <v>https://drive.google.com/open?id=1tzZgKc0WZkgVOjWOjB2o5k69MFY2b0_j</v>
      </c>
      <c r="CA295" s="24" t="str">
        <f t="shared" si="101"/>
        <v>https://drive.google.com/open?id=1a5k69x5xBsr0_42LGVihwiGBzPc5SrTj</v>
      </c>
      <c r="CB295" s="15" t="s">
        <v>2821</v>
      </c>
      <c r="CC295" s="15" t="s">
        <v>2821</v>
      </c>
      <c r="CD295" s="25" t="s">
        <v>2797</v>
      </c>
      <c r="CE295" s="18"/>
      <c r="CF295" s="18"/>
      <c r="CG295" s="18"/>
    </row>
    <row r="296" ht="18.75" hidden="1" customHeight="1">
      <c r="A296" s="14">
        <v>44742.99790420139</v>
      </c>
      <c r="B296" s="15" t="s">
        <v>1842</v>
      </c>
      <c r="C296" s="16" t="s">
        <v>9836</v>
      </c>
      <c r="D296" s="15" t="str">
        <f>IFERROR(__xludf.DUMMYFUNCTION("QUERY(TY_ALL_2023_Batch!$A$1:$E$824, ""SELECT E WHERE C='""&amp;B296&amp;""'"", 0)"),"E&amp;TC")</f>
        <v>E&amp;TC</v>
      </c>
      <c r="E296" s="15" t="s">
        <v>8859</v>
      </c>
      <c r="F296" s="15" t="s">
        <v>9837</v>
      </c>
      <c r="G296" s="15" t="s">
        <v>5206</v>
      </c>
      <c r="H296" s="15" t="s">
        <v>2785</v>
      </c>
      <c r="I296" s="17">
        <v>37022.0</v>
      </c>
      <c r="J296" s="15">
        <v>2019.0</v>
      </c>
      <c r="K296" s="15" t="s">
        <v>2786</v>
      </c>
      <c r="L296" s="15" t="s">
        <v>2787</v>
      </c>
      <c r="M296" s="18"/>
      <c r="N296" s="15" t="s">
        <v>9838</v>
      </c>
      <c r="O296" s="15" t="s">
        <v>1842</v>
      </c>
      <c r="P296" s="19" t="s">
        <v>9839</v>
      </c>
      <c r="Q296" s="15">
        <v>7.03876292E9</v>
      </c>
      <c r="R296" s="15">
        <v>7.03876292E9</v>
      </c>
      <c r="S296" s="18"/>
      <c r="T296" s="15" t="s">
        <v>9840</v>
      </c>
      <c r="U296" s="15" t="s">
        <v>9841</v>
      </c>
      <c r="V296" s="15" t="s">
        <v>9842</v>
      </c>
      <c r="W296" s="15" t="s">
        <v>9843</v>
      </c>
      <c r="X296" s="15">
        <v>91.4</v>
      </c>
      <c r="Y296" s="15" t="s">
        <v>2795</v>
      </c>
      <c r="Z296" s="15">
        <v>8.62</v>
      </c>
      <c r="AA296" s="15">
        <v>8.4</v>
      </c>
      <c r="AB296" s="15" t="s">
        <v>2796</v>
      </c>
      <c r="AC296" s="15" t="s">
        <v>2796</v>
      </c>
      <c r="AD296" s="15" t="s">
        <v>2796</v>
      </c>
      <c r="AE296" s="15" t="s">
        <v>2796</v>
      </c>
      <c r="AF296" s="15">
        <v>8.21</v>
      </c>
      <c r="AG296" s="15">
        <v>7.67</v>
      </c>
      <c r="AH296" s="15">
        <v>72.92</v>
      </c>
      <c r="AI296" s="18"/>
      <c r="AJ296" s="15" t="s">
        <v>2787</v>
      </c>
      <c r="AK296" s="15" t="s">
        <v>2787</v>
      </c>
      <c r="AL296" s="15">
        <v>642.0</v>
      </c>
      <c r="AM296" s="15">
        <v>632.0</v>
      </c>
      <c r="AN296" s="15" t="s">
        <v>2797</v>
      </c>
      <c r="AO296" s="18"/>
      <c r="AP296" s="18"/>
      <c r="AQ296" s="15" t="s">
        <v>9844</v>
      </c>
      <c r="AR296" s="18"/>
      <c r="AS296" s="18"/>
      <c r="AT296" s="18"/>
      <c r="AU296" s="15" t="s">
        <v>9845</v>
      </c>
      <c r="AV296" s="18"/>
      <c r="AW296" s="15" t="s">
        <v>9846</v>
      </c>
      <c r="AX296" s="18"/>
      <c r="AY296" s="15" t="s">
        <v>9847</v>
      </c>
      <c r="AZ296" s="15" t="s">
        <v>4670</v>
      </c>
      <c r="BA296" s="15" t="s">
        <v>5552</v>
      </c>
      <c r="BB296" s="15" t="s">
        <v>5673</v>
      </c>
      <c r="BC296" s="15" t="s">
        <v>8295</v>
      </c>
      <c r="BD296" s="15" t="s">
        <v>2807</v>
      </c>
      <c r="BE296" s="15" t="s">
        <v>9848</v>
      </c>
      <c r="BF296" s="18"/>
      <c r="BG296" s="18"/>
      <c r="BH296" s="15" t="s">
        <v>9849</v>
      </c>
      <c r="BI296" s="15" t="s">
        <v>9850</v>
      </c>
      <c r="BJ296" s="19" t="s">
        <v>9851</v>
      </c>
      <c r="BK296" s="19" t="s">
        <v>9852</v>
      </c>
      <c r="BL296" s="19" t="s">
        <v>9853</v>
      </c>
      <c r="BM296" s="19" t="s">
        <v>9854</v>
      </c>
      <c r="BN296" s="18"/>
      <c r="BO296" s="19" t="s">
        <v>9855</v>
      </c>
      <c r="BP296" s="19" t="s">
        <v>9856</v>
      </c>
      <c r="BQ296" s="15" t="s">
        <v>1193</v>
      </c>
      <c r="BR296" s="26"/>
      <c r="BS296" s="26"/>
      <c r="BT296" s="19" t="s">
        <v>9857</v>
      </c>
      <c r="BU296" s="26"/>
      <c r="BV296" s="26"/>
      <c r="BW296" s="15" t="s">
        <v>9858</v>
      </c>
      <c r="BX296" s="26"/>
      <c r="BY296" s="18" t="str">
        <f t="shared" si="104"/>
        <v>E&amp;TC</v>
      </c>
      <c r="BZ296" s="24" t="str">
        <f t="shared" si="100"/>
        <v>https://drive.google.com/open?id=14of9h1mEHXBNdv3_Y1pj4Vdk_t3awqBj</v>
      </c>
      <c r="CA296" s="24" t="str">
        <f t="shared" si="101"/>
        <v>https://drive.google.com/open?id=1CiHxLTdCPYlbAJ1hXa6SzNwo7gKfzPEX</v>
      </c>
      <c r="CB296" s="15" t="s">
        <v>2821</v>
      </c>
      <c r="CC296" s="15" t="s">
        <v>2821</v>
      </c>
      <c r="CD296" s="25" t="s">
        <v>2787</v>
      </c>
      <c r="CE296" s="18"/>
      <c r="CF296" s="18"/>
      <c r="CG296" s="18"/>
    </row>
    <row r="297" ht="18.75" hidden="1" customHeight="1">
      <c r="A297" s="14">
        <v>44735.97577092593</v>
      </c>
      <c r="B297" s="15" t="s">
        <v>1863</v>
      </c>
      <c r="C297" s="16" t="s">
        <v>9859</v>
      </c>
      <c r="D297" s="15" t="str">
        <f>IFERROR(__xludf.DUMMYFUNCTION("QUERY(TY_ALL_2023_Batch!$A$1:$E$824, ""SELECT E WHERE C='""&amp;B297&amp;""'"", 0)"),"E&amp;TC")</f>
        <v>E&amp;TC</v>
      </c>
      <c r="E297" s="15" t="s">
        <v>3328</v>
      </c>
      <c r="F297" s="15" t="s">
        <v>9860</v>
      </c>
      <c r="G297" s="15" t="s">
        <v>9861</v>
      </c>
      <c r="H297" s="15" t="s">
        <v>2785</v>
      </c>
      <c r="I297" s="17">
        <v>37041.0</v>
      </c>
      <c r="J297" s="15">
        <v>2019.0</v>
      </c>
      <c r="K297" s="15" t="s">
        <v>2786</v>
      </c>
      <c r="L297" s="15" t="s">
        <v>2787</v>
      </c>
      <c r="M297" s="18"/>
      <c r="N297" s="15" t="s">
        <v>9862</v>
      </c>
      <c r="O297" s="15" t="s">
        <v>1863</v>
      </c>
      <c r="P297" s="19" t="s">
        <v>9863</v>
      </c>
      <c r="Q297" s="15">
        <v>8.329130168E9</v>
      </c>
      <c r="R297" s="15">
        <v>8.329130168E9</v>
      </c>
      <c r="S297" s="15">
        <v>9.175312028E9</v>
      </c>
      <c r="T297" s="15" t="s">
        <v>9860</v>
      </c>
      <c r="U297" s="15" t="s">
        <v>6682</v>
      </c>
      <c r="V297" s="15" t="s">
        <v>9864</v>
      </c>
      <c r="W297" s="15" t="s">
        <v>9865</v>
      </c>
      <c r="X297" s="15">
        <v>70.2</v>
      </c>
      <c r="Y297" s="15" t="s">
        <v>2795</v>
      </c>
      <c r="Z297" s="15">
        <v>6.48</v>
      </c>
      <c r="AA297" s="15">
        <v>6.5</v>
      </c>
      <c r="AB297" s="15" t="s">
        <v>3005</v>
      </c>
      <c r="AC297" s="15" t="s">
        <v>3005</v>
      </c>
      <c r="AD297" s="15" t="s">
        <v>2796</v>
      </c>
      <c r="AE297" s="15" t="s">
        <v>2796</v>
      </c>
      <c r="AF297" s="15">
        <v>7.06</v>
      </c>
      <c r="AG297" s="15">
        <v>7.33</v>
      </c>
      <c r="AH297" s="15">
        <v>56.4</v>
      </c>
      <c r="AI297" s="18"/>
      <c r="AJ297" s="15" t="s">
        <v>2787</v>
      </c>
      <c r="AK297" s="15" t="s">
        <v>2787</v>
      </c>
      <c r="AL297" s="15">
        <v>77.0</v>
      </c>
      <c r="AM297" s="15">
        <v>88.0</v>
      </c>
      <c r="AN297" s="15" t="s">
        <v>2787</v>
      </c>
      <c r="AO297" s="18"/>
      <c r="AP297" s="15" t="s">
        <v>9866</v>
      </c>
      <c r="AQ297" s="15" t="s">
        <v>9867</v>
      </c>
      <c r="AR297" s="18"/>
      <c r="AS297" s="15" t="s">
        <v>9868</v>
      </c>
      <c r="AT297" s="18"/>
      <c r="AU297" s="18"/>
      <c r="AV297" s="15" t="s">
        <v>9869</v>
      </c>
      <c r="AW297" s="15" t="s">
        <v>9870</v>
      </c>
      <c r="AX297" s="18"/>
      <c r="AY297" s="15" t="s">
        <v>2796</v>
      </c>
      <c r="AZ297" s="15" t="s">
        <v>4670</v>
      </c>
      <c r="BA297" s="15" t="s">
        <v>2899</v>
      </c>
      <c r="BB297" s="15" t="s">
        <v>2807</v>
      </c>
      <c r="BC297" s="15" t="s">
        <v>9871</v>
      </c>
      <c r="BD297" s="15" t="s">
        <v>2807</v>
      </c>
      <c r="BE297" s="15" t="s">
        <v>2796</v>
      </c>
      <c r="BF297" s="18"/>
      <c r="BG297" s="18"/>
      <c r="BH297" s="15" t="s">
        <v>9872</v>
      </c>
      <c r="BI297" s="15" t="s">
        <v>9873</v>
      </c>
      <c r="BJ297" s="19" t="s">
        <v>9874</v>
      </c>
      <c r="BK297" s="19" t="s">
        <v>9875</v>
      </c>
      <c r="BL297" s="19" t="s">
        <v>9876</v>
      </c>
      <c r="BM297" s="19" t="s">
        <v>9877</v>
      </c>
      <c r="BN297" s="19" t="s">
        <v>9878</v>
      </c>
      <c r="BO297" s="19" t="s">
        <v>9879</v>
      </c>
      <c r="BP297" s="18"/>
      <c r="BQ297" s="15" t="s">
        <v>1193</v>
      </c>
      <c r="BR297" s="26"/>
      <c r="BS297" s="26"/>
      <c r="BT297" s="26"/>
      <c r="BU297" s="26"/>
      <c r="BV297" s="26"/>
      <c r="BW297" s="26"/>
      <c r="BX297" s="26"/>
      <c r="BY297" s="18" t="str">
        <f t="shared" si="104"/>
        <v>E&amp;TC</v>
      </c>
      <c r="BZ297" s="24" t="str">
        <f t="shared" si="100"/>
        <v>https://drive.google.com/open?id=1gzyQIHA8Flk_EGlQt3uT2iExNSnfLG4d</v>
      </c>
      <c r="CA297" s="24" t="str">
        <f t="shared" si="101"/>
        <v>https://drive.google.com/open?id=1fw-Ou5NfLmLhTOtuCprbmUKHiZnILA8u</v>
      </c>
      <c r="CB297" s="15" t="s">
        <v>2821</v>
      </c>
      <c r="CC297" s="15" t="s">
        <v>2821</v>
      </c>
      <c r="CD297" s="25" t="s">
        <v>2797</v>
      </c>
      <c r="CE297" s="18"/>
      <c r="CF297" s="18"/>
      <c r="CG297" s="18"/>
    </row>
    <row r="298" ht="18.75" hidden="1" customHeight="1">
      <c r="A298" s="14">
        <v>44756.96430953704</v>
      </c>
      <c r="B298" s="15" t="s">
        <v>2016</v>
      </c>
      <c r="C298" s="16" t="s">
        <v>9880</v>
      </c>
      <c r="D298" s="15" t="str">
        <f>IFERROR(__xludf.DUMMYFUNCTION("QUERY(TY_ALL_2023_Batch!$A$1:$E$824, ""SELECT E WHERE C='""&amp;B298&amp;""'"", 0)"),"E&amp;TC")</f>
        <v>E&amp;TC</v>
      </c>
      <c r="E298" s="15" t="s">
        <v>5324</v>
      </c>
      <c r="F298" s="15" t="s">
        <v>3806</v>
      </c>
      <c r="G298" s="15" t="s">
        <v>5691</v>
      </c>
      <c r="H298" s="15" t="s">
        <v>2826</v>
      </c>
      <c r="I298" s="17">
        <v>37255.0</v>
      </c>
      <c r="J298" s="15">
        <v>2019.0</v>
      </c>
      <c r="K298" s="15" t="s">
        <v>2786</v>
      </c>
      <c r="L298" s="15" t="s">
        <v>2787</v>
      </c>
      <c r="M298" s="18"/>
      <c r="N298" s="15" t="s">
        <v>9881</v>
      </c>
      <c r="O298" s="15" t="s">
        <v>2016</v>
      </c>
      <c r="P298" s="19" t="s">
        <v>9882</v>
      </c>
      <c r="Q298" s="15">
        <v>7.775830346E9</v>
      </c>
      <c r="R298" s="15">
        <v>7.775830346E9</v>
      </c>
      <c r="S298" s="15">
        <v>9.764378609E9</v>
      </c>
      <c r="T298" s="15" t="s">
        <v>9883</v>
      </c>
      <c r="U298" s="15" t="s">
        <v>9884</v>
      </c>
      <c r="V298" s="15" t="s">
        <v>9885</v>
      </c>
      <c r="W298" s="15" t="s">
        <v>9886</v>
      </c>
      <c r="X298" s="15">
        <v>87.0</v>
      </c>
      <c r="Y298" s="15" t="s">
        <v>2795</v>
      </c>
      <c r="Z298" s="15">
        <v>8.52</v>
      </c>
      <c r="AA298" s="15">
        <v>8.4</v>
      </c>
      <c r="AB298" s="15" t="s">
        <v>2796</v>
      </c>
      <c r="AC298" s="15" t="s">
        <v>2796</v>
      </c>
      <c r="AD298" s="15" t="s">
        <v>2796</v>
      </c>
      <c r="AE298" s="15" t="s">
        <v>2796</v>
      </c>
      <c r="AF298" s="15">
        <v>8.58</v>
      </c>
      <c r="AG298" s="15">
        <v>8.9</v>
      </c>
      <c r="AH298" s="15">
        <v>78.0</v>
      </c>
      <c r="AI298" s="18"/>
      <c r="AJ298" s="15" t="s">
        <v>2787</v>
      </c>
      <c r="AK298" s="15" t="s">
        <v>2787</v>
      </c>
      <c r="AL298" s="15">
        <v>568.33</v>
      </c>
      <c r="AM298" s="15">
        <v>631.5</v>
      </c>
      <c r="AN298" s="15" t="s">
        <v>2797</v>
      </c>
      <c r="AO298" s="15">
        <v>0.0</v>
      </c>
      <c r="AP298" s="15">
        <v>0.0</v>
      </c>
      <c r="AQ298" s="15" t="s">
        <v>9887</v>
      </c>
      <c r="AR298" s="18"/>
      <c r="AS298" s="15" t="s">
        <v>9887</v>
      </c>
      <c r="AT298" s="18"/>
      <c r="AU298" s="15" t="s">
        <v>2796</v>
      </c>
      <c r="AV298" s="15" t="s">
        <v>9888</v>
      </c>
      <c r="AW298" s="15" t="s">
        <v>9889</v>
      </c>
      <c r="AX298" s="18"/>
      <c r="AY298" s="15" t="s">
        <v>9890</v>
      </c>
      <c r="AZ298" s="15" t="s">
        <v>5287</v>
      </c>
      <c r="BA298" s="15" t="s">
        <v>5392</v>
      </c>
      <c r="BB298" s="15" t="s">
        <v>9548</v>
      </c>
      <c r="BC298" s="15" t="s">
        <v>8295</v>
      </c>
      <c r="BD298" s="15" t="s">
        <v>2842</v>
      </c>
      <c r="BE298" s="15" t="s">
        <v>9891</v>
      </c>
      <c r="BF298" s="18"/>
      <c r="BG298" s="18"/>
      <c r="BH298" s="15" t="s">
        <v>5548</v>
      </c>
      <c r="BI298" s="18"/>
      <c r="BJ298" s="19" t="s">
        <v>9892</v>
      </c>
      <c r="BK298" s="19" t="s">
        <v>9893</v>
      </c>
      <c r="BL298" s="18"/>
      <c r="BM298" s="18"/>
      <c r="BN298" s="19" t="s">
        <v>9894</v>
      </c>
      <c r="BO298" s="19" t="s">
        <v>9895</v>
      </c>
      <c r="BP298" s="18"/>
      <c r="BQ298" s="15" t="s">
        <v>1193</v>
      </c>
      <c r="BR298" s="18"/>
      <c r="BS298" s="18"/>
      <c r="BT298" s="19" t="s">
        <v>9896</v>
      </c>
      <c r="BU298" s="18"/>
      <c r="BV298" s="18"/>
      <c r="BW298" s="15" t="s">
        <v>9897</v>
      </c>
      <c r="BX298" s="18"/>
      <c r="BY298" s="18" t="str">
        <f t="shared" si="104"/>
        <v>E&amp;TC</v>
      </c>
      <c r="BZ298" s="18" t="str">
        <f t="shared" si="100"/>
        <v/>
      </c>
      <c r="CA298" s="18" t="str">
        <f t="shared" si="101"/>
        <v/>
      </c>
      <c r="CB298" s="15" t="s">
        <v>2908</v>
      </c>
      <c r="CC298" s="15" t="s">
        <v>2908</v>
      </c>
      <c r="CD298" s="25" t="s">
        <v>2797</v>
      </c>
      <c r="CE298" s="18"/>
      <c r="CF298" s="18"/>
      <c r="CG298" s="18"/>
    </row>
    <row r="299" ht="18.75" hidden="1" customHeight="1">
      <c r="A299" s="14">
        <v>44742.97156910879</v>
      </c>
      <c r="B299" s="15" t="s">
        <v>1776</v>
      </c>
      <c r="C299" s="16" t="s">
        <v>9898</v>
      </c>
      <c r="D299" s="15" t="str">
        <f>IFERROR(__xludf.DUMMYFUNCTION("QUERY(TY_ALL_2023_Batch!$A$1:$E$824, ""SELECT E WHERE C='""&amp;B299&amp;""'"", 0)"),"E&amp;TC")</f>
        <v>E&amp;TC</v>
      </c>
      <c r="E299" s="15" t="s">
        <v>8904</v>
      </c>
      <c r="F299" s="18"/>
      <c r="G299" s="15" t="s">
        <v>4542</v>
      </c>
      <c r="H299" s="15" t="s">
        <v>2785</v>
      </c>
      <c r="I299" s="17">
        <v>36954.0</v>
      </c>
      <c r="J299" s="15">
        <v>2019.0</v>
      </c>
      <c r="K299" s="15" t="s">
        <v>2786</v>
      </c>
      <c r="L299" s="15" t="s">
        <v>2787</v>
      </c>
      <c r="M299" s="18"/>
      <c r="N299" s="15" t="s">
        <v>9899</v>
      </c>
      <c r="O299" s="15" t="s">
        <v>1776</v>
      </c>
      <c r="P299" s="19" t="s">
        <v>9900</v>
      </c>
      <c r="Q299" s="15">
        <v>8.793059881E9</v>
      </c>
      <c r="R299" s="15">
        <v>8.793059881E9</v>
      </c>
      <c r="S299" s="15">
        <v>9.529477916E9</v>
      </c>
      <c r="T299" s="15" t="s">
        <v>9901</v>
      </c>
      <c r="U299" s="15" t="s">
        <v>9902</v>
      </c>
      <c r="V299" s="15" t="s">
        <v>9903</v>
      </c>
      <c r="W299" s="18"/>
      <c r="X299" s="15">
        <v>81.7</v>
      </c>
      <c r="Y299" s="15" t="s">
        <v>2795</v>
      </c>
      <c r="Z299" s="15">
        <v>9.05</v>
      </c>
      <c r="AA299" s="15">
        <v>8.95</v>
      </c>
      <c r="AB299" s="15" t="s">
        <v>2796</v>
      </c>
      <c r="AC299" s="15" t="s">
        <v>2796</v>
      </c>
      <c r="AD299" s="15" t="s">
        <v>3006</v>
      </c>
      <c r="AE299" s="15" t="s">
        <v>2796</v>
      </c>
      <c r="AF299" s="15">
        <v>7.42</v>
      </c>
      <c r="AG299" s="15">
        <v>8.1</v>
      </c>
      <c r="AH299" s="15">
        <v>70.0</v>
      </c>
      <c r="AI299" s="18"/>
      <c r="AJ299" s="15" t="s">
        <v>2787</v>
      </c>
      <c r="AK299" s="15" t="s">
        <v>2787</v>
      </c>
      <c r="AL299" s="35">
        <v>0.95</v>
      </c>
      <c r="AM299" s="15" t="s">
        <v>2796</v>
      </c>
      <c r="AN299" s="15" t="s">
        <v>2787</v>
      </c>
      <c r="AO299" s="15" t="s">
        <v>2796</v>
      </c>
      <c r="AP299" s="15" t="s">
        <v>9904</v>
      </c>
      <c r="AQ299" s="15" t="s">
        <v>7880</v>
      </c>
      <c r="AR299" s="18"/>
      <c r="AS299" s="18"/>
      <c r="AT299" s="18"/>
      <c r="AU299" s="15" t="s">
        <v>9905</v>
      </c>
      <c r="AV299" s="15" t="s">
        <v>9906</v>
      </c>
      <c r="AW299" s="15" t="s">
        <v>9907</v>
      </c>
      <c r="AX299" s="18"/>
      <c r="AY299" s="15" t="s">
        <v>9908</v>
      </c>
      <c r="AZ299" s="15" t="s">
        <v>5335</v>
      </c>
      <c r="BA299" s="15" t="s">
        <v>6216</v>
      </c>
      <c r="BB299" s="15" t="s">
        <v>3462</v>
      </c>
      <c r="BC299" s="15" t="s">
        <v>4746</v>
      </c>
      <c r="BD299" s="15" t="s">
        <v>2807</v>
      </c>
      <c r="BE299" s="15" t="s">
        <v>9909</v>
      </c>
      <c r="BF299" s="15" t="s">
        <v>9910</v>
      </c>
      <c r="BG299" s="18"/>
      <c r="BH299" s="18"/>
      <c r="BI299" s="15" t="s">
        <v>9911</v>
      </c>
      <c r="BJ299" s="19" t="s">
        <v>9912</v>
      </c>
      <c r="BK299" s="19" t="s">
        <v>9913</v>
      </c>
      <c r="BL299" s="19" t="s">
        <v>9914</v>
      </c>
      <c r="BM299" s="18"/>
      <c r="BN299" s="18"/>
      <c r="BO299" s="19" t="s">
        <v>9915</v>
      </c>
      <c r="BP299" s="19" t="s">
        <v>9916</v>
      </c>
      <c r="BQ299" s="15" t="s">
        <v>1193</v>
      </c>
      <c r="BR299" s="26"/>
      <c r="BS299" s="26"/>
      <c r="BT299" s="19" t="s">
        <v>9917</v>
      </c>
      <c r="BU299" s="26"/>
      <c r="BV299" s="26"/>
      <c r="BW299" s="15" t="s">
        <v>9918</v>
      </c>
      <c r="BX299" s="26"/>
      <c r="BY299" s="18" t="str">
        <f t="shared" si="104"/>
        <v>E&amp;TC</v>
      </c>
      <c r="BZ299" s="24" t="str">
        <f t="shared" si="100"/>
        <v>https://drive.google.com/open?id=16zYO2aMoMT5fZKYjCjdHIuFtqlo1-18M</v>
      </c>
      <c r="CA299" s="18" t="str">
        <f t="shared" si="101"/>
        <v/>
      </c>
      <c r="CB299" s="15" t="s">
        <v>2821</v>
      </c>
      <c r="CC299" s="15" t="s">
        <v>2908</v>
      </c>
      <c r="CD299" s="25" t="s">
        <v>2787</v>
      </c>
      <c r="CE299" s="18"/>
      <c r="CF299" s="18"/>
      <c r="CG299" s="18"/>
    </row>
    <row r="300" ht="18.75" hidden="1" customHeight="1">
      <c r="A300" s="14">
        <v>44734.499212118055</v>
      </c>
      <c r="B300" s="15" t="s">
        <v>1791</v>
      </c>
      <c r="C300" s="16" t="s">
        <v>9919</v>
      </c>
      <c r="D300" s="15" t="str">
        <f>IFERROR(__xludf.DUMMYFUNCTION("QUERY(TY_ALL_2023_Batch!$A$1:$E$824, ""SELECT E WHERE C='""&amp;B300&amp;""'"", 0)"),"E&amp;TC")</f>
        <v>E&amp;TC</v>
      </c>
      <c r="E300" s="15" t="s">
        <v>3498</v>
      </c>
      <c r="F300" s="15" t="s">
        <v>3023</v>
      </c>
      <c r="G300" s="15" t="s">
        <v>9920</v>
      </c>
      <c r="H300" s="15" t="s">
        <v>2785</v>
      </c>
      <c r="I300" s="17">
        <v>36945.0</v>
      </c>
      <c r="J300" s="15">
        <v>2019.0</v>
      </c>
      <c r="K300" s="15" t="s">
        <v>2786</v>
      </c>
      <c r="L300" s="15" t="s">
        <v>2787</v>
      </c>
      <c r="M300" s="18"/>
      <c r="N300" s="15" t="s">
        <v>9921</v>
      </c>
      <c r="O300" s="15" t="s">
        <v>1791</v>
      </c>
      <c r="P300" s="19" t="s">
        <v>9922</v>
      </c>
      <c r="Q300" s="15">
        <v>9.518794785E9</v>
      </c>
      <c r="R300" s="15">
        <v>9.518794785E9</v>
      </c>
      <c r="S300" s="15">
        <v>9.518794785E9</v>
      </c>
      <c r="T300" s="15" t="s">
        <v>3023</v>
      </c>
      <c r="U300" s="15" t="s">
        <v>2891</v>
      </c>
      <c r="V300" s="15" t="s">
        <v>9923</v>
      </c>
      <c r="W300" s="15" t="s">
        <v>9923</v>
      </c>
      <c r="X300" s="15">
        <v>85.8</v>
      </c>
      <c r="Y300" s="15" t="s">
        <v>2795</v>
      </c>
      <c r="Z300" s="15">
        <v>8.28</v>
      </c>
      <c r="AA300" s="15">
        <v>7.54</v>
      </c>
      <c r="AB300" s="15" t="s">
        <v>2796</v>
      </c>
      <c r="AC300" s="15" t="s">
        <v>2796</v>
      </c>
      <c r="AD300" s="15" t="s">
        <v>2796</v>
      </c>
      <c r="AE300" s="15" t="s">
        <v>2796</v>
      </c>
      <c r="AF300" s="15">
        <v>7.9</v>
      </c>
      <c r="AG300" s="15">
        <v>5.6</v>
      </c>
      <c r="AH300" s="15">
        <v>66.15</v>
      </c>
      <c r="AI300" s="18"/>
      <c r="AJ300" s="15" t="s">
        <v>2787</v>
      </c>
      <c r="AK300" s="15" t="s">
        <v>2787</v>
      </c>
      <c r="AL300" s="15">
        <v>69.0</v>
      </c>
      <c r="AM300" s="15">
        <v>61.0</v>
      </c>
      <c r="AN300" s="15" t="s">
        <v>2797</v>
      </c>
      <c r="AO300" s="18"/>
      <c r="AP300" s="18"/>
      <c r="AQ300" s="15" t="s">
        <v>4191</v>
      </c>
      <c r="AR300" s="18"/>
      <c r="AS300" s="18"/>
      <c r="AT300" s="18"/>
      <c r="AU300" s="15" t="s">
        <v>2796</v>
      </c>
      <c r="AV300" s="15" t="s">
        <v>9924</v>
      </c>
      <c r="AW300" s="15" t="s">
        <v>9925</v>
      </c>
      <c r="AX300" s="18"/>
      <c r="AY300" s="15" t="s">
        <v>9926</v>
      </c>
      <c r="AZ300" s="15" t="s">
        <v>4670</v>
      </c>
      <c r="BA300" s="15" t="s">
        <v>5552</v>
      </c>
      <c r="BB300" s="15" t="s">
        <v>2807</v>
      </c>
      <c r="BC300" s="15" t="s">
        <v>4746</v>
      </c>
      <c r="BD300" s="15" t="s">
        <v>2807</v>
      </c>
      <c r="BE300" s="15" t="s">
        <v>2796</v>
      </c>
      <c r="BF300" s="18"/>
      <c r="BG300" s="18"/>
      <c r="BH300" s="18"/>
      <c r="BI300" s="18"/>
      <c r="BJ300" s="19" t="s">
        <v>9927</v>
      </c>
      <c r="BK300" s="19" t="s">
        <v>9928</v>
      </c>
      <c r="BL300" s="19" t="s">
        <v>9929</v>
      </c>
      <c r="BM300" s="20" t="s">
        <v>9930</v>
      </c>
      <c r="BN300" s="18"/>
      <c r="BO300" s="19" t="s">
        <v>9931</v>
      </c>
      <c r="BP300" s="19" t="s">
        <v>9932</v>
      </c>
      <c r="BQ300" s="15" t="s">
        <v>1193</v>
      </c>
      <c r="BR300" s="26"/>
      <c r="BS300" s="26"/>
      <c r="BT300" s="26"/>
      <c r="BU300" s="26"/>
      <c r="BV300" s="26"/>
      <c r="BW300" s="26"/>
      <c r="BX300" s="26"/>
      <c r="BY300" s="18" t="str">
        <f t="shared" si="104"/>
        <v>E&amp;TC</v>
      </c>
      <c r="BZ300" s="24" t="str">
        <f t="shared" si="100"/>
        <v>https://drive.google.com/open?id=1REGDJGlt3U8I14Ty664bf9W0VTG-YM2Y</v>
      </c>
      <c r="CA300" s="24" t="str">
        <f t="shared" si="101"/>
        <v>https://drive.google.com/open?id=1F1SAjCYLVLsQE0u521imKnNpMwJxcyLc</v>
      </c>
      <c r="CB300" s="15" t="s">
        <v>2821</v>
      </c>
      <c r="CC300" s="15" t="s">
        <v>2821</v>
      </c>
      <c r="CD300" s="25" t="s">
        <v>2797</v>
      </c>
      <c r="CE300" s="18"/>
      <c r="CF300" s="18"/>
      <c r="CG300" s="18"/>
    </row>
    <row r="301" ht="18.75" hidden="1" customHeight="1">
      <c r="A301" s="14">
        <v>44734.567388298616</v>
      </c>
      <c r="B301" s="15" t="s">
        <v>1749</v>
      </c>
      <c r="C301" s="16" t="s">
        <v>9933</v>
      </c>
      <c r="D301" s="15" t="str">
        <f>IFERROR(__xludf.DUMMYFUNCTION("QUERY(TY_ALL_2023_Batch!$A$1:$E$824, ""SELECT E WHERE C='""&amp;B301&amp;""'"", 0)"),"E&amp;TC")</f>
        <v>E&amp;TC</v>
      </c>
      <c r="E301" s="15" t="s">
        <v>9934</v>
      </c>
      <c r="F301" s="15" t="s">
        <v>2939</v>
      </c>
      <c r="G301" s="15" t="s">
        <v>9935</v>
      </c>
      <c r="H301" s="15" t="s">
        <v>2785</v>
      </c>
      <c r="I301" s="17">
        <v>37089.0</v>
      </c>
      <c r="J301" s="15">
        <v>2019.0</v>
      </c>
      <c r="K301" s="15" t="s">
        <v>2786</v>
      </c>
      <c r="L301" s="15" t="s">
        <v>2787</v>
      </c>
      <c r="M301" s="18"/>
      <c r="N301" s="15" t="s">
        <v>9936</v>
      </c>
      <c r="O301" s="15" t="s">
        <v>1749</v>
      </c>
      <c r="P301" s="19" t="s">
        <v>9937</v>
      </c>
      <c r="Q301" s="15">
        <v>9.834250862E9</v>
      </c>
      <c r="R301" s="15">
        <v>9.834250862E9</v>
      </c>
      <c r="S301" s="15">
        <v>9.225249911E9</v>
      </c>
      <c r="T301" s="15" t="s">
        <v>9938</v>
      </c>
      <c r="U301" s="15" t="s">
        <v>9939</v>
      </c>
      <c r="V301" s="15" t="s">
        <v>9940</v>
      </c>
      <c r="W301" s="15" t="s">
        <v>9941</v>
      </c>
      <c r="X301" s="15">
        <v>84.0</v>
      </c>
      <c r="Y301" s="15" t="s">
        <v>2795</v>
      </c>
      <c r="Z301" s="15">
        <v>8.19</v>
      </c>
      <c r="AA301" s="15">
        <v>8.0</v>
      </c>
      <c r="AB301" s="15" t="s">
        <v>2796</v>
      </c>
      <c r="AC301" s="15" t="s">
        <v>2796</v>
      </c>
      <c r="AD301" s="15" t="s">
        <v>2796</v>
      </c>
      <c r="AE301" s="15" t="s">
        <v>2796</v>
      </c>
      <c r="AF301" s="15">
        <v>7.14</v>
      </c>
      <c r="AG301" s="15">
        <v>7.89</v>
      </c>
      <c r="AH301" s="15">
        <v>64.46</v>
      </c>
      <c r="AI301" s="18"/>
      <c r="AJ301" s="15" t="s">
        <v>2787</v>
      </c>
      <c r="AK301" s="15" t="s">
        <v>2787</v>
      </c>
      <c r="AL301" s="15">
        <v>600.0</v>
      </c>
      <c r="AM301" s="15">
        <v>596.0</v>
      </c>
      <c r="AN301" s="15" t="s">
        <v>2797</v>
      </c>
      <c r="AO301" s="18"/>
      <c r="AP301" s="15" t="s">
        <v>9942</v>
      </c>
      <c r="AQ301" s="15" t="s">
        <v>9943</v>
      </c>
      <c r="AR301" s="15" t="s">
        <v>5282</v>
      </c>
      <c r="AS301" s="18"/>
      <c r="AT301" s="18"/>
      <c r="AU301" s="18"/>
      <c r="AV301" s="18"/>
      <c r="AW301" s="15" t="s">
        <v>9944</v>
      </c>
      <c r="AX301" s="18"/>
      <c r="AY301" s="15" t="s">
        <v>9945</v>
      </c>
      <c r="AZ301" s="15" t="s">
        <v>4670</v>
      </c>
      <c r="BA301" s="15" t="s">
        <v>5552</v>
      </c>
      <c r="BB301" s="15" t="s">
        <v>4504</v>
      </c>
      <c r="BC301" s="15" t="s">
        <v>5604</v>
      </c>
      <c r="BD301" s="15" t="s">
        <v>2807</v>
      </c>
      <c r="BE301" s="15" t="s">
        <v>9946</v>
      </c>
      <c r="BF301" s="18"/>
      <c r="BG301" s="18"/>
      <c r="BH301" s="18"/>
      <c r="BI301" s="18"/>
      <c r="BJ301" s="19" t="s">
        <v>9947</v>
      </c>
      <c r="BK301" s="19" t="s">
        <v>9948</v>
      </c>
      <c r="BL301" s="18"/>
      <c r="BM301" s="19" t="s">
        <v>9949</v>
      </c>
      <c r="BN301" s="19" t="s">
        <v>9950</v>
      </c>
      <c r="BO301" s="19" t="s">
        <v>9951</v>
      </c>
      <c r="BP301" s="19" t="s">
        <v>9952</v>
      </c>
      <c r="BQ301" s="15" t="s">
        <v>1193</v>
      </c>
      <c r="BR301" s="26"/>
      <c r="BS301" s="26"/>
      <c r="BT301" s="26"/>
      <c r="BU301" s="26"/>
      <c r="BV301" s="26"/>
      <c r="BW301" s="26"/>
      <c r="BX301" s="26"/>
      <c r="BY301" s="18" t="str">
        <f t="shared" si="104"/>
        <v>E&amp;TC</v>
      </c>
      <c r="BZ301" s="18" t="str">
        <f t="shared" si="100"/>
        <v/>
      </c>
      <c r="CA301" s="24" t="str">
        <f t="shared" si="101"/>
        <v>https://drive.google.com/open?id=1JgVhpcdY7Gb7pwF17vLcfAoiax5K6s8I</v>
      </c>
      <c r="CB301" s="15" t="s">
        <v>2908</v>
      </c>
      <c r="CC301" s="15" t="s">
        <v>2821</v>
      </c>
      <c r="CD301" s="25" t="s">
        <v>2797</v>
      </c>
      <c r="CE301" s="18"/>
      <c r="CF301" s="18"/>
      <c r="CG301" s="18"/>
    </row>
    <row r="302" ht="18.75" hidden="1" customHeight="1">
      <c r="A302" s="14">
        <v>44736.56165577546</v>
      </c>
      <c r="B302" s="15" t="s">
        <v>1692</v>
      </c>
      <c r="C302" s="16" t="s">
        <v>9953</v>
      </c>
      <c r="D302" s="15" t="str">
        <f>IFERROR(__xludf.DUMMYFUNCTION("QUERY(TY_ALL_2023_Batch!$A$1:$E$824, ""SELECT E WHERE C='""&amp;B302&amp;""'"", 0)"),"E&amp;TC")</f>
        <v>E&amp;TC</v>
      </c>
      <c r="E302" s="15" t="s">
        <v>9954</v>
      </c>
      <c r="F302" s="15" t="s">
        <v>9955</v>
      </c>
      <c r="G302" s="15" t="s">
        <v>9956</v>
      </c>
      <c r="H302" s="15" t="s">
        <v>2826</v>
      </c>
      <c r="I302" s="17">
        <v>37033.0</v>
      </c>
      <c r="J302" s="15">
        <v>2019.0</v>
      </c>
      <c r="K302" s="15" t="s">
        <v>2786</v>
      </c>
      <c r="L302" s="15" t="s">
        <v>2787</v>
      </c>
      <c r="M302" s="18"/>
      <c r="N302" s="15" t="s">
        <v>9957</v>
      </c>
      <c r="O302" s="15" t="s">
        <v>1692</v>
      </c>
      <c r="P302" s="19" t="s">
        <v>9958</v>
      </c>
      <c r="Q302" s="15">
        <v>9.421049986E9</v>
      </c>
      <c r="R302" s="15">
        <v>9.421049986E9</v>
      </c>
      <c r="S302" s="15">
        <v>9.32232131E9</v>
      </c>
      <c r="T302" s="15" t="s">
        <v>9959</v>
      </c>
      <c r="U302" s="15" t="s">
        <v>9960</v>
      </c>
      <c r="V302" s="15" t="s">
        <v>9961</v>
      </c>
      <c r="W302" s="15" t="s">
        <v>9962</v>
      </c>
      <c r="X302" s="15">
        <v>92.6</v>
      </c>
      <c r="Y302" s="15" t="s">
        <v>2795</v>
      </c>
      <c r="Z302" s="15">
        <v>8.76</v>
      </c>
      <c r="AA302" s="15">
        <v>8.7</v>
      </c>
      <c r="AB302" s="15" t="s">
        <v>2796</v>
      </c>
      <c r="AC302" s="15" t="s">
        <v>2796</v>
      </c>
      <c r="AD302" s="15" t="s">
        <v>2796</v>
      </c>
      <c r="AE302" s="15" t="s">
        <v>2796</v>
      </c>
      <c r="AF302" s="15">
        <v>7.16</v>
      </c>
      <c r="AG302" s="15">
        <v>8.0</v>
      </c>
      <c r="AH302" s="15">
        <v>58.15</v>
      </c>
      <c r="AI302" s="18"/>
      <c r="AJ302" s="15" t="s">
        <v>2787</v>
      </c>
      <c r="AK302" s="15" t="s">
        <v>2787</v>
      </c>
      <c r="AL302" s="15">
        <v>77.0</v>
      </c>
      <c r="AM302" s="15">
        <v>83.0</v>
      </c>
      <c r="AN302" s="15" t="s">
        <v>2797</v>
      </c>
      <c r="AO302" s="15" t="s">
        <v>2796</v>
      </c>
      <c r="AP302" s="15" t="s">
        <v>2796</v>
      </c>
      <c r="AQ302" s="15" t="s">
        <v>9963</v>
      </c>
      <c r="AR302" s="15" t="s">
        <v>2796</v>
      </c>
      <c r="AS302" s="15" t="s">
        <v>9964</v>
      </c>
      <c r="AT302" s="15" t="s">
        <v>2796</v>
      </c>
      <c r="AU302" s="15" t="s">
        <v>9965</v>
      </c>
      <c r="AV302" s="15" t="s">
        <v>9966</v>
      </c>
      <c r="AW302" s="15" t="s">
        <v>9967</v>
      </c>
      <c r="AX302" s="15" t="s">
        <v>6442</v>
      </c>
      <c r="AY302" s="15" t="s">
        <v>9968</v>
      </c>
      <c r="AZ302" s="15" t="s">
        <v>4670</v>
      </c>
      <c r="BA302" s="15" t="s">
        <v>9969</v>
      </c>
      <c r="BB302" s="15" t="s">
        <v>9970</v>
      </c>
      <c r="BC302" s="15" t="s">
        <v>9971</v>
      </c>
      <c r="BD302" s="15" t="s">
        <v>2807</v>
      </c>
      <c r="BE302" s="15" t="s">
        <v>2796</v>
      </c>
      <c r="BF302" s="15" t="s">
        <v>9972</v>
      </c>
      <c r="BG302" s="15" t="s">
        <v>9973</v>
      </c>
      <c r="BH302" s="15" t="s">
        <v>2797</v>
      </c>
      <c r="BI302" s="15" t="s">
        <v>9974</v>
      </c>
      <c r="BJ302" s="19" t="s">
        <v>9975</v>
      </c>
      <c r="BK302" s="19" t="s">
        <v>9976</v>
      </c>
      <c r="BL302" s="19" t="s">
        <v>9977</v>
      </c>
      <c r="BM302" s="19" t="s">
        <v>9978</v>
      </c>
      <c r="BN302" s="19" t="s">
        <v>9979</v>
      </c>
      <c r="BO302" s="19" t="s">
        <v>9980</v>
      </c>
      <c r="BP302" s="18"/>
      <c r="BQ302" s="15" t="s">
        <v>1193</v>
      </c>
      <c r="BR302" s="26"/>
      <c r="BS302" s="26"/>
      <c r="BT302" s="26"/>
      <c r="BU302" s="26"/>
      <c r="BV302" s="26"/>
      <c r="BW302" s="26"/>
      <c r="BX302" s="26"/>
      <c r="BY302" s="18" t="str">
        <f t="shared" si="104"/>
        <v>E&amp;TC</v>
      </c>
      <c r="BZ302" s="24" t="str">
        <f t="shared" si="100"/>
        <v>https://drive.google.com/open?id=1hPnee9mZKN8EZbdR_Cm41QScN-9tdFsJ</v>
      </c>
      <c r="CA302" s="24" t="str">
        <f t="shared" si="101"/>
        <v>https://drive.google.com/open?id=19OGhrrsN12-sjG4M8BgL6OhPvmzyb-Y4</v>
      </c>
      <c r="CB302" s="15" t="s">
        <v>2821</v>
      </c>
      <c r="CC302" s="15" t="s">
        <v>2821</v>
      </c>
      <c r="CD302" s="25" t="s">
        <v>2797</v>
      </c>
      <c r="CE302" s="18"/>
      <c r="CF302" s="18"/>
      <c r="CG302" s="18"/>
    </row>
    <row r="303" ht="18.75" hidden="1" customHeight="1">
      <c r="A303" s="14">
        <v>44742.9691087963</v>
      </c>
      <c r="B303" s="15" t="s">
        <v>1911</v>
      </c>
      <c r="C303" s="16" t="s">
        <v>9981</v>
      </c>
      <c r="D303" s="15" t="str">
        <f>IFERROR(__xludf.DUMMYFUNCTION("QUERY(TY_ALL_2023_Batch!$A$1:$E$824, ""SELECT E WHERE C='""&amp;B303&amp;""'"", 0)"),"E&amp;TC")</f>
        <v>E&amp;TC</v>
      </c>
      <c r="E303" s="15" t="s">
        <v>9982</v>
      </c>
      <c r="F303" s="18"/>
      <c r="G303" s="15" t="s">
        <v>9983</v>
      </c>
      <c r="H303" s="15" t="s">
        <v>2785</v>
      </c>
      <c r="I303" s="17">
        <v>37011.0</v>
      </c>
      <c r="J303" s="15">
        <v>2019.0</v>
      </c>
      <c r="K303" s="15" t="s">
        <v>2786</v>
      </c>
      <c r="L303" s="15" t="s">
        <v>2787</v>
      </c>
      <c r="M303" s="18"/>
      <c r="N303" s="15" t="s">
        <v>9984</v>
      </c>
      <c r="O303" s="15" t="s">
        <v>1911</v>
      </c>
      <c r="P303" s="19" t="s">
        <v>9985</v>
      </c>
      <c r="Q303" s="15">
        <v>8.080250166E9</v>
      </c>
      <c r="R303" s="15">
        <v>8.080250166E9</v>
      </c>
      <c r="S303" s="18"/>
      <c r="T303" s="15" t="s">
        <v>9986</v>
      </c>
      <c r="U303" s="15" t="s">
        <v>9987</v>
      </c>
      <c r="V303" s="15" t="s">
        <v>9988</v>
      </c>
      <c r="W303" s="18"/>
      <c r="X303" s="15">
        <v>84.0</v>
      </c>
      <c r="Y303" s="15" t="s">
        <v>2795</v>
      </c>
      <c r="Z303" s="15">
        <v>7.9</v>
      </c>
      <c r="AA303" s="15">
        <v>7.0</v>
      </c>
      <c r="AB303" s="15">
        <v>7.4</v>
      </c>
      <c r="AC303" s="15" t="s">
        <v>2796</v>
      </c>
      <c r="AD303" s="15" t="s">
        <v>2796</v>
      </c>
      <c r="AE303" s="15" t="s">
        <v>2796</v>
      </c>
      <c r="AF303" s="15">
        <v>8.2</v>
      </c>
      <c r="AG303" s="15">
        <v>6.5</v>
      </c>
      <c r="AH303" s="15">
        <v>81.0</v>
      </c>
      <c r="AI303" s="18"/>
      <c r="AJ303" s="15" t="s">
        <v>2787</v>
      </c>
      <c r="AK303" s="15" t="s">
        <v>2787</v>
      </c>
      <c r="AL303" s="15">
        <v>51.5</v>
      </c>
      <c r="AM303" s="15">
        <v>54.4</v>
      </c>
      <c r="AN303" s="15" t="s">
        <v>2787</v>
      </c>
      <c r="AO303" s="15" t="s">
        <v>9989</v>
      </c>
      <c r="AP303" s="15" t="s">
        <v>9989</v>
      </c>
      <c r="AQ303" s="15" t="s">
        <v>9990</v>
      </c>
      <c r="AR303" s="15" t="s">
        <v>9991</v>
      </c>
      <c r="AS303" s="15" t="s">
        <v>9992</v>
      </c>
      <c r="AT303" s="15" t="s">
        <v>2796</v>
      </c>
      <c r="AU303" s="15" t="s">
        <v>2796</v>
      </c>
      <c r="AV303" s="15" t="s">
        <v>9993</v>
      </c>
      <c r="AW303" s="15" t="s">
        <v>9994</v>
      </c>
      <c r="AX303" s="15" t="s">
        <v>2796</v>
      </c>
      <c r="AY303" s="15" t="s">
        <v>9995</v>
      </c>
      <c r="AZ303" s="15" t="s">
        <v>4670</v>
      </c>
      <c r="BA303" s="15" t="s">
        <v>2899</v>
      </c>
      <c r="BB303" s="15" t="s">
        <v>4484</v>
      </c>
      <c r="BC303" s="15" t="s">
        <v>4746</v>
      </c>
      <c r="BD303" s="15" t="s">
        <v>2807</v>
      </c>
      <c r="BE303" s="15" t="s">
        <v>9996</v>
      </c>
      <c r="BF303" s="18"/>
      <c r="BG303" s="18"/>
      <c r="BH303" s="18"/>
      <c r="BI303" s="15" t="s">
        <v>9997</v>
      </c>
      <c r="BJ303" s="19" t="s">
        <v>9998</v>
      </c>
      <c r="BK303" s="19" t="s">
        <v>9999</v>
      </c>
      <c r="BL303" s="19" t="s">
        <v>10000</v>
      </c>
      <c r="BM303" s="19" t="s">
        <v>10001</v>
      </c>
      <c r="BN303" s="19" t="s">
        <v>10002</v>
      </c>
      <c r="BO303" s="19" t="s">
        <v>10003</v>
      </c>
      <c r="BP303" s="19" t="s">
        <v>10004</v>
      </c>
      <c r="BQ303" s="15" t="s">
        <v>1193</v>
      </c>
      <c r="BR303" s="19" t="s">
        <v>10005</v>
      </c>
      <c r="BS303" s="19" t="s">
        <v>10006</v>
      </c>
      <c r="BT303" s="19" t="s">
        <v>10007</v>
      </c>
      <c r="BU303" s="19" t="s">
        <v>10008</v>
      </c>
      <c r="BV303" s="19" t="s">
        <v>10009</v>
      </c>
      <c r="BW303" s="15" t="s">
        <v>10010</v>
      </c>
      <c r="BX303" s="18"/>
      <c r="BY303" s="18" t="str">
        <f t="shared" si="104"/>
        <v>E&amp;TC</v>
      </c>
      <c r="BZ303" s="24" t="str">
        <f t="shared" si="100"/>
        <v>https://drive.google.com/open?id=1W3QfP7sUjknPjcZ3GjTphjkBHMb0pUgn</v>
      </c>
      <c r="CA303" s="24" t="str">
        <f t="shared" si="101"/>
        <v>https://drive.google.com/open?id=1xS9hNVNAA9186EuB5fIK_9q1BdTadBBE</v>
      </c>
      <c r="CB303" s="15" t="s">
        <v>2821</v>
      </c>
      <c r="CC303" s="15" t="s">
        <v>2908</v>
      </c>
      <c r="CD303" s="25" t="s">
        <v>2787</v>
      </c>
      <c r="CE303" s="18"/>
      <c r="CF303" s="18"/>
      <c r="CG303" s="18"/>
    </row>
    <row r="304" ht="18.75" hidden="1" customHeight="1">
      <c r="A304" s="14">
        <v>44771.75454258102</v>
      </c>
      <c r="B304" s="15" t="s">
        <v>1743</v>
      </c>
      <c r="C304" s="16" t="s">
        <v>10011</v>
      </c>
      <c r="D304" s="15" t="str">
        <f>IFERROR(__xludf.DUMMYFUNCTION("QUERY(TY_ALL_2023_Batch!$A$1:$E$824, ""SELECT E WHERE C='""&amp;B304&amp;""'"", 0)"),"E&amp;TC")</f>
        <v>E&amp;TC</v>
      </c>
      <c r="E304" s="15" t="s">
        <v>9340</v>
      </c>
      <c r="F304" s="15" t="s">
        <v>7227</v>
      </c>
      <c r="G304" s="15" t="s">
        <v>6543</v>
      </c>
      <c r="H304" s="15" t="s">
        <v>2785</v>
      </c>
      <c r="I304" s="17">
        <v>36582.0</v>
      </c>
      <c r="J304" s="15">
        <v>2019.0</v>
      </c>
      <c r="K304" s="15" t="s">
        <v>2786</v>
      </c>
      <c r="L304" s="15" t="s">
        <v>2787</v>
      </c>
      <c r="M304" s="18"/>
      <c r="N304" s="15" t="s">
        <v>10012</v>
      </c>
      <c r="O304" s="15" t="s">
        <v>1743</v>
      </c>
      <c r="P304" s="19" t="s">
        <v>10013</v>
      </c>
      <c r="Q304" s="15">
        <v>7.666359762E9</v>
      </c>
      <c r="R304" s="15">
        <v>7.066590158E9</v>
      </c>
      <c r="S304" s="15">
        <v>7.666359762E9</v>
      </c>
      <c r="T304" s="15" t="s">
        <v>7227</v>
      </c>
      <c r="U304" s="15" t="s">
        <v>10014</v>
      </c>
      <c r="V304" s="15" t="s">
        <v>10015</v>
      </c>
      <c r="W304" s="15" t="s">
        <v>10016</v>
      </c>
      <c r="X304" s="15">
        <v>91.6</v>
      </c>
      <c r="Y304" s="15" t="s">
        <v>2795</v>
      </c>
      <c r="Z304" s="15">
        <v>9.24</v>
      </c>
      <c r="AA304" s="15">
        <v>9.45</v>
      </c>
      <c r="AB304" s="15">
        <v>9.29</v>
      </c>
      <c r="AC304" s="15">
        <v>9.23</v>
      </c>
      <c r="AD304" s="15" t="s">
        <v>2796</v>
      </c>
      <c r="AE304" s="15" t="s">
        <v>2796</v>
      </c>
      <c r="AF304" s="15">
        <v>9.05</v>
      </c>
      <c r="AG304" s="15">
        <v>9.81</v>
      </c>
      <c r="AH304" s="15">
        <v>75.69</v>
      </c>
      <c r="AI304" s="18"/>
      <c r="AJ304" s="15" t="s">
        <v>2787</v>
      </c>
      <c r="AK304" s="15" t="s">
        <v>2787</v>
      </c>
      <c r="AL304" s="15">
        <v>86.67</v>
      </c>
      <c r="AM304" s="15">
        <v>87.34</v>
      </c>
      <c r="AN304" s="15" t="s">
        <v>2797</v>
      </c>
      <c r="AO304" s="18"/>
      <c r="AP304" s="18"/>
      <c r="AQ304" s="15" t="s">
        <v>10017</v>
      </c>
      <c r="AR304" s="18"/>
      <c r="AS304" s="15" t="s">
        <v>10018</v>
      </c>
      <c r="AT304" s="18"/>
      <c r="AU304" s="18"/>
      <c r="AV304" s="15" t="s">
        <v>10019</v>
      </c>
      <c r="AW304" s="15" t="s">
        <v>10020</v>
      </c>
      <c r="AX304" s="18"/>
      <c r="AY304" s="15" t="s">
        <v>10021</v>
      </c>
      <c r="AZ304" s="15" t="s">
        <v>5335</v>
      </c>
      <c r="BA304" s="15" t="s">
        <v>6193</v>
      </c>
      <c r="BB304" s="15" t="s">
        <v>5673</v>
      </c>
      <c r="BC304" s="15" t="s">
        <v>5524</v>
      </c>
      <c r="BD304" s="15" t="s">
        <v>3393</v>
      </c>
      <c r="BE304" s="15" t="s">
        <v>2796</v>
      </c>
      <c r="BF304" s="18"/>
      <c r="BG304" s="18"/>
      <c r="BH304" s="15" t="s">
        <v>10022</v>
      </c>
      <c r="BI304" s="15" t="s">
        <v>10023</v>
      </c>
      <c r="BJ304" s="19" t="s">
        <v>10024</v>
      </c>
      <c r="BK304" s="19" t="s">
        <v>10025</v>
      </c>
      <c r="BL304" s="19" t="s">
        <v>10026</v>
      </c>
      <c r="BM304" s="19" t="s">
        <v>10027</v>
      </c>
      <c r="BN304" s="19" t="s">
        <v>10028</v>
      </c>
      <c r="BO304" s="19" t="s">
        <v>10029</v>
      </c>
      <c r="BP304" s="18"/>
      <c r="BQ304" s="15" t="s">
        <v>1193</v>
      </c>
      <c r="BR304" s="18"/>
      <c r="BS304" s="18"/>
      <c r="BT304" s="18"/>
      <c r="BU304" s="19" t="s">
        <v>10030</v>
      </c>
      <c r="BV304" s="19" t="s">
        <v>10031</v>
      </c>
      <c r="BW304" s="15" t="s">
        <v>10032</v>
      </c>
      <c r="BX304" s="18"/>
      <c r="BY304" s="18" t="str">
        <f t="shared" si="104"/>
        <v>E&amp;TC</v>
      </c>
      <c r="BZ304" s="24" t="str">
        <f t="shared" si="100"/>
        <v>https://drive.google.com/open?id=1I6OchFodM88EV3JrDAdeqYQMAtlsdX-k</v>
      </c>
      <c r="CA304" s="24" t="str">
        <f t="shared" si="101"/>
        <v>https://drive.google.com/open?id=1TvErzqSoCKX_rIVTFWYJOAm8T0r_CzK3</v>
      </c>
      <c r="CB304" s="15" t="s">
        <v>2821</v>
      </c>
      <c r="CC304" s="15" t="s">
        <v>2821</v>
      </c>
      <c r="CD304" s="25" t="s">
        <v>2797</v>
      </c>
      <c r="CE304" s="18"/>
      <c r="CF304" s="18"/>
      <c r="CG304" s="18"/>
    </row>
    <row r="305" ht="18.75" hidden="1" customHeight="1">
      <c r="A305" s="14">
        <v>44742.99564371528</v>
      </c>
      <c r="B305" s="15" t="s">
        <v>1935</v>
      </c>
      <c r="C305" s="16" t="s">
        <v>10033</v>
      </c>
      <c r="D305" s="15" t="str">
        <f>IFERROR(__xludf.DUMMYFUNCTION("QUERY(TY_ALL_2023_Batch!$A$1:$E$824, ""SELECT E WHERE C='""&amp;B305&amp;""'"", 0)"),"E&amp;TC")</f>
        <v>E&amp;TC</v>
      </c>
      <c r="E305" s="15" t="s">
        <v>3378</v>
      </c>
      <c r="F305" s="15" t="s">
        <v>6015</v>
      </c>
      <c r="G305" s="15" t="s">
        <v>10034</v>
      </c>
      <c r="H305" s="15" t="s">
        <v>2785</v>
      </c>
      <c r="I305" s="17">
        <v>37307.0</v>
      </c>
      <c r="J305" s="15">
        <v>2019.0</v>
      </c>
      <c r="K305" s="15" t="s">
        <v>2786</v>
      </c>
      <c r="L305" s="15" t="s">
        <v>2787</v>
      </c>
      <c r="M305" s="18"/>
      <c r="N305" s="15" t="s">
        <v>10035</v>
      </c>
      <c r="O305" s="15" t="s">
        <v>1935</v>
      </c>
      <c r="P305" s="19" t="s">
        <v>10036</v>
      </c>
      <c r="Q305" s="15">
        <v>9.307728406E9</v>
      </c>
      <c r="R305" s="15">
        <v>8.530355712E9</v>
      </c>
      <c r="S305" s="15">
        <v>7.020282388E9</v>
      </c>
      <c r="T305" s="15" t="s">
        <v>10037</v>
      </c>
      <c r="U305" s="15" t="s">
        <v>10038</v>
      </c>
      <c r="V305" s="15" t="s">
        <v>10039</v>
      </c>
      <c r="W305" s="15" t="s">
        <v>10040</v>
      </c>
      <c r="X305" s="15">
        <v>90.0</v>
      </c>
      <c r="Y305" s="15" t="s">
        <v>2795</v>
      </c>
      <c r="Z305" s="15">
        <v>9.1</v>
      </c>
      <c r="AA305" s="15">
        <v>8.75</v>
      </c>
      <c r="AB305" s="15" t="s">
        <v>2796</v>
      </c>
      <c r="AC305" s="15" t="s">
        <v>2796</v>
      </c>
      <c r="AD305" s="15" t="s">
        <v>2796</v>
      </c>
      <c r="AE305" s="15" t="s">
        <v>2796</v>
      </c>
      <c r="AF305" s="15">
        <v>9.14</v>
      </c>
      <c r="AG305" s="15">
        <v>9.37</v>
      </c>
      <c r="AH305" s="15">
        <v>69.0</v>
      </c>
      <c r="AI305" s="18"/>
      <c r="AJ305" s="15" t="s">
        <v>2787</v>
      </c>
      <c r="AK305" s="15" t="s">
        <v>2787</v>
      </c>
      <c r="AL305" s="15">
        <v>588.0</v>
      </c>
      <c r="AM305" s="15">
        <v>651.0</v>
      </c>
      <c r="AN305" s="15" t="s">
        <v>2797</v>
      </c>
      <c r="AO305" s="15" t="s">
        <v>3005</v>
      </c>
      <c r="AP305" s="15" t="s">
        <v>3005</v>
      </c>
      <c r="AQ305" s="15" t="s">
        <v>10041</v>
      </c>
      <c r="AR305" s="15" t="s">
        <v>10042</v>
      </c>
      <c r="AS305" s="15" t="s">
        <v>10043</v>
      </c>
      <c r="AT305" s="15" t="s">
        <v>10044</v>
      </c>
      <c r="AU305" s="15" t="s">
        <v>2796</v>
      </c>
      <c r="AV305" s="15" t="s">
        <v>10045</v>
      </c>
      <c r="AW305" s="15" t="s">
        <v>10046</v>
      </c>
      <c r="AX305" s="15" t="s">
        <v>10047</v>
      </c>
      <c r="AY305" s="15" t="s">
        <v>10048</v>
      </c>
      <c r="AZ305" s="15" t="s">
        <v>5260</v>
      </c>
      <c r="BA305" s="15" t="s">
        <v>6611</v>
      </c>
      <c r="BB305" s="15" t="s">
        <v>3462</v>
      </c>
      <c r="BC305" s="15" t="s">
        <v>3686</v>
      </c>
      <c r="BD305" s="15" t="s">
        <v>2807</v>
      </c>
      <c r="BE305" s="15" t="s">
        <v>10049</v>
      </c>
      <c r="BF305" s="15" t="s">
        <v>10050</v>
      </c>
      <c r="BG305" s="18"/>
      <c r="BH305" s="15" t="s">
        <v>10051</v>
      </c>
      <c r="BI305" s="15" t="s">
        <v>10052</v>
      </c>
      <c r="BJ305" s="19" t="s">
        <v>10053</v>
      </c>
      <c r="BK305" s="19" t="s">
        <v>10054</v>
      </c>
      <c r="BL305" s="19" t="s">
        <v>10055</v>
      </c>
      <c r="BM305" s="19" t="s">
        <v>10056</v>
      </c>
      <c r="BN305" s="19" t="s">
        <v>10057</v>
      </c>
      <c r="BO305" s="19" t="s">
        <v>10058</v>
      </c>
      <c r="BP305" s="19" t="s">
        <v>10059</v>
      </c>
      <c r="BQ305" s="15" t="s">
        <v>1193</v>
      </c>
      <c r="BR305" s="26"/>
      <c r="BS305" s="19" t="s">
        <v>10060</v>
      </c>
      <c r="BT305" s="26"/>
      <c r="BU305" s="26"/>
      <c r="BV305" s="26"/>
      <c r="BW305" s="15" t="s">
        <v>10061</v>
      </c>
      <c r="BX305" s="26"/>
      <c r="BY305" s="18" t="str">
        <f t="shared" si="104"/>
        <v>E&amp;TC</v>
      </c>
      <c r="BZ305" s="24" t="str">
        <f t="shared" si="100"/>
        <v>https://drive.google.com/open?id=1WvhbjeO1RNP2ap527D1Z4uQHrElK3AHq</v>
      </c>
      <c r="CA305" s="24" t="str">
        <f t="shared" si="101"/>
        <v>https://drive.google.com/open?id=1sBaQ2I6jPXEVjDye17qe_xvOm60gdDTh</v>
      </c>
      <c r="CB305" s="15" t="s">
        <v>2821</v>
      </c>
      <c r="CC305" s="15" t="s">
        <v>2821</v>
      </c>
      <c r="CD305" s="25" t="s">
        <v>2787</v>
      </c>
      <c r="CE305" s="18"/>
      <c r="CF305" s="18"/>
      <c r="CG305" s="18"/>
    </row>
    <row r="306" ht="18.75" hidden="1" customHeight="1">
      <c r="A306" s="14">
        <v>44736.33199883102</v>
      </c>
      <c r="B306" s="15" t="s">
        <v>1869</v>
      </c>
      <c r="C306" s="16" t="s">
        <v>10062</v>
      </c>
      <c r="D306" s="15" t="str">
        <f>IFERROR(__xludf.DUMMYFUNCTION("QUERY(TY_ALL_2023_Batch!$A$1:$E$824, ""SELECT E WHERE C='""&amp;B306&amp;""'"", 0)"),"E&amp;TC")</f>
        <v>E&amp;TC</v>
      </c>
      <c r="E306" s="15" t="s">
        <v>10063</v>
      </c>
      <c r="F306" s="15" t="s">
        <v>10064</v>
      </c>
      <c r="G306" s="15" t="s">
        <v>10065</v>
      </c>
      <c r="H306" s="15" t="s">
        <v>2785</v>
      </c>
      <c r="I306" s="17">
        <v>37080.0</v>
      </c>
      <c r="J306" s="15">
        <v>2019.0</v>
      </c>
      <c r="K306" s="15" t="s">
        <v>2786</v>
      </c>
      <c r="L306" s="15" t="s">
        <v>2787</v>
      </c>
      <c r="M306" s="18"/>
      <c r="N306" s="15" t="s">
        <v>10066</v>
      </c>
      <c r="O306" s="15" t="s">
        <v>1869</v>
      </c>
      <c r="P306" s="19" t="s">
        <v>10067</v>
      </c>
      <c r="Q306" s="15">
        <v>9.067683076E9</v>
      </c>
      <c r="R306" s="15">
        <v>9.067683076E9</v>
      </c>
      <c r="S306" s="15">
        <v>9.623791369E9</v>
      </c>
      <c r="T306" s="15" t="s">
        <v>10064</v>
      </c>
      <c r="U306" s="15" t="s">
        <v>10068</v>
      </c>
      <c r="V306" s="15" t="s">
        <v>10069</v>
      </c>
      <c r="W306" s="15" t="s">
        <v>10070</v>
      </c>
      <c r="X306" s="15">
        <v>94.6</v>
      </c>
      <c r="Y306" s="15" t="s">
        <v>2795</v>
      </c>
      <c r="Z306" s="15">
        <v>8.86</v>
      </c>
      <c r="AA306" s="15">
        <v>9.35</v>
      </c>
      <c r="AB306" s="15" t="s">
        <v>2796</v>
      </c>
      <c r="AC306" s="15" t="s">
        <v>2796</v>
      </c>
      <c r="AD306" s="15" t="s">
        <v>2796</v>
      </c>
      <c r="AE306" s="15" t="s">
        <v>2796</v>
      </c>
      <c r="AF306" s="15">
        <v>8.63</v>
      </c>
      <c r="AG306" s="15">
        <v>9.48</v>
      </c>
      <c r="AH306" s="15">
        <v>79.54</v>
      </c>
      <c r="AI306" s="18"/>
      <c r="AJ306" s="15" t="s">
        <v>2787</v>
      </c>
      <c r="AK306" s="15" t="s">
        <v>2787</v>
      </c>
      <c r="AL306" s="15">
        <v>70.33</v>
      </c>
      <c r="AM306" s="15">
        <v>96.66</v>
      </c>
      <c r="AN306" s="15" t="s">
        <v>2797</v>
      </c>
      <c r="AO306" s="18"/>
      <c r="AP306" s="18"/>
      <c r="AQ306" s="15" t="s">
        <v>6686</v>
      </c>
      <c r="AR306" s="15" t="s">
        <v>10071</v>
      </c>
      <c r="AS306" s="15" t="s">
        <v>10072</v>
      </c>
      <c r="AT306" s="18"/>
      <c r="AU306" s="18"/>
      <c r="AV306" s="15" t="s">
        <v>10073</v>
      </c>
      <c r="AW306" s="15" t="s">
        <v>10074</v>
      </c>
      <c r="AX306" s="18"/>
      <c r="AY306" s="15" t="s">
        <v>10075</v>
      </c>
      <c r="AZ306" s="15" t="s">
        <v>5260</v>
      </c>
      <c r="BA306" s="15" t="s">
        <v>2806</v>
      </c>
      <c r="BB306" s="15" t="s">
        <v>2807</v>
      </c>
      <c r="BC306" s="15" t="s">
        <v>10076</v>
      </c>
      <c r="BD306" s="15" t="s">
        <v>2842</v>
      </c>
      <c r="BE306" s="15" t="s">
        <v>10077</v>
      </c>
      <c r="BF306" s="18"/>
      <c r="BG306" s="18"/>
      <c r="BH306" s="18"/>
      <c r="BI306" s="15" t="s">
        <v>10078</v>
      </c>
      <c r="BJ306" s="19" t="s">
        <v>10079</v>
      </c>
      <c r="BK306" s="19" t="s">
        <v>10080</v>
      </c>
      <c r="BL306" s="18"/>
      <c r="BM306" s="19" t="s">
        <v>10081</v>
      </c>
      <c r="BN306" s="19" t="s">
        <v>10082</v>
      </c>
      <c r="BO306" s="19" t="s">
        <v>10083</v>
      </c>
      <c r="BP306" s="19" t="s">
        <v>10084</v>
      </c>
      <c r="BQ306" s="15" t="s">
        <v>1193</v>
      </c>
      <c r="BR306" s="26"/>
      <c r="BS306" s="26"/>
      <c r="BT306" s="26"/>
      <c r="BU306" s="26"/>
      <c r="BV306" s="26"/>
      <c r="BW306" s="26"/>
      <c r="BX306" s="26"/>
      <c r="BY306" s="18" t="str">
        <f t="shared" si="104"/>
        <v>E&amp;TC</v>
      </c>
      <c r="BZ306" s="18" t="str">
        <f t="shared" si="100"/>
        <v/>
      </c>
      <c r="CA306" s="24" t="str">
        <f t="shared" si="101"/>
        <v>https://drive.google.com/open?id=1WTBFoREeuxVlmNPqycjJYPzLfWLXsLp6</v>
      </c>
      <c r="CB306" s="15" t="s">
        <v>2908</v>
      </c>
      <c r="CC306" s="15" t="s">
        <v>2821</v>
      </c>
      <c r="CD306" s="25" t="s">
        <v>2797</v>
      </c>
      <c r="CE306" s="18"/>
      <c r="CF306" s="18"/>
      <c r="CG306" s="18"/>
    </row>
    <row r="307" ht="18.75" hidden="1" customHeight="1">
      <c r="A307" s="14">
        <v>44742.867567442125</v>
      </c>
      <c r="B307" s="15" t="s">
        <v>1839</v>
      </c>
      <c r="C307" s="16" t="s">
        <v>10085</v>
      </c>
      <c r="D307" s="15" t="str">
        <f>IFERROR(__xludf.DUMMYFUNCTION("QUERY(TY_ALL_2023_Batch!$A$1:$E$824, ""SELECT E WHERE C='""&amp;B307&amp;""'"", 0)"),"E&amp;TC")</f>
        <v>E&amp;TC</v>
      </c>
      <c r="E307" s="15" t="s">
        <v>5968</v>
      </c>
      <c r="F307" s="15" t="s">
        <v>10086</v>
      </c>
      <c r="G307" s="15" t="s">
        <v>10087</v>
      </c>
      <c r="H307" s="15" t="s">
        <v>2785</v>
      </c>
      <c r="I307" s="17">
        <v>36944.0</v>
      </c>
      <c r="J307" s="15">
        <v>2019.0</v>
      </c>
      <c r="K307" s="15" t="s">
        <v>2786</v>
      </c>
      <c r="L307" s="15" t="s">
        <v>2787</v>
      </c>
      <c r="M307" s="18"/>
      <c r="N307" s="15" t="s">
        <v>10088</v>
      </c>
      <c r="O307" s="15" t="s">
        <v>1839</v>
      </c>
      <c r="P307" s="19" t="s">
        <v>10089</v>
      </c>
      <c r="Q307" s="15">
        <v>8.208559115E9</v>
      </c>
      <c r="R307" s="15">
        <v>8.208559115E9</v>
      </c>
      <c r="S307" s="15">
        <v>7.304301172E9</v>
      </c>
      <c r="T307" s="15" t="s">
        <v>10086</v>
      </c>
      <c r="U307" s="15" t="s">
        <v>10090</v>
      </c>
      <c r="V307" s="15" t="s">
        <v>10091</v>
      </c>
      <c r="W307" s="15" t="s">
        <v>10092</v>
      </c>
      <c r="X307" s="15">
        <v>89.0</v>
      </c>
      <c r="Y307" s="15" t="s">
        <v>2795</v>
      </c>
      <c r="Z307" s="15">
        <v>9.19</v>
      </c>
      <c r="AA307" s="15">
        <v>8.65</v>
      </c>
      <c r="AB307" s="15" t="s">
        <v>2796</v>
      </c>
      <c r="AC307" s="15" t="s">
        <v>2796</v>
      </c>
      <c r="AD307" s="15" t="s">
        <v>2796</v>
      </c>
      <c r="AE307" s="15" t="s">
        <v>2796</v>
      </c>
      <c r="AF307" s="15">
        <v>8.37</v>
      </c>
      <c r="AG307" s="15">
        <v>7.9</v>
      </c>
      <c r="AH307" s="15">
        <v>75.0</v>
      </c>
      <c r="AI307" s="18"/>
      <c r="AJ307" s="15" t="s">
        <v>2787</v>
      </c>
      <c r="AK307" s="15" t="s">
        <v>2787</v>
      </c>
      <c r="AL307" s="15">
        <v>548.3</v>
      </c>
      <c r="AM307" s="15">
        <v>625.0</v>
      </c>
      <c r="AN307" s="15" t="s">
        <v>2797</v>
      </c>
      <c r="AO307" s="18"/>
      <c r="AP307" s="18"/>
      <c r="AQ307" s="15" t="s">
        <v>10093</v>
      </c>
      <c r="AR307" s="18"/>
      <c r="AS307" s="18"/>
      <c r="AT307" s="18"/>
      <c r="AU307" s="15" t="s">
        <v>10094</v>
      </c>
      <c r="AV307" s="15" t="s">
        <v>10095</v>
      </c>
      <c r="AW307" s="15" t="s">
        <v>10096</v>
      </c>
      <c r="AX307" s="15" t="s">
        <v>10097</v>
      </c>
      <c r="AY307" s="15" t="s">
        <v>10098</v>
      </c>
      <c r="AZ307" s="15" t="s">
        <v>4670</v>
      </c>
      <c r="BA307" s="15" t="s">
        <v>5552</v>
      </c>
      <c r="BB307" s="15" t="s">
        <v>5673</v>
      </c>
      <c r="BC307" s="15" t="s">
        <v>8336</v>
      </c>
      <c r="BD307" s="15" t="s">
        <v>2807</v>
      </c>
      <c r="BE307" s="15" t="s">
        <v>10099</v>
      </c>
      <c r="BF307" s="18"/>
      <c r="BG307" s="18"/>
      <c r="BH307" s="18"/>
      <c r="BI307" s="15" t="s">
        <v>10100</v>
      </c>
      <c r="BJ307" s="19" t="s">
        <v>10101</v>
      </c>
      <c r="BK307" s="19" t="s">
        <v>10102</v>
      </c>
      <c r="BL307" s="19" t="s">
        <v>10103</v>
      </c>
      <c r="BM307" s="19" t="s">
        <v>10104</v>
      </c>
      <c r="BN307" s="19" t="s">
        <v>10105</v>
      </c>
      <c r="BO307" s="19" t="s">
        <v>10106</v>
      </c>
      <c r="BP307" s="19" t="s">
        <v>10107</v>
      </c>
      <c r="BQ307" s="15" t="s">
        <v>1193</v>
      </c>
      <c r="BR307" s="26"/>
      <c r="BS307" s="26"/>
      <c r="BT307" s="26"/>
      <c r="BU307" s="19" t="s">
        <v>10108</v>
      </c>
      <c r="BV307" s="19" t="s">
        <v>10109</v>
      </c>
      <c r="BW307" s="15" t="s">
        <v>2796</v>
      </c>
      <c r="BX307" s="26"/>
      <c r="BY307" s="18" t="str">
        <f t="shared" si="104"/>
        <v>E&amp;TC</v>
      </c>
      <c r="BZ307" s="24" t="str">
        <f t="shared" si="100"/>
        <v>https://drive.google.com/open?id=1T9YehY40795_trVAqdR-fZG_47OaYH3m</v>
      </c>
      <c r="CA307" s="24" t="str">
        <f t="shared" si="101"/>
        <v>https://drive.google.com/open?id=1Wf7fXCJ1yq91XfPnTKYOHwT6KsUIvs_T</v>
      </c>
      <c r="CB307" s="15" t="s">
        <v>2821</v>
      </c>
      <c r="CC307" s="15" t="s">
        <v>2821</v>
      </c>
      <c r="CD307" s="25" t="s">
        <v>2797</v>
      </c>
      <c r="CE307" s="18"/>
      <c r="CF307" s="18"/>
      <c r="CG307" s="18"/>
    </row>
    <row r="308" ht="18.75" hidden="1" customHeight="1">
      <c r="A308" s="14">
        <v>44745.751896030095</v>
      </c>
      <c r="B308" s="15" t="s">
        <v>1707</v>
      </c>
      <c r="C308" s="16" t="s">
        <v>10110</v>
      </c>
      <c r="D308" s="15" t="str">
        <f>IFERROR(__xludf.DUMMYFUNCTION("QUERY(TY_ALL_2023_Batch!$A$1:$E$824, ""SELECT E WHERE C='""&amp;B308&amp;""'"", 0)"),"E&amp;TC")</f>
        <v>E&amp;TC</v>
      </c>
      <c r="E308" s="15" t="s">
        <v>10111</v>
      </c>
      <c r="F308" s="15" t="s">
        <v>8585</v>
      </c>
      <c r="G308" s="15" t="s">
        <v>10112</v>
      </c>
      <c r="H308" s="15" t="s">
        <v>2826</v>
      </c>
      <c r="I308" s="17">
        <v>36751.0</v>
      </c>
      <c r="J308" s="15">
        <v>2019.0</v>
      </c>
      <c r="K308" s="15" t="s">
        <v>2786</v>
      </c>
      <c r="L308" s="15" t="s">
        <v>2787</v>
      </c>
      <c r="M308" s="18"/>
      <c r="N308" s="15" t="s">
        <v>10113</v>
      </c>
      <c r="O308" s="15" t="s">
        <v>1707</v>
      </c>
      <c r="P308" s="19" t="s">
        <v>10114</v>
      </c>
      <c r="Q308" s="15">
        <v>8.32923148E9</v>
      </c>
      <c r="R308" s="15">
        <v>7.414966778E9</v>
      </c>
      <c r="S308" s="15">
        <v>8.32923148E9</v>
      </c>
      <c r="T308" s="15" t="s">
        <v>10115</v>
      </c>
      <c r="U308" s="15" t="s">
        <v>10116</v>
      </c>
      <c r="V308" s="15" t="s">
        <v>10117</v>
      </c>
      <c r="W308" s="15" t="s">
        <v>10117</v>
      </c>
      <c r="X308" s="15">
        <v>94.6</v>
      </c>
      <c r="Y308" s="15" t="s">
        <v>2795</v>
      </c>
      <c r="Z308" s="15">
        <v>9.1</v>
      </c>
      <c r="AA308" s="15">
        <v>9.1</v>
      </c>
      <c r="AB308" s="15" t="s">
        <v>2796</v>
      </c>
      <c r="AC308" s="15" t="s">
        <v>2796</v>
      </c>
      <c r="AD308" s="15" t="s">
        <v>2796</v>
      </c>
      <c r="AE308" s="15" t="s">
        <v>2796</v>
      </c>
      <c r="AF308" s="15">
        <v>7.53</v>
      </c>
      <c r="AG308" s="15">
        <v>8.9</v>
      </c>
      <c r="AH308" s="15">
        <v>80.92</v>
      </c>
      <c r="AI308" s="18"/>
      <c r="AJ308" s="15" t="s">
        <v>2787</v>
      </c>
      <c r="AK308" s="15" t="s">
        <v>2787</v>
      </c>
      <c r="AL308" s="15" t="s">
        <v>10118</v>
      </c>
      <c r="AM308" s="15" t="s">
        <v>10119</v>
      </c>
      <c r="AN308" s="15" t="s">
        <v>2797</v>
      </c>
      <c r="AO308" s="15" t="s">
        <v>10120</v>
      </c>
      <c r="AP308" s="15" t="s">
        <v>10121</v>
      </c>
      <c r="AQ308" s="15" t="s">
        <v>10122</v>
      </c>
      <c r="AR308" s="15" t="s">
        <v>3313</v>
      </c>
      <c r="AS308" s="15" t="s">
        <v>3313</v>
      </c>
      <c r="AT308" s="15" t="s">
        <v>3313</v>
      </c>
      <c r="AU308" s="15" t="s">
        <v>3313</v>
      </c>
      <c r="AV308" s="15" t="s">
        <v>10123</v>
      </c>
      <c r="AW308" s="15" t="s">
        <v>10124</v>
      </c>
      <c r="AX308" s="15" t="s">
        <v>3313</v>
      </c>
      <c r="AY308" s="15" t="s">
        <v>10125</v>
      </c>
      <c r="AZ308" s="15" t="s">
        <v>5335</v>
      </c>
      <c r="BA308" s="15" t="s">
        <v>2839</v>
      </c>
      <c r="BB308" s="15" t="s">
        <v>2807</v>
      </c>
      <c r="BC308" s="15" t="s">
        <v>10126</v>
      </c>
      <c r="BD308" s="15" t="s">
        <v>2807</v>
      </c>
      <c r="BE308" s="15" t="s">
        <v>10127</v>
      </c>
      <c r="BF308" s="18"/>
      <c r="BG308" s="18"/>
      <c r="BH308" s="18"/>
      <c r="BI308" s="18"/>
      <c r="BJ308" s="19" t="s">
        <v>10128</v>
      </c>
      <c r="BK308" s="19" t="s">
        <v>10129</v>
      </c>
      <c r="BL308" s="19" t="s">
        <v>10130</v>
      </c>
      <c r="BM308" s="19" t="s">
        <v>10131</v>
      </c>
      <c r="BN308" s="19" t="s">
        <v>10132</v>
      </c>
      <c r="BO308" s="19" t="s">
        <v>10133</v>
      </c>
      <c r="BP308" s="18"/>
      <c r="BQ308" s="15" t="s">
        <v>1193</v>
      </c>
      <c r="BR308" s="18"/>
      <c r="BS308" s="19" t="s">
        <v>10134</v>
      </c>
      <c r="BT308" s="19" t="s">
        <v>10135</v>
      </c>
      <c r="BU308" s="19" t="s">
        <v>10136</v>
      </c>
      <c r="BV308" s="19" t="s">
        <v>10137</v>
      </c>
      <c r="BW308" s="15" t="s">
        <v>10138</v>
      </c>
      <c r="BX308" s="18"/>
      <c r="BY308" s="18" t="str">
        <f t="shared" si="104"/>
        <v>E&amp;TC</v>
      </c>
      <c r="BZ308" s="24" t="str">
        <f t="shared" si="100"/>
        <v>https://drive.google.com/open?id=1OwMIR_YnllhUMZk-8cTQfxP17a6NnF-F</v>
      </c>
      <c r="CA308" s="24" t="str">
        <f t="shared" si="101"/>
        <v>https://drive.google.com/open?id=1e1qvJrqVI8M-bafXMpVtuSye4WVXE4pX</v>
      </c>
      <c r="CB308" s="15" t="s">
        <v>2821</v>
      </c>
      <c r="CC308" s="15" t="s">
        <v>2821</v>
      </c>
      <c r="CD308" s="25" t="s">
        <v>2787</v>
      </c>
      <c r="CE308" s="18"/>
      <c r="CF308" s="18"/>
      <c r="CG308" s="18"/>
    </row>
    <row r="309" ht="18.75" hidden="1" customHeight="1">
      <c r="A309" s="14">
        <v>44738.677092094906</v>
      </c>
      <c r="B309" s="15" t="s">
        <v>1662</v>
      </c>
      <c r="C309" s="16" t="s">
        <v>10139</v>
      </c>
      <c r="D309" s="15" t="str">
        <f>IFERROR(__xludf.DUMMYFUNCTION("QUERY(TY_ALL_2023_Batch!$A$1:$E$824, ""SELECT E WHERE C='""&amp;B309&amp;""'"", 0)"),"E&amp;TC")</f>
        <v>E&amp;TC</v>
      </c>
      <c r="E309" s="15" t="s">
        <v>10140</v>
      </c>
      <c r="F309" s="18"/>
      <c r="G309" s="15" t="s">
        <v>10141</v>
      </c>
      <c r="H309" s="15" t="s">
        <v>2785</v>
      </c>
      <c r="I309" s="17">
        <v>36438.0</v>
      </c>
      <c r="J309" s="15">
        <v>2019.0</v>
      </c>
      <c r="K309" s="15" t="s">
        <v>2786</v>
      </c>
      <c r="L309" s="15" t="s">
        <v>2787</v>
      </c>
      <c r="M309" s="18"/>
      <c r="N309" s="15" t="s">
        <v>10142</v>
      </c>
      <c r="O309" s="15" t="s">
        <v>1662</v>
      </c>
      <c r="P309" s="19" t="s">
        <v>10143</v>
      </c>
      <c r="Q309" s="15">
        <v>8.629908902E9</v>
      </c>
      <c r="R309" s="15">
        <v>8.629908902E9</v>
      </c>
      <c r="S309" s="15">
        <v>9.119108584E9</v>
      </c>
      <c r="T309" s="15" t="s">
        <v>10144</v>
      </c>
      <c r="U309" s="15" t="s">
        <v>10145</v>
      </c>
      <c r="V309" s="15" t="s">
        <v>10146</v>
      </c>
      <c r="W309" s="18"/>
      <c r="X309" s="15">
        <v>84.68</v>
      </c>
      <c r="Y309" s="15" t="s">
        <v>2795</v>
      </c>
      <c r="Z309" s="15">
        <v>7.67</v>
      </c>
      <c r="AA309" s="15">
        <v>8.6</v>
      </c>
      <c r="AB309" s="15" t="s">
        <v>2796</v>
      </c>
      <c r="AC309" s="15" t="s">
        <v>2796</v>
      </c>
      <c r="AD309" s="15" t="s">
        <v>2796</v>
      </c>
      <c r="AE309" s="15" t="s">
        <v>2796</v>
      </c>
      <c r="AF309" s="15">
        <v>8.74</v>
      </c>
      <c r="AG309" s="15">
        <v>9.16</v>
      </c>
      <c r="AH309" s="15">
        <v>94.3</v>
      </c>
      <c r="AI309" s="18"/>
      <c r="AJ309" s="15" t="s">
        <v>2787</v>
      </c>
      <c r="AK309" s="15" t="s">
        <v>2787</v>
      </c>
      <c r="AL309" s="15">
        <v>508.0</v>
      </c>
      <c r="AM309" s="15">
        <v>487.0</v>
      </c>
      <c r="AN309" s="15" t="s">
        <v>2797</v>
      </c>
      <c r="AO309" s="15" t="s">
        <v>3005</v>
      </c>
      <c r="AP309" s="15" t="s">
        <v>2796</v>
      </c>
      <c r="AQ309" s="15" t="s">
        <v>10147</v>
      </c>
      <c r="AR309" s="15" t="s">
        <v>10148</v>
      </c>
      <c r="AS309" s="15" t="s">
        <v>10149</v>
      </c>
      <c r="AT309" s="18"/>
      <c r="AU309" s="15" t="s">
        <v>2796</v>
      </c>
      <c r="AV309" s="15" t="s">
        <v>10150</v>
      </c>
      <c r="AW309" s="15" t="s">
        <v>10151</v>
      </c>
      <c r="AX309" s="15" t="s">
        <v>10152</v>
      </c>
      <c r="AY309" s="15" t="s">
        <v>10153</v>
      </c>
      <c r="AZ309" s="15" t="s">
        <v>5335</v>
      </c>
      <c r="BA309" s="15" t="s">
        <v>2806</v>
      </c>
      <c r="BB309" s="15" t="s">
        <v>4554</v>
      </c>
      <c r="BC309" s="15" t="s">
        <v>10154</v>
      </c>
      <c r="BD309" s="15" t="s">
        <v>2807</v>
      </c>
      <c r="BE309" s="15" t="s">
        <v>10155</v>
      </c>
      <c r="BF309" s="18"/>
      <c r="BG309" s="15" t="s">
        <v>2796</v>
      </c>
      <c r="BH309" s="15" t="s">
        <v>10156</v>
      </c>
      <c r="BI309" s="15" t="s">
        <v>10157</v>
      </c>
      <c r="BJ309" s="19" t="s">
        <v>10158</v>
      </c>
      <c r="BK309" s="19" t="s">
        <v>10159</v>
      </c>
      <c r="BL309" s="19" t="s">
        <v>10160</v>
      </c>
      <c r="BM309" s="19" t="s">
        <v>10161</v>
      </c>
      <c r="BN309" s="19" t="s">
        <v>10162</v>
      </c>
      <c r="BO309" s="19" t="s">
        <v>10163</v>
      </c>
      <c r="BP309" s="19" t="s">
        <v>10164</v>
      </c>
      <c r="BQ309" s="15" t="s">
        <v>1193</v>
      </c>
      <c r="BR309" s="26"/>
      <c r="BS309" s="26"/>
      <c r="BT309" s="26"/>
      <c r="BU309" s="26"/>
      <c r="BV309" s="26"/>
      <c r="BW309" s="15" t="s">
        <v>10165</v>
      </c>
      <c r="BX309" s="26"/>
      <c r="BY309" s="18" t="str">
        <f t="shared" si="104"/>
        <v>E&amp;TC</v>
      </c>
      <c r="BZ309" s="24" t="str">
        <f t="shared" si="100"/>
        <v>https://drive.google.com/open?id=1brW6B44Qh84h6GCdihmmoMJEynSjdv_I</v>
      </c>
      <c r="CA309" s="24" t="str">
        <f t="shared" si="101"/>
        <v>https://drive.google.com/open?id=1THrzHydszHGCA1WF4tdiAXUK8w0euWtI</v>
      </c>
      <c r="CB309" s="15" t="s">
        <v>2821</v>
      </c>
      <c r="CC309" s="15" t="s">
        <v>2821</v>
      </c>
      <c r="CD309" s="25" t="s">
        <v>2797</v>
      </c>
      <c r="CE309" s="18"/>
      <c r="CF309" s="18"/>
      <c r="CG309" s="18"/>
    </row>
    <row r="310" ht="18.75" hidden="1" customHeight="1">
      <c r="A310" s="14">
        <v>44755.49693337963</v>
      </c>
      <c r="B310" s="15" t="s">
        <v>1704</v>
      </c>
      <c r="C310" s="16" t="s">
        <v>10166</v>
      </c>
      <c r="D310" s="15" t="str">
        <f>IFERROR(__xludf.DUMMYFUNCTION("QUERY(TY_ALL_2023_Batch!$A$1:$E$824, ""SELECT E WHERE C='""&amp;B310&amp;""'"", 0)"),"E&amp;TC")</f>
        <v>E&amp;TC</v>
      </c>
      <c r="E310" s="15" t="s">
        <v>6294</v>
      </c>
      <c r="F310" s="15" t="s">
        <v>4096</v>
      </c>
      <c r="G310" s="15" t="s">
        <v>10167</v>
      </c>
      <c r="H310" s="15" t="s">
        <v>2785</v>
      </c>
      <c r="I310" s="17">
        <v>37157.0</v>
      </c>
      <c r="J310" s="15">
        <v>2019.0</v>
      </c>
      <c r="K310" s="15" t="s">
        <v>2786</v>
      </c>
      <c r="L310" s="15" t="s">
        <v>2787</v>
      </c>
      <c r="M310" s="18"/>
      <c r="N310" s="15" t="s">
        <v>10168</v>
      </c>
      <c r="O310" s="15" t="s">
        <v>1704</v>
      </c>
      <c r="P310" s="19" t="s">
        <v>10169</v>
      </c>
      <c r="Q310" s="15">
        <v>8.828173916E9</v>
      </c>
      <c r="R310" s="15">
        <v>8.828173916E9</v>
      </c>
      <c r="S310" s="18"/>
      <c r="T310" s="15" t="s">
        <v>4096</v>
      </c>
      <c r="U310" s="15" t="s">
        <v>10170</v>
      </c>
      <c r="V310" s="15" t="s">
        <v>10171</v>
      </c>
      <c r="W310" s="15" t="s">
        <v>4453</v>
      </c>
      <c r="X310" s="15">
        <v>87.5</v>
      </c>
      <c r="Y310" s="15" t="s">
        <v>2795</v>
      </c>
      <c r="Z310" s="15">
        <v>9.19</v>
      </c>
      <c r="AA310" s="15">
        <v>9.15</v>
      </c>
      <c r="AB310" s="15" t="s">
        <v>2796</v>
      </c>
      <c r="AC310" s="15" t="s">
        <v>2796</v>
      </c>
      <c r="AD310" s="15" t="s">
        <v>2796</v>
      </c>
      <c r="AE310" s="15" t="s">
        <v>2796</v>
      </c>
      <c r="AF310" s="15">
        <v>7.89</v>
      </c>
      <c r="AG310" s="15">
        <v>8.52</v>
      </c>
      <c r="AH310" s="15">
        <v>73.69</v>
      </c>
      <c r="AI310" s="18"/>
      <c r="AJ310" s="15" t="s">
        <v>2787</v>
      </c>
      <c r="AK310" s="15" t="s">
        <v>2787</v>
      </c>
      <c r="AL310" s="18"/>
      <c r="AM310" s="18"/>
      <c r="AN310" s="15" t="s">
        <v>2797</v>
      </c>
      <c r="AO310" s="15" t="s">
        <v>3313</v>
      </c>
      <c r="AP310" s="15" t="s">
        <v>3313</v>
      </c>
      <c r="AQ310" s="15" t="s">
        <v>10172</v>
      </c>
      <c r="AR310" s="15" t="s">
        <v>10173</v>
      </c>
      <c r="AS310" s="15" t="s">
        <v>10174</v>
      </c>
      <c r="AT310" s="15" t="s">
        <v>3313</v>
      </c>
      <c r="AU310" s="18"/>
      <c r="AV310" s="15" t="s">
        <v>10175</v>
      </c>
      <c r="AW310" s="15" t="s">
        <v>9171</v>
      </c>
      <c r="AX310" s="18"/>
      <c r="AY310" s="15" t="s">
        <v>10176</v>
      </c>
      <c r="AZ310" s="15" t="s">
        <v>5335</v>
      </c>
      <c r="BA310" s="15" t="s">
        <v>10177</v>
      </c>
      <c r="BB310" s="15" t="s">
        <v>4504</v>
      </c>
      <c r="BC310" s="15" t="s">
        <v>10178</v>
      </c>
      <c r="BD310" s="15" t="s">
        <v>2807</v>
      </c>
      <c r="BE310" s="15" t="s">
        <v>2796</v>
      </c>
      <c r="BF310" s="18"/>
      <c r="BG310" s="18"/>
      <c r="BH310" s="18"/>
      <c r="BI310" s="15" t="s">
        <v>10179</v>
      </c>
      <c r="BJ310" s="19" t="s">
        <v>10180</v>
      </c>
      <c r="BK310" s="19" t="s">
        <v>10181</v>
      </c>
      <c r="BL310" s="18"/>
      <c r="BM310" s="18"/>
      <c r="BN310" s="18"/>
      <c r="BO310" s="19" t="s">
        <v>10182</v>
      </c>
      <c r="BP310" s="19" t="s">
        <v>10183</v>
      </c>
      <c r="BQ310" s="15" t="s">
        <v>1193</v>
      </c>
      <c r="BR310" s="26"/>
      <c r="BS310" s="26"/>
      <c r="BT310" s="26"/>
      <c r="BU310" s="19" t="s">
        <v>10184</v>
      </c>
      <c r="BV310" s="19" t="s">
        <v>10185</v>
      </c>
      <c r="BW310" s="15" t="s">
        <v>3313</v>
      </c>
      <c r="BX310" s="26"/>
      <c r="BY310" s="18" t="str">
        <f t="shared" si="104"/>
        <v>E&amp;TC</v>
      </c>
      <c r="BZ310" s="24" t="str">
        <f t="shared" si="100"/>
        <v>https://drive.google.com/open?id=1fkiIWJ5UXmHQ23b069XgtoCGBmj2oVpm</v>
      </c>
      <c r="CA310" s="24" t="str">
        <f t="shared" si="101"/>
        <v>https://drive.google.com/open?id=1AlmEpRsxkUSXLOV1fWyHBEc_Ip03UL_B</v>
      </c>
      <c r="CB310" s="15" t="s">
        <v>2908</v>
      </c>
      <c r="CC310" s="15" t="s">
        <v>2908</v>
      </c>
      <c r="CD310" s="25" t="s">
        <v>2797</v>
      </c>
      <c r="CE310" s="18"/>
      <c r="CF310" s="18"/>
      <c r="CG310" s="18"/>
    </row>
    <row r="311" ht="18.75" hidden="1" customHeight="1">
      <c r="A311" s="14">
        <v>44735.50069072917</v>
      </c>
      <c r="B311" s="15" t="s">
        <v>1884</v>
      </c>
      <c r="C311" s="16" t="s">
        <v>10186</v>
      </c>
      <c r="D311" s="15" t="str">
        <f>IFERROR(__xludf.DUMMYFUNCTION("QUERY(TY_ALL_2023_Batch!$A$1:$E$824, ""SELECT E WHERE C='""&amp;B311&amp;""'"", 0)"),"E&amp;TC")</f>
        <v>E&amp;TC</v>
      </c>
      <c r="E311" s="15" t="s">
        <v>10187</v>
      </c>
      <c r="F311" s="15" t="s">
        <v>10188</v>
      </c>
      <c r="G311" s="15" t="s">
        <v>2973</v>
      </c>
      <c r="H311" s="15" t="s">
        <v>2785</v>
      </c>
      <c r="I311" s="17">
        <v>37111.0</v>
      </c>
      <c r="J311" s="15">
        <v>2019.0</v>
      </c>
      <c r="K311" s="15" t="s">
        <v>2786</v>
      </c>
      <c r="L311" s="15" t="s">
        <v>2787</v>
      </c>
      <c r="M311" s="18"/>
      <c r="N311" s="15" t="s">
        <v>10189</v>
      </c>
      <c r="O311" s="15" t="s">
        <v>1884</v>
      </c>
      <c r="P311" s="19" t="s">
        <v>10190</v>
      </c>
      <c r="Q311" s="15">
        <v>9.57929086E9</v>
      </c>
      <c r="R311" s="15">
        <v>9.57929086E9</v>
      </c>
      <c r="S311" s="15">
        <v>9.02888086E9</v>
      </c>
      <c r="T311" s="15" t="s">
        <v>10191</v>
      </c>
      <c r="U311" s="15" t="s">
        <v>10192</v>
      </c>
      <c r="V311" s="15" t="s">
        <v>10193</v>
      </c>
      <c r="W311" s="15" t="s">
        <v>10194</v>
      </c>
      <c r="X311" s="15">
        <v>92.4</v>
      </c>
      <c r="Y311" s="15" t="s">
        <v>2795</v>
      </c>
      <c r="Z311" s="15">
        <v>8.76</v>
      </c>
      <c r="AA311" s="15">
        <v>8.5</v>
      </c>
      <c r="AB311" s="15" t="s">
        <v>2796</v>
      </c>
      <c r="AC311" s="15" t="s">
        <v>2796</v>
      </c>
      <c r="AD311" s="15" t="s">
        <v>2796</v>
      </c>
      <c r="AE311" s="15" t="s">
        <v>2796</v>
      </c>
      <c r="AF311" s="15">
        <v>8.76</v>
      </c>
      <c r="AG311" s="15">
        <v>8.81</v>
      </c>
      <c r="AH311" s="15">
        <v>66.31</v>
      </c>
      <c r="AI311" s="18"/>
      <c r="AJ311" s="15" t="s">
        <v>2787</v>
      </c>
      <c r="AK311" s="15" t="s">
        <v>2787</v>
      </c>
      <c r="AL311" s="18"/>
      <c r="AM311" s="18"/>
      <c r="AN311" s="15" t="s">
        <v>2797</v>
      </c>
      <c r="AO311" s="18"/>
      <c r="AP311" s="18"/>
      <c r="AQ311" s="15" t="s">
        <v>10195</v>
      </c>
      <c r="AR311" s="15" t="s">
        <v>10196</v>
      </c>
      <c r="AS311" s="15" t="s">
        <v>10197</v>
      </c>
      <c r="AT311" s="18"/>
      <c r="AU311" s="15" t="s">
        <v>10198</v>
      </c>
      <c r="AV311" s="15" t="s">
        <v>10199</v>
      </c>
      <c r="AW311" s="15" t="s">
        <v>10200</v>
      </c>
      <c r="AX311" s="18"/>
      <c r="AY311" s="15" t="s">
        <v>10201</v>
      </c>
      <c r="AZ311" s="15" t="s">
        <v>5625</v>
      </c>
      <c r="BA311" s="15" t="s">
        <v>10202</v>
      </c>
      <c r="BB311" s="15" t="s">
        <v>5729</v>
      </c>
      <c r="BC311" s="15" t="s">
        <v>4746</v>
      </c>
      <c r="BD311" s="15" t="s">
        <v>2807</v>
      </c>
      <c r="BE311" s="15" t="s">
        <v>2796</v>
      </c>
      <c r="BF311" s="18"/>
      <c r="BG311" s="18"/>
      <c r="BH311" s="18"/>
      <c r="BI311" s="18"/>
      <c r="BJ311" s="19" t="s">
        <v>10203</v>
      </c>
      <c r="BK311" s="19" t="s">
        <v>10204</v>
      </c>
      <c r="BL311" s="18"/>
      <c r="BM311" s="18"/>
      <c r="BN311" s="18"/>
      <c r="BO311" s="19" t="s">
        <v>10205</v>
      </c>
      <c r="BP311" s="19" t="s">
        <v>10206</v>
      </c>
      <c r="BQ311" s="15" t="s">
        <v>1193</v>
      </c>
      <c r="BR311" s="26"/>
      <c r="BS311" s="26"/>
      <c r="BT311" s="26"/>
      <c r="BU311" s="26"/>
      <c r="BV311" s="26"/>
      <c r="BW311" s="26"/>
      <c r="BX311" s="26"/>
      <c r="BY311" s="18" t="str">
        <f t="shared" si="104"/>
        <v>E&amp;TC</v>
      </c>
      <c r="BZ311" s="18" t="str">
        <f t="shared" si="100"/>
        <v/>
      </c>
      <c r="CA311" s="18" t="str">
        <f t="shared" si="101"/>
        <v/>
      </c>
      <c r="CB311" s="15" t="s">
        <v>2908</v>
      </c>
      <c r="CC311" s="15" t="s">
        <v>2908</v>
      </c>
      <c r="CD311" s="25" t="s">
        <v>2797</v>
      </c>
      <c r="CE311" s="18"/>
      <c r="CF311" s="18"/>
      <c r="CG311" s="18"/>
    </row>
    <row r="312" ht="18.75" hidden="1" customHeight="1">
      <c r="A312" s="14">
        <v>44742.96020498843</v>
      </c>
      <c r="B312" s="15" t="s">
        <v>1665</v>
      </c>
      <c r="C312" s="16" t="s">
        <v>10207</v>
      </c>
      <c r="D312" s="15" t="s">
        <v>10208</v>
      </c>
      <c r="E312" s="15" t="s">
        <v>10209</v>
      </c>
      <c r="F312" s="15" t="s">
        <v>4054</v>
      </c>
      <c r="G312" s="15" t="s">
        <v>10210</v>
      </c>
      <c r="H312" s="15" t="s">
        <v>2785</v>
      </c>
      <c r="I312" s="17">
        <v>36925.0</v>
      </c>
      <c r="J312" s="15">
        <v>2019.0</v>
      </c>
      <c r="K312" s="15" t="s">
        <v>2786</v>
      </c>
      <c r="L312" s="15" t="s">
        <v>2787</v>
      </c>
      <c r="M312" s="18"/>
      <c r="N312" s="15" t="s">
        <v>10211</v>
      </c>
      <c r="O312" s="15" t="s">
        <v>1665</v>
      </c>
      <c r="P312" s="19" t="s">
        <v>10212</v>
      </c>
      <c r="Q312" s="15">
        <v>7.620559885E9</v>
      </c>
      <c r="R312" s="15">
        <v>7.620559885E9</v>
      </c>
      <c r="S312" s="15">
        <v>9.89031359E9</v>
      </c>
      <c r="T312" s="15" t="s">
        <v>10213</v>
      </c>
      <c r="U312" s="15" t="s">
        <v>10214</v>
      </c>
      <c r="V312" s="15" t="s">
        <v>10215</v>
      </c>
      <c r="W312" s="15" t="s">
        <v>10216</v>
      </c>
      <c r="X312" s="15">
        <v>94.2</v>
      </c>
      <c r="Y312" s="15" t="s">
        <v>2795</v>
      </c>
      <c r="Z312" s="15">
        <v>8.38</v>
      </c>
      <c r="AA312" s="15">
        <v>8.75</v>
      </c>
      <c r="AB312" s="15" t="s">
        <v>2796</v>
      </c>
      <c r="AC312" s="15" t="s">
        <v>2796</v>
      </c>
      <c r="AD312" s="15" t="s">
        <v>2796</v>
      </c>
      <c r="AE312" s="15" t="s">
        <v>2796</v>
      </c>
      <c r="AF312" s="15">
        <v>8.37</v>
      </c>
      <c r="AG312" s="15">
        <v>8.76</v>
      </c>
      <c r="AH312" s="15">
        <v>71.85</v>
      </c>
      <c r="AI312" s="18"/>
      <c r="AJ312" s="15" t="s">
        <v>2787</v>
      </c>
      <c r="AK312" s="15" t="s">
        <v>2787</v>
      </c>
      <c r="AL312" s="42">
        <v>0.6842</v>
      </c>
      <c r="AM312" s="42">
        <v>0.448</v>
      </c>
      <c r="AN312" s="15" t="s">
        <v>2797</v>
      </c>
      <c r="AO312" s="15" t="s">
        <v>4032</v>
      </c>
      <c r="AP312" s="15" t="s">
        <v>2908</v>
      </c>
      <c r="AQ312" s="15" t="s">
        <v>9070</v>
      </c>
      <c r="AR312" s="15" t="s">
        <v>9071</v>
      </c>
      <c r="AS312" s="15" t="s">
        <v>9072</v>
      </c>
      <c r="AT312" s="15" t="s">
        <v>9073</v>
      </c>
      <c r="AU312" s="15" t="s">
        <v>10217</v>
      </c>
      <c r="AV312" s="15" t="s">
        <v>10218</v>
      </c>
      <c r="AW312" s="15" t="s">
        <v>10219</v>
      </c>
      <c r="AX312" s="18"/>
      <c r="AY312" s="15" t="s">
        <v>9691</v>
      </c>
      <c r="AZ312" s="15" t="s">
        <v>4670</v>
      </c>
      <c r="BA312" s="15" t="s">
        <v>2806</v>
      </c>
      <c r="BB312" s="15" t="s">
        <v>9078</v>
      </c>
      <c r="BC312" s="15" t="s">
        <v>10220</v>
      </c>
      <c r="BD312" s="15" t="s">
        <v>2807</v>
      </c>
      <c r="BE312" s="15" t="s">
        <v>10221</v>
      </c>
      <c r="BF312" s="15" t="s">
        <v>10222</v>
      </c>
      <c r="BG312" s="15" t="s">
        <v>10223</v>
      </c>
      <c r="BH312" s="15" t="s">
        <v>10224</v>
      </c>
      <c r="BI312" s="15" t="s">
        <v>10225</v>
      </c>
      <c r="BJ312" s="19" t="s">
        <v>10226</v>
      </c>
      <c r="BK312" s="19" t="s">
        <v>10227</v>
      </c>
      <c r="BL312" s="19" t="s">
        <v>10228</v>
      </c>
      <c r="BM312" s="19" t="s">
        <v>10229</v>
      </c>
      <c r="BN312" s="19" t="s">
        <v>10230</v>
      </c>
      <c r="BO312" s="19" t="s">
        <v>10231</v>
      </c>
      <c r="BP312" s="19" t="s">
        <v>10232</v>
      </c>
      <c r="BQ312" s="15" t="s">
        <v>1193</v>
      </c>
      <c r="BR312" s="19" t="s">
        <v>10232</v>
      </c>
      <c r="BS312" s="19" t="s">
        <v>10231</v>
      </c>
      <c r="BT312" s="19" t="s">
        <v>10233</v>
      </c>
      <c r="BU312" s="19" t="s">
        <v>10228</v>
      </c>
      <c r="BV312" s="19" t="s">
        <v>10229</v>
      </c>
      <c r="BW312" s="15" t="s">
        <v>9093</v>
      </c>
      <c r="BX312" s="26"/>
      <c r="BY312" s="18" t="str">
        <f t="shared" si="104"/>
        <v>E&amp;TC</v>
      </c>
      <c r="BZ312" s="24" t="str">
        <f t="shared" si="100"/>
        <v>https://drive.google.com/open?id=1wWvUeOGXIDXv820nDt4LNNuQoN3PG-uu</v>
      </c>
      <c r="CA312" s="24" t="str">
        <f t="shared" si="101"/>
        <v>https://drive.google.com/open?id=1oSaJR6N-1htGwebKZyho_S8RSxAoQMjm</v>
      </c>
      <c r="CB312" s="15" t="s">
        <v>2821</v>
      </c>
      <c r="CC312" s="15" t="s">
        <v>2821</v>
      </c>
      <c r="CD312" s="25" t="s">
        <v>2787</v>
      </c>
      <c r="CE312" s="18"/>
      <c r="CF312" s="18"/>
      <c r="CG312" s="18"/>
    </row>
    <row r="313" ht="18.75" hidden="1" customHeight="1">
      <c r="A313" s="14">
        <v>44735.852075138886</v>
      </c>
      <c r="B313" s="15" t="s">
        <v>10234</v>
      </c>
      <c r="C313" s="16" t="s">
        <v>10235</v>
      </c>
      <c r="D313" s="15" t="str">
        <f>IFERROR(__xludf.DUMMYFUNCTION("QUERY(TY_ALL_2023_Batch!$A$1:$E$824, ""SELECT E WHERE C='""&amp;B313&amp;""'"", 0)"),"#N/A")</f>
        <v>#N/A</v>
      </c>
      <c r="E313" s="15" t="s">
        <v>3424</v>
      </c>
      <c r="F313" s="15" t="s">
        <v>10236</v>
      </c>
      <c r="G313" s="15" t="s">
        <v>2784</v>
      </c>
      <c r="H313" s="15" t="s">
        <v>2785</v>
      </c>
      <c r="I313" s="17">
        <v>37119.0</v>
      </c>
      <c r="J313" s="15">
        <v>2020.0</v>
      </c>
      <c r="K313" s="15" t="s">
        <v>2941</v>
      </c>
      <c r="L313" s="15" t="s">
        <v>2787</v>
      </c>
      <c r="M313" s="18"/>
      <c r="N313" s="15" t="s">
        <v>1231</v>
      </c>
      <c r="O313" s="15" t="s">
        <v>10234</v>
      </c>
      <c r="P313" s="19" t="s">
        <v>10237</v>
      </c>
      <c r="Q313" s="15">
        <v>7.559331002E9</v>
      </c>
      <c r="R313" s="15">
        <v>7.559331002E9</v>
      </c>
      <c r="S313" s="18"/>
      <c r="T313" s="15" t="s">
        <v>10238</v>
      </c>
      <c r="U313" s="15" t="s">
        <v>10239</v>
      </c>
      <c r="V313" s="15" t="s">
        <v>10240</v>
      </c>
      <c r="W313" s="15" t="s">
        <v>10241</v>
      </c>
      <c r="X313" s="15">
        <v>74.4</v>
      </c>
      <c r="Y313" s="15" t="s">
        <v>2948</v>
      </c>
      <c r="Z313" s="15">
        <v>8.54</v>
      </c>
      <c r="AA313" s="15">
        <v>8.65</v>
      </c>
      <c r="AB313" s="15" t="s">
        <v>2796</v>
      </c>
      <c r="AC313" s="15" t="s">
        <v>2796</v>
      </c>
      <c r="AD313" s="15" t="s">
        <v>2796</v>
      </c>
      <c r="AE313" s="15" t="s">
        <v>2796</v>
      </c>
      <c r="AF313" s="18"/>
      <c r="AG313" s="18"/>
      <c r="AH313" s="18"/>
      <c r="AI313" s="15">
        <v>84.82</v>
      </c>
      <c r="AJ313" s="15" t="s">
        <v>2797</v>
      </c>
      <c r="AK313" s="15" t="s">
        <v>2787</v>
      </c>
      <c r="AL313" s="18"/>
      <c r="AM313" s="15">
        <v>550.0</v>
      </c>
      <c r="AN313" s="15" t="s">
        <v>2787</v>
      </c>
      <c r="AO313" s="15" t="s">
        <v>10242</v>
      </c>
      <c r="AP313" s="18"/>
      <c r="AQ313" s="15" t="s">
        <v>10243</v>
      </c>
      <c r="AR313" s="15" t="s">
        <v>10244</v>
      </c>
      <c r="AS313" s="18"/>
      <c r="AT313" s="18"/>
      <c r="AU313" s="18"/>
      <c r="AV313" s="18"/>
      <c r="AW313" s="15" t="s">
        <v>10245</v>
      </c>
      <c r="AX313" s="18"/>
      <c r="AY313" s="15" t="s">
        <v>10245</v>
      </c>
      <c r="AZ313" s="15" t="s">
        <v>4670</v>
      </c>
      <c r="BA313" s="15" t="s">
        <v>2839</v>
      </c>
      <c r="BB313" s="15" t="s">
        <v>10246</v>
      </c>
      <c r="BC313" s="15" t="s">
        <v>10247</v>
      </c>
      <c r="BD313" s="15" t="s">
        <v>2807</v>
      </c>
      <c r="BE313" s="15" t="s">
        <v>10248</v>
      </c>
      <c r="BF313" s="15" t="s">
        <v>10249</v>
      </c>
      <c r="BG313" s="18"/>
      <c r="BH313" s="15" t="s">
        <v>10250</v>
      </c>
      <c r="BI313" s="15" t="s">
        <v>10251</v>
      </c>
      <c r="BJ313" s="19" t="s">
        <v>10252</v>
      </c>
      <c r="BK313" s="19" t="s">
        <v>10253</v>
      </c>
      <c r="BL313" s="18"/>
      <c r="BM313" s="19" t="s">
        <v>10254</v>
      </c>
      <c r="BN313" s="19" t="s">
        <v>10255</v>
      </c>
      <c r="BO313" s="19" t="s">
        <v>10256</v>
      </c>
      <c r="BP313" s="19" t="s">
        <v>10257</v>
      </c>
      <c r="BQ313" s="15" t="s">
        <v>1193</v>
      </c>
      <c r="BR313" s="26"/>
      <c r="BS313" s="26"/>
      <c r="BT313" s="26"/>
      <c r="BU313" s="26"/>
      <c r="BV313" s="26"/>
      <c r="BW313" s="26"/>
      <c r="BX313" s="26"/>
      <c r="BY313" s="18" t="str">
        <f t="shared" si="104"/>
        <v>E&amp;TC</v>
      </c>
      <c r="BZ313" s="18" t="str">
        <f t="shared" si="100"/>
        <v/>
      </c>
      <c r="CA313" s="24" t="str">
        <f t="shared" si="101"/>
        <v>https://drive.google.com/open?id=1t7YuxhJcgvB0k9p8NF3hcRwY0RgiDsrS</v>
      </c>
      <c r="CB313" s="15" t="s">
        <v>2908</v>
      </c>
      <c r="CC313" s="15" t="s">
        <v>2821</v>
      </c>
      <c r="CD313" s="25" t="s">
        <v>2797</v>
      </c>
      <c r="CE313" s="18"/>
      <c r="CF313" s="18"/>
      <c r="CG313" s="18"/>
    </row>
    <row r="314" ht="18.75" hidden="1" customHeight="1">
      <c r="A314" s="14">
        <v>44736.50219712963</v>
      </c>
      <c r="B314" s="15" t="s">
        <v>10258</v>
      </c>
      <c r="C314" s="15">
        <v>2.02105070001E11</v>
      </c>
      <c r="D314" s="15" t="str">
        <f>IFERROR(__xludf.DUMMYFUNCTION("QUERY(TY_ALL_2023_Batch!$A$1:$E$824, ""SELECT E WHERE C='""&amp;B314&amp;""'"", 0)"),"#N/A")</f>
        <v>#N/A</v>
      </c>
      <c r="E314" s="15" t="s">
        <v>10259</v>
      </c>
      <c r="F314" s="15" t="s">
        <v>10260</v>
      </c>
      <c r="G314" s="15" t="s">
        <v>5325</v>
      </c>
      <c r="H314" s="15" t="s">
        <v>2826</v>
      </c>
      <c r="I314" s="17">
        <v>35948.0</v>
      </c>
      <c r="J314" s="15">
        <v>2020.0</v>
      </c>
      <c r="K314" s="15" t="s">
        <v>2941</v>
      </c>
      <c r="L314" s="15" t="s">
        <v>2787</v>
      </c>
      <c r="M314" s="18"/>
      <c r="N314" s="15" t="s">
        <v>10261</v>
      </c>
      <c r="O314" s="15" t="s">
        <v>10262</v>
      </c>
      <c r="P314" s="19" t="s">
        <v>10263</v>
      </c>
      <c r="Q314" s="15">
        <v>9.359147896E9</v>
      </c>
      <c r="R314" s="15">
        <v>7.028419275E9</v>
      </c>
      <c r="S314" s="15">
        <v>7.558667998E9</v>
      </c>
      <c r="T314" s="15" t="s">
        <v>10264</v>
      </c>
      <c r="U314" s="15" t="s">
        <v>10265</v>
      </c>
      <c r="V314" s="15" t="s">
        <v>10266</v>
      </c>
      <c r="W314" s="15" t="s">
        <v>9128</v>
      </c>
      <c r="X314" s="15">
        <v>85.2</v>
      </c>
      <c r="Y314" s="15" t="s">
        <v>2948</v>
      </c>
      <c r="Z314" s="15">
        <v>6.1</v>
      </c>
      <c r="AA314" s="15">
        <v>6.1</v>
      </c>
      <c r="AB314" s="15">
        <v>6.95</v>
      </c>
      <c r="AC314" s="15" t="s">
        <v>2796</v>
      </c>
      <c r="AD314" s="15" t="s">
        <v>2796</v>
      </c>
      <c r="AE314" s="15" t="s">
        <v>2796</v>
      </c>
      <c r="AF314" s="18"/>
      <c r="AG314" s="18"/>
      <c r="AH314" s="18"/>
      <c r="AI314" s="15">
        <v>72.59</v>
      </c>
      <c r="AJ314" s="15" t="s">
        <v>2787</v>
      </c>
      <c r="AK314" s="15" t="s">
        <v>2787</v>
      </c>
      <c r="AL314" s="15">
        <v>88.33</v>
      </c>
      <c r="AM314" s="15">
        <v>56.33</v>
      </c>
      <c r="AN314" s="15" t="s">
        <v>2787</v>
      </c>
      <c r="AO314" s="18"/>
      <c r="AP314" s="18"/>
      <c r="AQ314" s="15" t="s">
        <v>10267</v>
      </c>
      <c r="AR314" s="18"/>
      <c r="AS314" s="15" t="s">
        <v>10268</v>
      </c>
      <c r="AT314" s="18"/>
      <c r="AU314" s="18"/>
      <c r="AV314" s="18"/>
      <c r="AW314" s="15" t="s">
        <v>10269</v>
      </c>
      <c r="AX314" s="15" t="s">
        <v>10270</v>
      </c>
      <c r="AY314" s="15" t="s">
        <v>10271</v>
      </c>
      <c r="AZ314" s="15" t="s">
        <v>4670</v>
      </c>
      <c r="BA314" s="15" t="s">
        <v>10272</v>
      </c>
      <c r="BB314" s="15" t="s">
        <v>5803</v>
      </c>
      <c r="BC314" s="15" t="s">
        <v>10273</v>
      </c>
      <c r="BD314" s="15" t="s">
        <v>10274</v>
      </c>
      <c r="BE314" s="15" t="s">
        <v>10275</v>
      </c>
      <c r="BF314" s="15" t="s">
        <v>10276</v>
      </c>
      <c r="BG314" s="18"/>
      <c r="BH314" s="18"/>
      <c r="BI314" s="15" t="s">
        <v>10277</v>
      </c>
      <c r="BJ314" s="19" t="s">
        <v>10278</v>
      </c>
      <c r="BK314" s="19" t="s">
        <v>10279</v>
      </c>
      <c r="BL314" s="18"/>
      <c r="BM314" s="19" t="s">
        <v>10280</v>
      </c>
      <c r="BN314" s="19" t="s">
        <v>10281</v>
      </c>
      <c r="BO314" s="19" t="s">
        <v>10282</v>
      </c>
      <c r="BP314" s="18"/>
      <c r="BQ314" s="15" t="s">
        <v>1193</v>
      </c>
      <c r="BR314" s="26"/>
      <c r="BS314" s="26"/>
      <c r="BT314" s="26"/>
      <c r="BU314" s="26"/>
      <c r="BV314" s="26"/>
      <c r="BW314" s="26"/>
      <c r="BX314" s="26"/>
      <c r="BY314" s="18" t="str">
        <f t="shared" si="104"/>
        <v>E&amp;TC</v>
      </c>
      <c r="BZ314" s="18" t="str">
        <f t="shared" si="100"/>
        <v/>
      </c>
      <c r="CA314" s="24" t="str">
        <f t="shared" si="101"/>
        <v>https://drive.google.com/open?id=1N9KgfLWB9a3IJheg9XC_ZJF5f52uUzm3</v>
      </c>
      <c r="CB314" s="15" t="s">
        <v>2908</v>
      </c>
      <c r="CC314" s="15" t="s">
        <v>2821</v>
      </c>
      <c r="CD314" s="25" t="s">
        <v>2797</v>
      </c>
      <c r="CE314" s="18"/>
      <c r="CF314" s="18"/>
      <c r="CG314" s="18"/>
    </row>
    <row r="315" ht="18.75" hidden="1" customHeight="1">
      <c r="A315" s="14">
        <v>44742.515382928235</v>
      </c>
      <c r="B315" s="15" t="s">
        <v>10283</v>
      </c>
      <c r="C315" s="16" t="s">
        <v>10284</v>
      </c>
      <c r="D315" s="15" t="str">
        <f>IFERROR(__xludf.DUMMYFUNCTION("QUERY(TY_ALL_2023_Batch!$A$1:$E$824, ""SELECT E WHERE C='""&amp;B315&amp;""'"", 0)"),"#N/A")</f>
        <v>#N/A</v>
      </c>
      <c r="E315" s="15" t="s">
        <v>8989</v>
      </c>
      <c r="F315" s="15" t="s">
        <v>4593</v>
      </c>
      <c r="G315" s="15" t="s">
        <v>4471</v>
      </c>
      <c r="H315" s="15" t="s">
        <v>2826</v>
      </c>
      <c r="I315" s="17">
        <v>36606.0</v>
      </c>
      <c r="J315" s="15">
        <v>2020.0</v>
      </c>
      <c r="K315" s="15" t="s">
        <v>2941</v>
      </c>
      <c r="L315" s="15" t="s">
        <v>2787</v>
      </c>
      <c r="M315" s="18"/>
      <c r="N315" s="15" t="s">
        <v>1216</v>
      </c>
      <c r="O315" s="15" t="s">
        <v>10285</v>
      </c>
      <c r="P315" s="19" t="s">
        <v>10286</v>
      </c>
      <c r="Q315" s="15">
        <v>8.080012314E9</v>
      </c>
      <c r="R315" s="15">
        <v>8.080012314E9</v>
      </c>
      <c r="S315" s="15">
        <v>7.262029909E9</v>
      </c>
      <c r="T315" s="15" t="s">
        <v>4593</v>
      </c>
      <c r="U315" s="15" t="s">
        <v>10287</v>
      </c>
      <c r="V315" s="15" t="s">
        <v>10288</v>
      </c>
      <c r="W315" s="15" t="s">
        <v>10289</v>
      </c>
      <c r="X315" s="15">
        <v>75.0</v>
      </c>
      <c r="Y315" s="15" t="s">
        <v>2948</v>
      </c>
      <c r="Z315" s="15">
        <v>7.84</v>
      </c>
      <c r="AA315" s="15">
        <v>8.0</v>
      </c>
      <c r="AB315" s="15" t="s">
        <v>2796</v>
      </c>
      <c r="AC315" s="15" t="s">
        <v>2796</v>
      </c>
      <c r="AD315" s="15" t="s">
        <v>2796</v>
      </c>
      <c r="AE315" s="15" t="s">
        <v>2796</v>
      </c>
      <c r="AF315" s="18"/>
      <c r="AG315" s="18"/>
      <c r="AH315" s="18"/>
      <c r="AI315" s="15">
        <v>88.0</v>
      </c>
      <c r="AJ315" s="15" t="s">
        <v>2787</v>
      </c>
      <c r="AK315" s="15" t="s">
        <v>2787</v>
      </c>
      <c r="AL315" s="15">
        <v>550.0</v>
      </c>
      <c r="AM315" s="15">
        <v>580.0</v>
      </c>
      <c r="AN315" s="15" t="s">
        <v>2797</v>
      </c>
      <c r="AO315" s="15"/>
      <c r="AP315" s="15" t="s">
        <v>3005</v>
      </c>
      <c r="AQ315" s="15" t="s">
        <v>10290</v>
      </c>
      <c r="AR315" s="15" t="s">
        <v>10291</v>
      </c>
      <c r="AS315" s="15" t="s">
        <v>10292</v>
      </c>
      <c r="AT315" s="18"/>
      <c r="AU315" s="15"/>
      <c r="AV315" s="15"/>
      <c r="AW315" s="15" t="s">
        <v>10293</v>
      </c>
      <c r="AX315" s="18"/>
      <c r="AY315" s="15" t="s">
        <v>10294</v>
      </c>
      <c r="AZ315" s="15" t="s">
        <v>4670</v>
      </c>
      <c r="BA315" s="15" t="s">
        <v>8441</v>
      </c>
      <c r="BB315" s="15" t="s">
        <v>2807</v>
      </c>
      <c r="BC315" s="15" t="s">
        <v>8336</v>
      </c>
      <c r="BD315" s="15" t="s">
        <v>3393</v>
      </c>
      <c r="BE315" s="15" t="s">
        <v>10295</v>
      </c>
      <c r="BF315" s="15" t="s">
        <v>10296</v>
      </c>
      <c r="BG315" s="15"/>
      <c r="BH315" s="18"/>
      <c r="BI315" s="15" t="s">
        <v>10297</v>
      </c>
      <c r="BJ315" s="19" t="s">
        <v>10298</v>
      </c>
      <c r="BK315" s="19" t="s">
        <v>10299</v>
      </c>
      <c r="BL315" s="19" t="s">
        <v>10300</v>
      </c>
      <c r="BM315" s="19" t="s">
        <v>10301</v>
      </c>
      <c r="BN315" s="18"/>
      <c r="BO315" s="19" t="s">
        <v>10302</v>
      </c>
      <c r="BP315" s="18"/>
      <c r="BQ315" s="15" t="s">
        <v>1193</v>
      </c>
      <c r="BR315" s="26"/>
      <c r="BS315" s="26"/>
      <c r="BT315" s="26"/>
      <c r="BU315" s="19" t="s">
        <v>10303</v>
      </c>
      <c r="BV315" s="19" t="s">
        <v>10304</v>
      </c>
      <c r="BW315" s="15" t="s">
        <v>10305</v>
      </c>
      <c r="BX315" s="26"/>
      <c r="BY315" s="18" t="str">
        <f t="shared" si="104"/>
        <v>E&amp;TC</v>
      </c>
      <c r="BZ315" s="24" t="str">
        <f t="shared" si="100"/>
        <v>https://drive.google.com/open?id=1B7kLRgsSyfSY7CD6c9AO_3z8SKknBCVc</v>
      </c>
      <c r="CA315" s="24" t="str">
        <f t="shared" si="101"/>
        <v>https://drive.google.com/open?id=14s2fy0w2gXM9Jn2bqLZ8E6fKCKXgtSmi</v>
      </c>
      <c r="CB315" s="15" t="s">
        <v>2821</v>
      </c>
      <c r="CC315" s="15" t="s">
        <v>2821</v>
      </c>
      <c r="CD315" s="25" t="s">
        <v>2797</v>
      </c>
      <c r="CE315" s="18"/>
      <c r="CF315" s="18"/>
      <c r="CG315" s="18"/>
    </row>
    <row r="316" ht="18.75" hidden="1" customHeight="1">
      <c r="A316" s="14">
        <v>44749.85466162037</v>
      </c>
      <c r="B316" s="15" t="s">
        <v>10306</v>
      </c>
      <c r="C316" s="16" t="s">
        <v>10307</v>
      </c>
      <c r="D316" s="15" t="str">
        <f>IFERROR(__xludf.DUMMYFUNCTION("QUERY(TY_ALL_2023_Batch!$A$1:$E$824, ""SELECT E WHERE C='""&amp;B316&amp;""'"", 0)"),"#N/A")</f>
        <v>#N/A</v>
      </c>
      <c r="E316" s="15" t="s">
        <v>8374</v>
      </c>
      <c r="F316" s="15" t="s">
        <v>6742</v>
      </c>
      <c r="G316" s="15" t="s">
        <v>10308</v>
      </c>
      <c r="H316" s="15" t="s">
        <v>2785</v>
      </c>
      <c r="I316" s="17">
        <v>37037.0</v>
      </c>
      <c r="J316" s="15">
        <v>2019.0</v>
      </c>
      <c r="K316" s="15" t="s">
        <v>2786</v>
      </c>
      <c r="L316" s="15" t="s">
        <v>2787</v>
      </c>
      <c r="M316" s="18"/>
      <c r="N316" s="15" t="s">
        <v>10309</v>
      </c>
      <c r="O316" s="15" t="s">
        <v>10306</v>
      </c>
      <c r="P316" s="19" t="s">
        <v>10310</v>
      </c>
      <c r="Q316" s="15">
        <v>7.588761113E9</v>
      </c>
      <c r="R316" s="15">
        <v>7.588761113E9</v>
      </c>
      <c r="S316" s="18"/>
      <c r="T316" s="15" t="s">
        <v>10311</v>
      </c>
      <c r="U316" s="15" t="s">
        <v>10312</v>
      </c>
      <c r="V316" s="15" t="s">
        <v>10313</v>
      </c>
      <c r="W316" s="15" t="s">
        <v>10314</v>
      </c>
      <c r="X316" s="15">
        <v>83.0</v>
      </c>
      <c r="Y316" s="15" t="s">
        <v>2795</v>
      </c>
      <c r="Z316" s="15">
        <v>8.1</v>
      </c>
      <c r="AA316" s="15">
        <v>8.34</v>
      </c>
      <c r="AB316" s="15" t="s">
        <v>2796</v>
      </c>
      <c r="AC316" s="15" t="s">
        <v>2796</v>
      </c>
      <c r="AD316" s="15" t="s">
        <v>2796</v>
      </c>
      <c r="AE316" s="15" t="s">
        <v>2796</v>
      </c>
      <c r="AF316" s="15">
        <v>8.26</v>
      </c>
      <c r="AG316" s="15">
        <v>8.62</v>
      </c>
      <c r="AH316" s="15">
        <v>75.08</v>
      </c>
      <c r="AI316" s="18"/>
      <c r="AJ316" s="15" t="s">
        <v>2787</v>
      </c>
      <c r="AK316" s="15" t="s">
        <v>2787</v>
      </c>
      <c r="AL316" s="15">
        <v>428.0</v>
      </c>
      <c r="AM316" s="15" t="s">
        <v>10315</v>
      </c>
      <c r="AN316" s="15" t="s">
        <v>2797</v>
      </c>
      <c r="AO316" s="18"/>
      <c r="AP316" s="18"/>
      <c r="AQ316" s="15" t="s">
        <v>10316</v>
      </c>
      <c r="AR316" s="15" t="s">
        <v>10317</v>
      </c>
      <c r="AS316" s="15" t="s">
        <v>10318</v>
      </c>
      <c r="AT316" s="18"/>
      <c r="AU316" s="18"/>
      <c r="AV316" s="15" t="s">
        <v>10319</v>
      </c>
      <c r="AW316" s="15" t="s">
        <v>10320</v>
      </c>
      <c r="AX316" s="18"/>
      <c r="AY316" s="15" t="s">
        <v>10321</v>
      </c>
      <c r="AZ316" s="15" t="s">
        <v>5260</v>
      </c>
      <c r="BA316" s="15" t="s">
        <v>6581</v>
      </c>
      <c r="BB316" s="15" t="s">
        <v>5523</v>
      </c>
      <c r="BC316" s="15" t="s">
        <v>5604</v>
      </c>
      <c r="BD316" s="15" t="s">
        <v>2807</v>
      </c>
      <c r="BE316" s="15" t="s">
        <v>2796</v>
      </c>
      <c r="BF316" s="18"/>
      <c r="BG316" s="18"/>
      <c r="BH316" s="18"/>
      <c r="BI316" s="18"/>
      <c r="BJ316" s="19" t="s">
        <v>10322</v>
      </c>
      <c r="BK316" s="19" t="s">
        <v>10323</v>
      </c>
      <c r="BL316" s="19" t="s">
        <v>10324</v>
      </c>
      <c r="BM316" s="19" t="s">
        <v>10325</v>
      </c>
      <c r="BN316" s="19" t="s">
        <v>10326</v>
      </c>
      <c r="BO316" s="19" t="s">
        <v>10327</v>
      </c>
      <c r="BP316" s="19" t="s">
        <v>10328</v>
      </c>
      <c r="BQ316" s="15" t="s">
        <v>1193</v>
      </c>
      <c r="BR316" s="26"/>
      <c r="BS316" s="26"/>
      <c r="BT316" s="26"/>
      <c r="BU316" s="26"/>
      <c r="BV316" s="26"/>
      <c r="BW316" s="15" t="s">
        <v>10329</v>
      </c>
      <c r="BX316" s="26"/>
      <c r="BY316" s="18" t="str">
        <f t="shared" si="104"/>
        <v>E&amp;TC</v>
      </c>
      <c r="BZ316" s="24" t="str">
        <f t="shared" si="100"/>
        <v>https://drive.google.com/open?id=1M8mJ_vN-0XsCFqEXM4k4qf7BaZ8YNwdW</v>
      </c>
      <c r="CA316" s="24" t="str">
        <f t="shared" si="101"/>
        <v>https://drive.google.com/open?id=1ViA8pmSRIY-qFTg1b7exoBwGy7f4YEYF</v>
      </c>
      <c r="CB316" s="15" t="s">
        <v>2908</v>
      </c>
      <c r="CC316" s="15" t="s">
        <v>2908</v>
      </c>
      <c r="CD316" s="25" t="s">
        <v>2797</v>
      </c>
      <c r="CE316" s="18"/>
      <c r="CF316" s="18"/>
      <c r="CG316" s="18"/>
    </row>
    <row r="317" ht="18.75" hidden="1" customHeight="1">
      <c r="A317" s="14">
        <v>44783.412924502314</v>
      </c>
      <c r="B317" s="15" t="s">
        <v>10330</v>
      </c>
      <c r="C317" s="16" t="s">
        <v>10331</v>
      </c>
      <c r="D317" s="15" t="str">
        <f>IFERROR(__xludf.DUMMYFUNCTION("QUERY(TY_ALL_2023_Batch!$A$1:$E$824, ""SELECT E WHERE C='""&amp;B317&amp;""'"", 0)"),"#N/A")</f>
        <v>#N/A</v>
      </c>
      <c r="E317" s="15" t="s">
        <v>5478</v>
      </c>
      <c r="F317" s="15" t="s">
        <v>6015</v>
      </c>
      <c r="G317" s="15" t="s">
        <v>10332</v>
      </c>
      <c r="H317" s="15" t="s">
        <v>2826</v>
      </c>
      <c r="I317" s="17">
        <v>37046.0</v>
      </c>
      <c r="J317" s="15">
        <v>2020.0</v>
      </c>
      <c r="K317" s="15" t="s">
        <v>2941</v>
      </c>
      <c r="L317" s="15" t="s">
        <v>2787</v>
      </c>
      <c r="M317" s="18"/>
      <c r="N317" s="15" t="s">
        <v>1204</v>
      </c>
      <c r="O317" s="15" t="s">
        <v>10330</v>
      </c>
      <c r="P317" s="15" t="s">
        <v>10333</v>
      </c>
      <c r="Q317" s="15">
        <v>9.359017529E9</v>
      </c>
      <c r="R317" s="15">
        <v>9.359017529E9</v>
      </c>
      <c r="S317" s="15">
        <v>9.359017529E9</v>
      </c>
      <c r="T317" s="15" t="s">
        <v>6015</v>
      </c>
      <c r="U317" s="15" t="s">
        <v>4717</v>
      </c>
      <c r="V317" s="15" t="s">
        <v>10334</v>
      </c>
      <c r="W317" s="15" t="s">
        <v>10335</v>
      </c>
      <c r="X317" s="15">
        <v>82.8</v>
      </c>
      <c r="Y317" s="15" t="s">
        <v>2948</v>
      </c>
      <c r="Z317" s="15">
        <v>7.9</v>
      </c>
      <c r="AA317" s="15">
        <v>8.0</v>
      </c>
      <c r="AB317" s="15">
        <v>6.9</v>
      </c>
      <c r="AC317" s="15">
        <v>7.18</v>
      </c>
      <c r="AD317" s="15" t="s">
        <v>2796</v>
      </c>
      <c r="AE317" s="15" t="s">
        <v>2796</v>
      </c>
      <c r="AF317" s="18"/>
      <c r="AG317" s="18"/>
      <c r="AH317" s="18"/>
      <c r="AI317" s="15">
        <v>82.65</v>
      </c>
      <c r="AJ317" s="15" t="s">
        <v>2787</v>
      </c>
      <c r="AK317" s="15" t="s">
        <v>2787</v>
      </c>
      <c r="AL317" s="15">
        <v>93.0</v>
      </c>
      <c r="AM317" s="15">
        <v>99.0</v>
      </c>
      <c r="AN317" s="15" t="s">
        <v>2797</v>
      </c>
      <c r="AO317" s="18"/>
      <c r="AP317" s="18"/>
      <c r="AQ317" s="15" t="s">
        <v>5331</v>
      </c>
      <c r="AR317" s="15" t="s">
        <v>10018</v>
      </c>
      <c r="AS317" s="15" t="s">
        <v>10336</v>
      </c>
      <c r="AT317" s="18"/>
      <c r="AU317" s="15"/>
      <c r="AV317" s="15"/>
      <c r="AW317" s="15" t="s">
        <v>10337</v>
      </c>
      <c r="AX317" s="15" t="s">
        <v>10338</v>
      </c>
      <c r="AY317" s="15" t="s">
        <v>10339</v>
      </c>
      <c r="AZ317" s="15" t="s">
        <v>5260</v>
      </c>
      <c r="BA317" s="15" t="s">
        <v>6926</v>
      </c>
      <c r="BB317" s="15" t="s">
        <v>8773</v>
      </c>
      <c r="BC317" s="15" t="s">
        <v>8336</v>
      </c>
      <c r="BD317" s="15" t="s">
        <v>10340</v>
      </c>
      <c r="BE317" s="15" t="s">
        <v>3005</v>
      </c>
      <c r="BF317" s="15" t="s">
        <v>10341</v>
      </c>
      <c r="BG317" s="15" t="s">
        <v>10342</v>
      </c>
      <c r="BH317" s="15" t="s">
        <v>10343</v>
      </c>
      <c r="BI317" s="18"/>
      <c r="BJ317" s="19" t="s">
        <v>10344</v>
      </c>
      <c r="BK317" s="19" t="s">
        <v>10345</v>
      </c>
      <c r="BL317" s="19" t="s">
        <v>10346</v>
      </c>
      <c r="BM317" s="20" t="s">
        <v>10347</v>
      </c>
      <c r="BN317" s="18"/>
      <c r="BO317" s="19" t="s">
        <v>10348</v>
      </c>
      <c r="BP317" s="19" t="s">
        <v>10349</v>
      </c>
      <c r="BQ317" s="15" t="s">
        <v>1193</v>
      </c>
      <c r="BR317" s="18"/>
      <c r="BS317" s="18"/>
      <c r="BT317" s="19" t="s">
        <v>10350</v>
      </c>
      <c r="BU317" s="19" t="s">
        <v>10351</v>
      </c>
      <c r="BV317" s="19" t="s">
        <v>10352</v>
      </c>
      <c r="BW317" s="15" t="s">
        <v>10353</v>
      </c>
      <c r="BX317" s="18"/>
      <c r="BY317" s="18" t="str">
        <f t="shared" si="104"/>
        <v>E&amp;TC</v>
      </c>
      <c r="BZ317" s="24" t="str">
        <f t="shared" si="100"/>
        <v>https://drive.google.com/open?id=11iDR-lbbuCJ1LVgvriOmh4q-ZtoEG6Z0</v>
      </c>
      <c r="CA317" s="24" t="str">
        <f t="shared" si="101"/>
        <v>https://drive.google.com/open?id=1p7JS_diuzLueHn0JV016Ht1TadvKjeN0</v>
      </c>
      <c r="CB317" s="15" t="s">
        <v>2821</v>
      </c>
      <c r="CC317" s="15" t="s">
        <v>2821</v>
      </c>
      <c r="CD317" s="25" t="s">
        <v>2909</v>
      </c>
      <c r="CE317" s="18"/>
      <c r="CF317" s="18"/>
      <c r="CG317" s="18"/>
    </row>
    <row r="318" ht="18.75" hidden="1" customHeight="1">
      <c r="A318" s="14">
        <v>44740.940637430554</v>
      </c>
      <c r="B318" s="15" t="s">
        <v>10354</v>
      </c>
      <c r="C318" s="16" t="s">
        <v>10355</v>
      </c>
      <c r="D318" s="15" t="str">
        <f>IFERROR(__xludf.DUMMYFUNCTION("QUERY(TY_ALL_2023_Batch!$A$1:$E$824, ""SELECT E WHERE C='""&amp;B318&amp;""'"", 0)"),"#N/A")</f>
        <v>#N/A</v>
      </c>
      <c r="E318" s="15" t="s">
        <v>10356</v>
      </c>
      <c r="F318" s="15" t="s">
        <v>7521</v>
      </c>
      <c r="G318" s="15" t="s">
        <v>10357</v>
      </c>
      <c r="H318" s="15" t="s">
        <v>2785</v>
      </c>
      <c r="I318" s="17">
        <v>37381.0</v>
      </c>
      <c r="J318" s="15">
        <v>2020.0</v>
      </c>
      <c r="K318" s="15" t="s">
        <v>2941</v>
      </c>
      <c r="L318" s="15" t="s">
        <v>2787</v>
      </c>
      <c r="M318" s="18"/>
      <c r="N318" s="15" t="s">
        <v>1240</v>
      </c>
      <c r="O318" s="15" t="s">
        <v>10354</v>
      </c>
      <c r="P318" s="19" t="s">
        <v>10358</v>
      </c>
      <c r="Q318" s="15">
        <v>7.620053307E9</v>
      </c>
      <c r="R318" s="15">
        <v>7.620053307E9</v>
      </c>
      <c r="S318" s="15">
        <v>8.625975878E9</v>
      </c>
      <c r="T318" s="15" t="s">
        <v>7521</v>
      </c>
      <c r="U318" s="15" t="s">
        <v>3584</v>
      </c>
      <c r="V318" s="15" t="s">
        <v>10359</v>
      </c>
      <c r="W318" s="15" t="s">
        <v>10360</v>
      </c>
      <c r="X318" s="15">
        <v>64.8</v>
      </c>
      <c r="Y318" s="15" t="s">
        <v>2948</v>
      </c>
      <c r="Z318" s="15">
        <v>8.38</v>
      </c>
      <c r="AA318" s="15">
        <v>8.65</v>
      </c>
      <c r="AB318" s="15" t="s">
        <v>10361</v>
      </c>
      <c r="AC318" s="15" t="s">
        <v>10361</v>
      </c>
      <c r="AD318" s="15" t="s">
        <v>10361</v>
      </c>
      <c r="AE318" s="15" t="s">
        <v>10361</v>
      </c>
      <c r="AF318" s="18"/>
      <c r="AG318" s="18"/>
      <c r="AH318" s="18"/>
      <c r="AI318" s="15">
        <v>83.24</v>
      </c>
      <c r="AJ318" s="15" t="s">
        <v>2787</v>
      </c>
      <c r="AK318" s="15" t="s">
        <v>2787</v>
      </c>
      <c r="AL318" s="15">
        <v>552.0</v>
      </c>
      <c r="AM318" s="15">
        <v>420.0</v>
      </c>
      <c r="AN318" s="15" t="s">
        <v>2797</v>
      </c>
      <c r="AO318" s="18"/>
      <c r="AP318" s="18"/>
      <c r="AQ318" s="15" t="s">
        <v>9389</v>
      </c>
      <c r="AR318" s="15" t="s">
        <v>10362</v>
      </c>
      <c r="AS318" s="18"/>
      <c r="AT318" s="18"/>
      <c r="AU318" s="18"/>
      <c r="AV318" s="15" t="s">
        <v>10363</v>
      </c>
      <c r="AW318" s="15" t="s">
        <v>10364</v>
      </c>
      <c r="AX318" s="18"/>
      <c r="AY318" s="15" t="s">
        <v>10365</v>
      </c>
      <c r="AZ318" s="15" t="s">
        <v>5287</v>
      </c>
      <c r="BA318" s="15" t="s">
        <v>4085</v>
      </c>
      <c r="BB318" s="15" t="s">
        <v>2807</v>
      </c>
      <c r="BC318" s="15" t="s">
        <v>8336</v>
      </c>
      <c r="BD318" s="15" t="s">
        <v>2807</v>
      </c>
      <c r="BE318" s="15" t="s">
        <v>10366</v>
      </c>
      <c r="BF318" s="15" t="s">
        <v>10367</v>
      </c>
      <c r="BG318" s="18"/>
      <c r="BH318" s="18"/>
      <c r="BI318" s="18"/>
      <c r="BJ318" s="19" t="s">
        <v>10368</v>
      </c>
      <c r="BK318" s="19" t="s">
        <v>10369</v>
      </c>
      <c r="BL318" s="19" t="s">
        <v>10370</v>
      </c>
      <c r="BM318" s="19" t="s">
        <v>10371</v>
      </c>
      <c r="BN318" s="19" t="s">
        <v>10372</v>
      </c>
      <c r="BO318" s="19" t="s">
        <v>10373</v>
      </c>
      <c r="BP318" s="18"/>
      <c r="BQ318" s="15" t="s">
        <v>1193</v>
      </c>
      <c r="BR318" s="26"/>
      <c r="BS318" s="26"/>
      <c r="BT318" s="26"/>
      <c r="BU318" s="26"/>
      <c r="BV318" s="26"/>
      <c r="BW318" s="15" t="s">
        <v>10374</v>
      </c>
      <c r="BX318" s="26"/>
      <c r="BY318" s="18" t="str">
        <f t="shared" si="104"/>
        <v>E&amp;TC</v>
      </c>
      <c r="BZ318" s="24" t="str">
        <f t="shared" si="100"/>
        <v>https://drive.google.com/open?id=1POrf-ofdQFNuvBe-xUs-RK_TpZKXu9jb</v>
      </c>
      <c r="CA318" s="24" t="str">
        <f t="shared" si="101"/>
        <v>https://drive.google.com/open?id=1RCyhXrp-1N9kwTRrlOefuJBNcCemhvuf</v>
      </c>
      <c r="CB318" s="15" t="s">
        <v>2821</v>
      </c>
      <c r="CC318" s="15" t="s">
        <v>2821</v>
      </c>
      <c r="CD318" s="25" t="s">
        <v>2797</v>
      </c>
      <c r="CE318" s="18"/>
      <c r="CF318" s="18"/>
      <c r="CG318" s="18"/>
    </row>
    <row r="319" ht="18.75" hidden="1" customHeight="1">
      <c r="A319" s="14">
        <v>44735.59446101852</v>
      </c>
      <c r="B319" s="15" t="s">
        <v>10375</v>
      </c>
      <c r="C319" s="16" t="s">
        <v>10376</v>
      </c>
      <c r="D319" s="15" t="str">
        <f>IFERROR(__xludf.DUMMYFUNCTION("QUERY(TY_ALL_2023_Batch!$A$1:$E$824, ""SELECT E WHERE C='""&amp;B319&amp;""'"", 0)"),"#N/A")</f>
        <v>#N/A</v>
      </c>
      <c r="E319" s="15" t="s">
        <v>7366</v>
      </c>
      <c r="F319" s="15" t="s">
        <v>10377</v>
      </c>
      <c r="G319" s="15" t="s">
        <v>10378</v>
      </c>
      <c r="H319" s="15" t="s">
        <v>2785</v>
      </c>
      <c r="I319" s="17">
        <v>37034.0</v>
      </c>
      <c r="J319" s="15">
        <v>2019.0</v>
      </c>
      <c r="K319" s="15" t="s">
        <v>2786</v>
      </c>
      <c r="L319" s="15" t="s">
        <v>2787</v>
      </c>
      <c r="M319" s="18"/>
      <c r="N319" s="15" t="s">
        <v>10379</v>
      </c>
      <c r="O319" s="15" t="s">
        <v>10375</v>
      </c>
      <c r="P319" s="19" t="s">
        <v>10380</v>
      </c>
      <c r="Q319" s="15">
        <v>7.020095413E9</v>
      </c>
      <c r="R319" s="15">
        <v>7.020095413E9</v>
      </c>
      <c r="S319" s="15">
        <v>7.70998886E9</v>
      </c>
      <c r="T319" s="15" t="s">
        <v>10381</v>
      </c>
      <c r="U319" s="15" t="s">
        <v>10382</v>
      </c>
      <c r="V319" s="15" t="s">
        <v>10383</v>
      </c>
      <c r="W319" s="15" t="s">
        <v>10384</v>
      </c>
      <c r="X319" s="15">
        <v>89.4</v>
      </c>
      <c r="Y319" s="15" t="s">
        <v>2795</v>
      </c>
      <c r="Z319" s="15">
        <v>7.6</v>
      </c>
      <c r="AA319" s="15">
        <v>6.4</v>
      </c>
      <c r="AB319" s="15" t="s">
        <v>2796</v>
      </c>
      <c r="AC319" s="15" t="s">
        <v>2796</v>
      </c>
      <c r="AD319" s="15" t="s">
        <v>2796</v>
      </c>
      <c r="AE319" s="15" t="s">
        <v>2796</v>
      </c>
      <c r="AF319" s="15">
        <v>8.4</v>
      </c>
      <c r="AG319" s="15">
        <v>8.2</v>
      </c>
      <c r="AH319" s="15">
        <v>72.92</v>
      </c>
      <c r="AI319" s="18"/>
      <c r="AJ319" s="15" t="s">
        <v>2787</v>
      </c>
      <c r="AK319" s="15" t="s">
        <v>2787</v>
      </c>
      <c r="AL319" s="18"/>
      <c r="AM319" s="18"/>
      <c r="AN319" s="15" t="s">
        <v>2787</v>
      </c>
      <c r="AO319" s="15" t="s">
        <v>10385</v>
      </c>
      <c r="AP319" s="18"/>
      <c r="AQ319" s="15" t="s">
        <v>10386</v>
      </c>
      <c r="AR319" s="18"/>
      <c r="AS319" s="18"/>
      <c r="AT319" s="18"/>
      <c r="AU319" s="18"/>
      <c r="AV319" s="15" t="s">
        <v>10387</v>
      </c>
      <c r="AW319" s="15" t="s">
        <v>10388</v>
      </c>
      <c r="AX319" s="18"/>
      <c r="AY319" s="15" t="s">
        <v>2796</v>
      </c>
      <c r="AZ319" s="15" t="s">
        <v>4670</v>
      </c>
      <c r="BA319" s="15" t="s">
        <v>5552</v>
      </c>
      <c r="BB319" s="15" t="s">
        <v>6489</v>
      </c>
      <c r="BC319" s="15" t="s">
        <v>10389</v>
      </c>
      <c r="BD319" s="15" t="s">
        <v>3393</v>
      </c>
      <c r="BE319" s="15" t="s">
        <v>10390</v>
      </c>
      <c r="BF319" s="18"/>
      <c r="BG319" s="15" t="s">
        <v>10391</v>
      </c>
      <c r="BH319" s="18"/>
      <c r="BI319" s="18"/>
      <c r="BJ319" s="19" t="s">
        <v>10392</v>
      </c>
      <c r="BK319" s="19" t="s">
        <v>10393</v>
      </c>
      <c r="BL319" s="18"/>
      <c r="BM319" s="18"/>
      <c r="BN319" s="18"/>
      <c r="BO319" s="19" t="s">
        <v>10394</v>
      </c>
      <c r="BP319" s="18"/>
      <c r="BQ319" s="15" t="s">
        <v>1193</v>
      </c>
      <c r="BR319" s="26"/>
      <c r="BS319" s="26"/>
      <c r="BT319" s="26"/>
      <c r="BU319" s="26"/>
      <c r="BV319" s="26"/>
      <c r="BW319" s="26"/>
      <c r="BX319" s="26"/>
      <c r="BY319" s="18" t="str">
        <f t="shared" si="104"/>
        <v>E&amp;TC</v>
      </c>
      <c r="BZ319" s="18" t="str">
        <f t="shared" si="100"/>
        <v/>
      </c>
      <c r="CA319" s="18" t="str">
        <f t="shared" si="101"/>
        <v/>
      </c>
      <c r="CB319" s="15" t="s">
        <v>2908</v>
      </c>
      <c r="CC319" s="15" t="s">
        <v>2908</v>
      </c>
      <c r="CD319" s="25" t="s">
        <v>2797</v>
      </c>
      <c r="CE319" s="18"/>
      <c r="CF319" s="18"/>
      <c r="CG319" s="18"/>
    </row>
    <row r="320" ht="18.75" hidden="1" customHeight="1">
      <c r="A320" s="14">
        <v>44735.583988495375</v>
      </c>
      <c r="B320" s="15" t="s">
        <v>10395</v>
      </c>
      <c r="C320" s="16" t="s">
        <v>10396</v>
      </c>
      <c r="D320" s="15" t="str">
        <f>IFERROR(__xludf.DUMMYFUNCTION("QUERY(TY_ALL_2023_Batch!$A$1:$E$824, ""SELECT E WHERE C='""&amp;B320&amp;""'"", 0)"),"#N/A")</f>
        <v>#N/A</v>
      </c>
      <c r="E320" s="15" t="s">
        <v>8374</v>
      </c>
      <c r="F320" s="15" t="s">
        <v>4470</v>
      </c>
      <c r="G320" s="15" t="s">
        <v>10397</v>
      </c>
      <c r="H320" s="15" t="s">
        <v>2785</v>
      </c>
      <c r="I320" s="17">
        <v>36850.0</v>
      </c>
      <c r="J320" s="15">
        <v>2019.0</v>
      </c>
      <c r="K320" s="15" t="s">
        <v>2786</v>
      </c>
      <c r="L320" s="15" t="s">
        <v>2787</v>
      </c>
      <c r="M320" s="18"/>
      <c r="N320" s="15" t="s">
        <v>10398</v>
      </c>
      <c r="O320" s="15" t="s">
        <v>10399</v>
      </c>
      <c r="P320" s="19" t="s">
        <v>10400</v>
      </c>
      <c r="Q320" s="15">
        <v>8.080603199E9</v>
      </c>
      <c r="R320" s="15">
        <v>8.080603199E9</v>
      </c>
      <c r="S320" s="15">
        <v>9.606790229E9</v>
      </c>
      <c r="T320" s="15" t="s">
        <v>4470</v>
      </c>
      <c r="U320" s="15" t="s">
        <v>4073</v>
      </c>
      <c r="V320" s="15" t="s">
        <v>10401</v>
      </c>
      <c r="W320" s="15" t="s">
        <v>10402</v>
      </c>
      <c r="X320" s="15">
        <v>90.6</v>
      </c>
      <c r="Y320" s="15" t="s">
        <v>2795</v>
      </c>
      <c r="Z320" s="15">
        <v>7.76</v>
      </c>
      <c r="AA320" s="15">
        <v>7.4</v>
      </c>
      <c r="AB320" s="15" t="s">
        <v>2796</v>
      </c>
      <c r="AC320" s="15" t="s">
        <v>2796</v>
      </c>
      <c r="AD320" s="15" t="s">
        <v>2796</v>
      </c>
      <c r="AE320" s="15" t="s">
        <v>2796</v>
      </c>
      <c r="AF320" s="15">
        <v>7.47</v>
      </c>
      <c r="AG320" s="15">
        <v>7.45</v>
      </c>
      <c r="AH320" s="15">
        <v>62.9</v>
      </c>
      <c r="AI320" s="18"/>
      <c r="AJ320" s="15" t="s">
        <v>2787</v>
      </c>
      <c r="AK320" s="15" t="s">
        <v>2787</v>
      </c>
      <c r="AL320" s="15">
        <v>604.0</v>
      </c>
      <c r="AM320" s="15">
        <v>620.0</v>
      </c>
      <c r="AN320" s="15" t="s">
        <v>2797</v>
      </c>
      <c r="AO320" s="18"/>
      <c r="AP320" s="18"/>
      <c r="AQ320" s="15" t="s">
        <v>10403</v>
      </c>
      <c r="AR320" s="15" t="s">
        <v>10404</v>
      </c>
      <c r="AS320" s="15" t="s">
        <v>10405</v>
      </c>
      <c r="AT320" s="18"/>
      <c r="AU320" s="15" t="s">
        <v>10406</v>
      </c>
      <c r="AV320" s="15" t="s">
        <v>10407</v>
      </c>
      <c r="AW320" s="15" t="s">
        <v>10408</v>
      </c>
      <c r="AX320" s="18"/>
      <c r="AY320" s="15" t="s">
        <v>10409</v>
      </c>
      <c r="AZ320" s="15" t="s">
        <v>4670</v>
      </c>
      <c r="BA320" s="15" t="s">
        <v>5552</v>
      </c>
      <c r="BB320" s="15" t="s">
        <v>2807</v>
      </c>
      <c r="BC320" s="15" t="s">
        <v>4746</v>
      </c>
      <c r="BD320" s="15" t="s">
        <v>4398</v>
      </c>
      <c r="BE320" s="15" t="s">
        <v>2796</v>
      </c>
      <c r="BF320" s="18"/>
      <c r="BG320" s="18"/>
      <c r="BH320" s="18"/>
      <c r="BI320" s="15" t="s">
        <v>10410</v>
      </c>
      <c r="BJ320" s="19" t="s">
        <v>10411</v>
      </c>
      <c r="BK320" s="19" t="s">
        <v>10412</v>
      </c>
      <c r="BL320" s="19" t="s">
        <v>10413</v>
      </c>
      <c r="BM320" s="19" t="s">
        <v>10414</v>
      </c>
      <c r="BN320" s="19" t="s">
        <v>10415</v>
      </c>
      <c r="BO320" s="19" t="s">
        <v>10416</v>
      </c>
      <c r="BP320" s="19" t="s">
        <v>10417</v>
      </c>
      <c r="BQ320" s="15" t="s">
        <v>1193</v>
      </c>
      <c r="BR320" s="26"/>
      <c r="BS320" s="26"/>
      <c r="BT320" s="26"/>
      <c r="BU320" s="26"/>
      <c r="BV320" s="26"/>
      <c r="BW320" s="26"/>
      <c r="BX320" s="26"/>
      <c r="BY320" s="18" t="str">
        <f t="shared" si="104"/>
        <v>E&amp;TC</v>
      </c>
      <c r="BZ320" s="24" t="str">
        <f t="shared" si="100"/>
        <v>https://drive.google.com/open?id=19lFp6C1IZsXHcqoogfsgWowAf41sDgNE</v>
      </c>
      <c r="CA320" s="24" t="str">
        <f t="shared" si="101"/>
        <v>https://drive.google.com/open?id=1twYsmfcBM8ak9z376C9jqDA4OJCgt3p9</v>
      </c>
      <c r="CB320" s="15" t="s">
        <v>2821</v>
      </c>
      <c r="CC320" s="15" t="s">
        <v>2821</v>
      </c>
      <c r="CD320" s="25" t="s">
        <v>2797</v>
      </c>
      <c r="CE320" s="18"/>
      <c r="CF320" s="18"/>
      <c r="CG320" s="18"/>
    </row>
    <row r="321" ht="18.75" hidden="1" customHeight="1">
      <c r="A321" s="14">
        <v>44742.9182859375</v>
      </c>
      <c r="B321" s="15" t="s">
        <v>10418</v>
      </c>
      <c r="C321" s="16" t="s">
        <v>10419</v>
      </c>
      <c r="D321" s="15" t="str">
        <f>IFERROR(__xludf.DUMMYFUNCTION("QUERY(TY_ALL_2023_Batch!$A$1:$E$824, ""SELECT E WHERE C='""&amp;B321&amp;""'"", 0)"),"#N/A")</f>
        <v>#N/A</v>
      </c>
      <c r="E321" s="15" t="s">
        <v>3672</v>
      </c>
      <c r="F321" s="15" t="s">
        <v>10420</v>
      </c>
      <c r="G321" s="15" t="s">
        <v>10421</v>
      </c>
      <c r="H321" s="15" t="s">
        <v>2785</v>
      </c>
      <c r="I321" s="17">
        <v>36919.0</v>
      </c>
      <c r="J321" s="15">
        <v>2020.0</v>
      </c>
      <c r="K321" s="15" t="s">
        <v>2941</v>
      </c>
      <c r="L321" s="15" t="s">
        <v>2787</v>
      </c>
      <c r="M321" s="18"/>
      <c r="N321" s="15" t="s">
        <v>1225</v>
      </c>
      <c r="O321" s="15" t="s">
        <v>10422</v>
      </c>
      <c r="P321" s="19" t="s">
        <v>10423</v>
      </c>
      <c r="Q321" s="15">
        <v>7.448047271E9</v>
      </c>
      <c r="R321" s="15">
        <v>7.448047271E9</v>
      </c>
      <c r="S321" s="15">
        <v>8.856868124E9</v>
      </c>
      <c r="T321" s="15" t="s">
        <v>2796</v>
      </c>
      <c r="U321" s="15" t="s">
        <v>10424</v>
      </c>
      <c r="V321" s="15" t="s">
        <v>10425</v>
      </c>
      <c r="W321" s="15" t="s">
        <v>10426</v>
      </c>
      <c r="X321" s="15">
        <v>79.0</v>
      </c>
      <c r="Y321" s="15" t="s">
        <v>2795</v>
      </c>
      <c r="Z321" s="15">
        <v>8.19</v>
      </c>
      <c r="AA321" s="15">
        <v>8.32</v>
      </c>
      <c r="AB321" s="15" t="s">
        <v>2796</v>
      </c>
      <c r="AC321" s="15" t="s">
        <v>2796</v>
      </c>
      <c r="AD321" s="15" t="s">
        <v>2796</v>
      </c>
      <c r="AE321" s="15" t="s">
        <v>2796</v>
      </c>
      <c r="AF321" s="16" t="s">
        <v>10427</v>
      </c>
      <c r="AG321" s="16" t="s">
        <v>10427</v>
      </c>
      <c r="AH321" s="15">
        <v>61.08</v>
      </c>
      <c r="AI321" s="18"/>
      <c r="AJ321" s="15" t="s">
        <v>2787</v>
      </c>
      <c r="AK321" s="15" t="s">
        <v>2787</v>
      </c>
      <c r="AL321" s="15">
        <v>538.33</v>
      </c>
      <c r="AM321" s="15">
        <v>700.0</v>
      </c>
      <c r="AN321" s="15" t="s">
        <v>2797</v>
      </c>
      <c r="AO321" s="15">
        <v>0.0</v>
      </c>
      <c r="AP321" s="15">
        <v>0.0</v>
      </c>
      <c r="AQ321" s="15" t="s">
        <v>8867</v>
      </c>
      <c r="AR321" s="18"/>
      <c r="AS321" s="18"/>
      <c r="AT321" s="18"/>
      <c r="AU321" s="18"/>
      <c r="AV321" s="15" t="s">
        <v>10428</v>
      </c>
      <c r="AW321" s="15" t="s">
        <v>10429</v>
      </c>
      <c r="AX321" s="18"/>
      <c r="AY321" s="15" t="s">
        <v>10430</v>
      </c>
      <c r="AZ321" s="15" t="s">
        <v>5287</v>
      </c>
      <c r="BA321" s="15" t="s">
        <v>2839</v>
      </c>
      <c r="BB321" s="15" t="s">
        <v>4484</v>
      </c>
      <c r="BC321" s="15" t="s">
        <v>10247</v>
      </c>
      <c r="BD321" s="15" t="s">
        <v>2807</v>
      </c>
      <c r="BE321" s="15" t="s">
        <v>2796</v>
      </c>
      <c r="BF321" s="18"/>
      <c r="BG321" s="18"/>
      <c r="BH321" s="15" t="s">
        <v>10431</v>
      </c>
      <c r="BI321" s="18"/>
      <c r="BJ321" s="19" t="s">
        <v>10432</v>
      </c>
      <c r="BK321" s="19" t="s">
        <v>10433</v>
      </c>
      <c r="BL321" s="19" t="s">
        <v>10434</v>
      </c>
      <c r="BM321" s="19" t="s">
        <v>10435</v>
      </c>
      <c r="BN321" s="19" t="s">
        <v>10436</v>
      </c>
      <c r="BO321" s="19" t="s">
        <v>10437</v>
      </c>
      <c r="BP321" s="19" t="s">
        <v>10438</v>
      </c>
      <c r="BQ321" s="15" t="s">
        <v>1193</v>
      </c>
      <c r="BR321" s="26"/>
      <c r="BS321" s="26"/>
      <c r="BT321" s="26"/>
      <c r="BU321" s="26"/>
      <c r="BV321" s="26"/>
      <c r="BW321" s="15" t="s">
        <v>2796</v>
      </c>
      <c r="BX321" s="26"/>
      <c r="BY321" s="18" t="str">
        <f t="shared" si="104"/>
        <v>E&amp;TC</v>
      </c>
      <c r="BZ321" s="24" t="str">
        <f t="shared" si="100"/>
        <v>https://drive.google.com/open?id=1sJkXrdTcLMxyPiLRlYjSJBJYDAZgTcLm</v>
      </c>
      <c r="CA321" s="24" t="str">
        <f t="shared" si="101"/>
        <v>https://drive.google.com/open?id=1jr9xQkJz61DNqObUwJtIbAze5EL3684B</v>
      </c>
      <c r="CB321" s="15" t="s">
        <v>2821</v>
      </c>
      <c r="CC321" s="15" t="s">
        <v>2821</v>
      </c>
      <c r="CD321" s="25" t="s">
        <v>2797</v>
      </c>
      <c r="CE321" s="18"/>
      <c r="CF321" s="18"/>
      <c r="CG321" s="18"/>
    </row>
    <row r="322" ht="18.75" hidden="1" customHeight="1">
      <c r="A322" s="14">
        <v>44738.42107099537</v>
      </c>
      <c r="B322" s="15" t="s">
        <v>10439</v>
      </c>
      <c r="C322" s="16" t="s">
        <v>10440</v>
      </c>
      <c r="D322" s="15" t="str">
        <f>IFERROR(__xludf.DUMMYFUNCTION("QUERY(TY_ALL_2023_Batch!$A$1:$E$824, ""SELECT E WHERE C='""&amp;B322&amp;""'"", 0)"),"#N/A")</f>
        <v>#N/A</v>
      </c>
      <c r="E322" s="15" t="s">
        <v>10441</v>
      </c>
      <c r="F322" s="15" t="s">
        <v>6182</v>
      </c>
      <c r="G322" s="15" t="s">
        <v>10442</v>
      </c>
      <c r="H322" s="15" t="s">
        <v>2785</v>
      </c>
      <c r="I322" s="17">
        <v>37104.0</v>
      </c>
      <c r="J322" s="15">
        <v>2020.0</v>
      </c>
      <c r="K322" s="15" t="s">
        <v>2941</v>
      </c>
      <c r="L322" s="15" t="s">
        <v>2787</v>
      </c>
      <c r="M322" s="18"/>
      <c r="N322" s="15" t="s">
        <v>1195</v>
      </c>
      <c r="O322" s="15" t="s">
        <v>10443</v>
      </c>
      <c r="P322" s="19" t="s">
        <v>10444</v>
      </c>
      <c r="Q322" s="15">
        <v>8.766402676E9</v>
      </c>
      <c r="R322" s="15">
        <v>8.766402676E9</v>
      </c>
      <c r="S322" s="15">
        <v>9.322948173E9</v>
      </c>
      <c r="T322" s="15" t="s">
        <v>10445</v>
      </c>
      <c r="U322" s="15" t="s">
        <v>10446</v>
      </c>
      <c r="V322" s="15" t="s">
        <v>10447</v>
      </c>
      <c r="W322" s="15" t="s">
        <v>10448</v>
      </c>
      <c r="X322" s="15">
        <v>82.2</v>
      </c>
      <c r="Y322" s="15" t="s">
        <v>2948</v>
      </c>
      <c r="Z322" s="15">
        <v>8.14</v>
      </c>
      <c r="AA322" s="15">
        <v>8.9</v>
      </c>
      <c r="AB322" s="15" t="s">
        <v>2796</v>
      </c>
      <c r="AC322" s="15" t="s">
        <v>2796</v>
      </c>
      <c r="AD322" s="15" t="s">
        <v>2796</v>
      </c>
      <c r="AE322" s="15" t="s">
        <v>2796</v>
      </c>
      <c r="AF322" s="18"/>
      <c r="AG322" s="18"/>
      <c r="AH322" s="18"/>
      <c r="AI322" s="15">
        <v>81.69</v>
      </c>
      <c r="AJ322" s="15" t="s">
        <v>2787</v>
      </c>
      <c r="AK322" s="15" t="s">
        <v>2787</v>
      </c>
      <c r="AL322" s="15">
        <v>488.0</v>
      </c>
      <c r="AM322" s="15">
        <v>626.0</v>
      </c>
      <c r="AN322" s="15" t="s">
        <v>2797</v>
      </c>
      <c r="AO322" s="15" t="s">
        <v>2796</v>
      </c>
      <c r="AP322" s="15" t="s">
        <v>2796</v>
      </c>
      <c r="AQ322" s="15" t="s">
        <v>10449</v>
      </c>
      <c r="AR322" s="18"/>
      <c r="AS322" s="18"/>
      <c r="AT322" s="15" t="s">
        <v>10450</v>
      </c>
      <c r="AU322" s="15" t="s">
        <v>2796</v>
      </c>
      <c r="AV322" s="15" t="s">
        <v>2796</v>
      </c>
      <c r="AW322" s="15" t="s">
        <v>10451</v>
      </c>
      <c r="AX322" s="15" t="s">
        <v>2796</v>
      </c>
      <c r="AY322" s="15" t="s">
        <v>10452</v>
      </c>
      <c r="AZ322" s="15" t="s">
        <v>5335</v>
      </c>
      <c r="BA322" s="15" t="s">
        <v>10453</v>
      </c>
      <c r="BB322" s="15" t="s">
        <v>2807</v>
      </c>
      <c r="BC322" s="15" t="s">
        <v>8336</v>
      </c>
      <c r="BD322" s="15" t="s">
        <v>2807</v>
      </c>
      <c r="BE322" s="15" t="s">
        <v>2796</v>
      </c>
      <c r="BF322" s="15" t="s">
        <v>2796</v>
      </c>
      <c r="BG322" s="15" t="s">
        <v>2796</v>
      </c>
      <c r="BH322" s="15" t="s">
        <v>2796</v>
      </c>
      <c r="BI322" s="15" t="s">
        <v>2796</v>
      </c>
      <c r="BJ322" s="19" t="s">
        <v>10454</v>
      </c>
      <c r="BK322" s="19" t="s">
        <v>10455</v>
      </c>
      <c r="BL322" s="19" t="s">
        <v>10456</v>
      </c>
      <c r="BM322" s="19" t="s">
        <v>10457</v>
      </c>
      <c r="BN322" s="19" t="s">
        <v>10458</v>
      </c>
      <c r="BO322" s="19" t="s">
        <v>10459</v>
      </c>
      <c r="BP322" s="19" t="s">
        <v>10460</v>
      </c>
      <c r="BQ322" s="15" t="s">
        <v>1193</v>
      </c>
      <c r="BR322" s="19" t="s">
        <v>10461</v>
      </c>
      <c r="BS322" s="19" t="s">
        <v>10462</v>
      </c>
      <c r="BT322" s="19" t="s">
        <v>10463</v>
      </c>
      <c r="BU322" s="19" t="s">
        <v>10464</v>
      </c>
      <c r="BV322" s="19" t="s">
        <v>10465</v>
      </c>
      <c r="BW322" s="15" t="s">
        <v>10466</v>
      </c>
      <c r="BX322" s="26"/>
      <c r="BY322" s="18" t="str">
        <f t="shared" si="104"/>
        <v>E&amp;TC</v>
      </c>
      <c r="BZ322" s="24" t="str">
        <f t="shared" si="100"/>
        <v>https://drive.google.com/open?id=1QRokcxOVuTbw6PnD20mftwUiXyg1AFxe</v>
      </c>
      <c r="CA322" s="24" t="str">
        <f t="shared" si="101"/>
        <v>https://drive.google.com/open?id=1ExVNgltIrZ7nPsIuOVmxCLCxBIyNH4As</v>
      </c>
      <c r="CB322" s="15" t="s">
        <v>2821</v>
      </c>
      <c r="CC322" s="15" t="s">
        <v>2821</v>
      </c>
      <c r="CD322" s="25" t="s">
        <v>2787</v>
      </c>
      <c r="CE322" s="18"/>
      <c r="CF322" s="18"/>
      <c r="CG322" s="18"/>
    </row>
    <row r="323" ht="18.75" hidden="1" customHeight="1">
      <c r="A323" s="14">
        <v>44743.57338103009</v>
      </c>
      <c r="B323" s="15" t="s">
        <v>10467</v>
      </c>
      <c r="C323" s="16" t="s">
        <v>10468</v>
      </c>
      <c r="D323" s="15" t="str">
        <f>IFERROR(__xludf.DUMMYFUNCTION("QUERY(TY_ALL_2023_Batch!$A$1:$E$824, ""SELECT E WHERE C='""&amp;B323&amp;""'"", 0)"),"#N/A")</f>
        <v>#N/A</v>
      </c>
      <c r="E323" s="15" t="s">
        <v>10469</v>
      </c>
      <c r="F323" s="15" t="s">
        <v>10470</v>
      </c>
      <c r="G323" s="15" t="s">
        <v>10471</v>
      </c>
      <c r="H323" s="15" t="s">
        <v>2785</v>
      </c>
      <c r="I323" s="17">
        <v>36884.0</v>
      </c>
      <c r="J323" s="15">
        <v>2020.0</v>
      </c>
      <c r="K323" s="15" t="s">
        <v>2941</v>
      </c>
      <c r="L323" s="15" t="s">
        <v>2787</v>
      </c>
      <c r="M323" s="18"/>
      <c r="N323" s="15" t="s">
        <v>1210</v>
      </c>
      <c r="O323" s="15" t="s">
        <v>10467</v>
      </c>
      <c r="P323" s="19" t="s">
        <v>10472</v>
      </c>
      <c r="Q323" s="15">
        <v>7.262029909E9</v>
      </c>
      <c r="R323" s="15">
        <v>8.975681938E9</v>
      </c>
      <c r="S323" s="15">
        <v>9.730255326E9</v>
      </c>
      <c r="T323" s="15" t="s">
        <v>10473</v>
      </c>
      <c r="U323" s="15" t="s">
        <v>10474</v>
      </c>
      <c r="V323" s="15" t="s">
        <v>10475</v>
      </c>
      <c r="W323" s="15" t="s">
        <v>10476</v>
      </c>
      <c r="X323" s="15">
        <v>70.0</v>
      </c>
      <c r="Y323" s="15" t="s">
        <v>2948</v>
      </c>
      <c r="Z323" s="15">
        <v>7.8</v>
      </c>
      <c r="AA323" s="15">
        <v>7.8</v>
      </c>
      <c r="AB323" s="15">
        <v>7.6</v>
      </c>
      <c r="AC323" s="15" t="s">
        <v>2796</v>
      </c>
      <c r="AD323" s="15" t="s">
        <v>3313</v>
      </c>
      <c r="AE323" s="15" t="s">
        <v>3313</v>
      </c>
      <c r="AF323" s="18"/>
      <c r="AG323" s="18"/>
      <c r="AH323" s="18"/>
      <c r="AI323" s="15">
        <v>95.0</v>
      </c>
      <c r="AJ323" s="15" t="s">
        <v>2797</v>
      </c>
      <c r="AK323" s="15" t="s">
        <v>2787</v>
      </c>
      <c r="AL323" s="15" t="s">
        <v>2797</v>
      </c>
      <c r="AM323" s="15">
        <v>70.0</v>
      </c>
      <c r="AN323" s="15" t="s">
        <v>2787</v>
      </c>
      <c r="AO323" s="15"/>
      <c r="AP323" s="15"/>
      <c r="AQ323" s="15" t="s">
        <v>2796</v>
      </c>
      <c r="AR323" s="15" t="s">
        <v>9867</v>
      </c>
      <c r="AS323" s="15" t="s">
        <v>6408</v>
      </c>
      <c r="AT323" s="15" t="s">
        <v>10477</v>
      </c>
      <c r="AU323" s="15" t="s">
        <v>2796</v>
      </c>
      <c r="AV323" s="15" t="s">
        <v>10478</v>
      </c>
      <c r="AW323" s="15" t="s">
        <v>10479</v>
      </c>
      <c r="AX323" s="15" t="s">
        <v>3006</v>
      </c>
      <c r="AY323" s="15" t="s">
        <v>10480</v>
      </c>
      <c r="AZ323" s="15" t="s">
        <v>4670</v>
      </c>
      <c r="BA323" s="15" t="s">
        <v>2839</v>
      </c>
      <c r="BB323" s="15" t="s">
        <v>5729</v>
      </c>
      <c r="BC323" s="15" t="s">
        <v>4217</v>
      </c>
      <c r="BD323" s="15" t="s">
        <v>2807</v>
      </c>
      <c r="BE323" s="15" t="s">
        <v>10481</v>
      </c>
      <c r="BF323" s="15" t="s">
        <v>2796</v>
      </c>
      <c r="BG323" s="15" t="s">
        <v>2797</v>
      </c>
      <c r="BH323" s="15" t="s">
        <v>2796</v>
      </c>
      <c r="BI323" s="15" t="s">
        <v>10482</v>
      </c>
      <c r="BJ323" s="19" t="s">
        <v>10483</v>
      </c>
      <c r="BK323" s="19" t="s">
        <v>10484</v>
      </c>
      <c r="BL323" s="18"/>
      <c r="BM323" s="19" t="s">
        <v>10485</v>
      </c>
      <c r="BN323" s="19" t="s">
        <v>10486</v>
      </c>
      <c r="BO323" s="19" t="s">
        <v>10487</v>
      </c>
      <c r="BP323" s="18"/>
      <c r="BQ323" s="15" t="s">
        <v>1193</v>
      </c>
      <c r="BR323" s="26"/>
      <c r="BS323" s="19" t="s">
        <v>10488</v>
      </c>
      <c r="BT323" s="19" t="s">
        <v>10489</v>
      </c>
      <c r="BU323" s="26"/>
      <c r="BV323" s="19" t="s">
        <v>10490</v>
      </c>
      <c r="BW323" s="15" t="s">
        <v>10491</v>
      </c>
      <c r="BX323" s="26"/>
      <c r="BY323" s="18" t="str">
        <f t="shared" si="104"/>
        <v>E&amp;TC</v>
      </c>
      <c r="BZ323" s="18" t="str">
        <f t="shared" si="100"/>
        <v/>
      </c>
      <c r="CA323" s="24" t="str">
        <f t="shared" si="101"/>
        <v>https://drive.google.com/open?id=13FEjzcWEjocXYvtaOeyaX2ZI2i6Ph1jY</v>
      </c>
      <c r="CB323" s="15" t="s">
        <v>2908</v>
      </c>
      <c r="CC323" s="15" t="s">
        <v>2821</v>
      </c>
      <c r="CD323" s="25" t="s">
        <v>2787</v>
      </c>
      <c r="CE323" s="18"/>
      <c r="CF323" s="18"/>
      <c r="CG323" s="18"/>
    </row>
    <row r="324" ht="18.75" hidden="1" customHeight="1">
      <c r="A324" s="14">
        <v>44736.89650138889</v>
      </c>
      <c r="B324" s="15" t="s">
        <v>10492</v>
      </c>
      <c r="C324" s="16" t="s">
        <v>10493</v>
      </c>
      <c r="D324" s="15" t="str">
        <f>IFERROR(__xludf.DUMMYFUNCTION("QUERY(TY_ALL_2023_Batch!$A$1:$E$824, ""SELECT E WHERE C='""&amp;B324&amp;""'"", 0)"),"#N/A")</f>
        <v>#N/A</v>
      </c>
      <c r="E324" s="15" t="s">
        <v>10441</v>
      </c>
      <c r="F324" s="15" t="s">
        <v>10494</v>
      </c>
      <c r="G324" s="15" t="s">
        <v>10495</v>
      </c>
      <c r="H324" s="15" t="s">
        <v>2785</v>
      </c>
      <c r="I324" s="17">
        <v>36913.0</v>
      </c>
      <c r="J324" s="15">
        <v>2020.0</v>
      </c>
      <c r="K324" s="15" t="s">
        <v>2941</v>
      </c>
      <c r="L324" s="15" t="s">
        <v>2787</v>
      </c>
      <c r="M324" s="18"/>
      <c r="N324" s="15" t="s">
        <v>1198</v>
      </c>
      <c r="O324" s="15" t="s">
        <v>10492</v>
      </c>
      <c r="P324" s="19" t="s">
        <v>10496</v>
      </c>
      <c r="Q324" s="15">
        <v>8.623942016E9</v>
      </c>
      <c r="R324" s="15">
        <v>8.623942016E9</v>
      </c>
      <c r="S324" s="18"/>
      <c r="T324" s="15" t="s">
        <v>10497</v>
      </c>
      <c r="U324" s="15" t="s">
        <v>10498</v>
      </c>
      <c r="V324" s="15" t="s">
        <v>10499</v>
      </c>
      <c r="W324" s="18"/>
      <c r="X324" s="15">
        <v>77.4</v>
      </c>
      <c r="Y324" s="15" t="s">
        <v>2948</v>
      </c>
      <c r="Z324" s="15">
        <v>7.47</v>
      </c>
      <c r="AA324" s="15">
        <v>8.2</v>
      </c>
      <c r="AB324" s="15" t="s">
        <v>2796</v>
      </c>
      <c r="AC324" s="15" t="s">
        <v>2796</v>
      </c>
      <c r="AD324" s="15" t="s">
        <v>2796</v>
      </c>
      <c r="AE324" s="15" t="s">
        <v>2796</v>
      </c>
      <c r="AF324" s="18"/>
      <c r="AG324" s="18"/>
      <c r="AH324" s="18"/>
      <c r="AI324" s="15">
        <v>81.06</v>
      </c>
      <c r="AJ324" s="15" t="s">
        <v>2797</v>
      </c>
      <c r="AK324" s="15" t="s">
        <v>2787</v>
      </c>
      <c r="AL324" s="18"/>
      <c r="AM324" s="15">
        <v>79.66</v>
      </c>
      <c r="AN324" s="15" t="s">
        <v>2787</v>
      </c>
      <c r="AO324" s="15" t="s">
        <v>10500</v>
      </c>
      <c r="AP324" s="18"/>
      <c r="AQ324" s="15" t="s">
        <v>10501</v>
      </c>
      <c r="AR324" s="18"/>
      <c r="AS324" s="18"/>
      <c r="AT324" s="18"/>
      <c r="AU324" s="18"/>
      <c r="AV324" s="18"/>
      <c r="AW324" s="15" t="s">
        <v>3313</v>
      </c>
      <c r="AX324" s="18"/>
      <c r="AY324" s="15" t="s">
        <v>10502</v>
      </c>
      <c r="AZ324" s="15" t="s">
        <v>8440</v>
      </c>
      <c r="BA324" s="15" t="s">
        <v>2839</v>
      </c>
      <c r="BB324" s="15" t="s">
        <v>2807</v>
      </c>
      <c r="BC324" s="15" t="s">
        <v>10247</v>
      </c>
      <c r="BD324" s="15" t="s">
        <v>2807</v>
      </c>
      <c r="BE324" s="15" t="s">
        <v>10503</v>
      </c>
      <c r="BF324" s="18"/>
      <c r="BG324" s="18"/>
      <c r="BH324" s="18"/>
      <c r="BI324" s="18"/>
      <c r="BJ324" s="19" t="s">
        <v>10496</v>
      </c>
      <c r="BK324" s="19" t="s">
        <v>10504</v>
      </c>
      <c r="BL324" s="18"/>
      <c r="BM324" s="19" t="s">
        <v>10505</v>
      </c>
      <c r="BN324" s="18"/>
      <c r="BO324" s="19" t="s">
        <v>10506</v>
      </c>
      <c r="BP324" s="18"/>
      <c r="BQ324" s="15" t="s">
        <v>1193</v>
      </c>
      <c r="BR324" s="18"/>
      <c r="BS324" s="18"/>
      <c r="BT324" s="18"/>
      <c r="BU324" s="18"/>
      <c r="BV324" s="18"/>
      <c r="BW324" s="15" t="s">
        <v>10507</v>
      </c>
      <c r="BX324" s="18"/>
      <c r="BY324" s="18" t="str">
        <f t="shared" si="104"/>
        <v>E&amp;TC</v>
      </c>
      <c r="BZ324" s="18" t="str">
        <f t="shared" si="100"/>
        <v/>
      </c>
      <c r="CA324" s="24" t="str">
        <f t="shared" si="101"/>
        <v>https://drive.google.com/open?id=1Jp4TrOC1uVsl8tryaIGqfd1iOwDtY2IF</v>
      </c>
      <c r="CB324" s="15" t="s">
        <v>2908</v>
      </c>
      <c r="CC324" s="15" t="s">
        <v>2821</v>
      </c>
      <c r="CD324" s="25" t="s">
        <v>2797</v>
      </c>
      <c r="CE324" s="18"/>
      <c r="CF324" s="18"/>
      <c r="CG324" s="18"/>
    </row>
    <row r="325" ht="18.75" hidden="1" customHeight="1">
      <c r="A325" s="14">
        <v>44741.524993645835</v>
      </c>
      <c r="B325" s="15" t="s">
        <v>10508</v>
      </c>
      <c r="C325" s="16" t="s">
        <v>10509</v>
      </c>
      <c r="D325" s="15" t="str">
        <f>IFERROR(__xludf.DUMMYFUNCTION("QUERY(TY_ALL_2023_Batch!$A$1:$E$824, ""SELECT E WHERE C='""&amp;B325&amp;""'"", 0)"),"#N/A")</f>
        <v>#N/A</v>
      </c>
      <c r="E325" s="15" t="s">
        <v>8025</v>
      </c>
      <c r="F325" s="15" t="s">
        <v>3763</v>
      </c>
      <c r="G325" s="15" t="s">
        <v>10510</v>
      </c>
      <c r="H325" s="15" t="s">
        <v>2826</v>
      </c>
      <c r="I325" s="17">
        <v>37234.0</v>
      </c>
      <c r="J325" s="15">
        <v>2020.0</v>
      </c>
      <c r="K325" s="15" t="s">
        <v>2941</v>
      </c>
      <c r="L325" s="15" t="s">
        <v>2787</v>
      </c>
      <c r="M325" s="18"/>
      <c r="N325" s="15" t="s">
        <v>1201</v>
      </c>
      <c r="O325" s="15" t="s">
        <v>10511</v>
      </c>
      <c r="P325" s="19" t="s">
        <v>10512</v>
      </c>
      <c r="Q325" s="15">
        <v>8.459257892E9</v>
      </c>
      <c r="R325" s="15">
        <v>8.459257892E9</v>
      </c>
      <c r="S325" s="15">
        <v>9.850000256E9</v>
      </c>
      <c r="T325" s="15" t="s">
        <v>10513</v>
      </c>
      <c r="U325" s="15" t="s">
        <v>10514</v>
      </c>
      <c r="V325" s="15" t="s">
        <v>10515</v>
      </c>
      <c r="W325" s="15" t="s">
        <v>10516</v>
      </c>
      <c r="X325" s="15">
        <v>83.2</v>
      </c>
      <c r="Y325" s="15" t="s">
        <v>2948</v>
      </c>
      <c r="Z325" s="15">
        <v>7.7</v>
      </c>
      <c r="AA325" s="15">
        <v>8.5</v>
      </c>
      <c r="AB325" s="15">
        <v>7.5</v>
      </c>
      <c r="AC325" s="15" t="s">
        <v>2796</v>
      </c>
      <c r="AD325" s="15" t="s">
        <v>2796</v>
      </c>
      <c r="AE325" s="15" t="s">
        <v>2796</v>
      </c>
      <c r="AF325" s="18"/>
      <c r="AG325" s="18"/>
      <c r="AH325" s="18"/>
      <c r="AI325" s="15">
        <v>87.2</v>
      </c>
      <c r="AJ325" s="15" t="s">
        <v>2787</v>
      </c>
      <c r="AK325" s="15" t="s">
        <v>2787</v>
      </c>
      <c r="AL325" s="15" t="s">
        <v>10517</v>
      </c>
      <c r="AM325" s="15" t="s">
        <v>10518</v>
      </c>
      <c r="AN325" s="15" t="s">
        <v>2787</v>
      </c>
      <c r="AO325" s="15" t="s">
        <v>10519</v>
      </c>
      <c r="AP325" s="18"/>
      <c r="AQ325" s="15" t="s">
        <v>10520</v>
      </c>
      <c r="AR325" s="15" t="s">
        <v>10521</v>
      </c>
      <c r="AS325" s="15" t="s">
        <v>10522</v>
      </c>
      <c r="AT325" s="18"/>
      <c r="AU325" s="15" t="s">
        <v>2796</v>
      </c>
      <c r="AV325" s="15" t="s">
        <v>10523</v>
      </c>
      <c r="AW325" s="15" t="s">
        <v>10524</v>
      </c>
      <c r="AX325" s="15" t="s">
        <v>10525</v>
      </c>
      <c r="AY325" s="15" t="s">
        <v>10526</v>
      </c>
      <c r="AZ325" s="15" t="s">
        <v>4670</v>
      </c>
      <c r="BA325" s="15" t="s">
        <v>5552</v>
      </c>
      <c r="BB325" s="15" t="s">
        <v>2807</v>
      </c>
      <c r="BC325" s="15" t="s">
        <v>5554</v>
      </c>
      <c r="BD325" s="15" t="s">
        <v>2807</v>
      </c>
      <c r="BE325" s="15" t="s">
        <v>2796</v>
      </c>
      <c r="BF325" s="15" t="s">
        <v>2796</v>
      </c>
      <c r="BG325" s="15" t="s">
        <v>2796</v>
      </c>
      <c r="BH325" s="15" t="s">
        <v>10527</v>
      </c>
      <c r="BI325" s="15" t="s">
        <v>10528</v>
      </c>
      <c r="BJ325" s="19" t="s">
        <v>10529</v>
      </c>
      <c r="BK325" s="19" t="s">
        <v>10530</v>
      </c>
      <c r="BL325" s="18"/>
      <c r="BM325" s="18"/>
      <c r="BN325" s="19" t="s">
        <v>10531</v>
      </c>
      <c r="BO325" s="19" t="s">
        <v>10532</v>
      </c>
      <c r="BP325" s="19" t="s">
        <v>10533</v>
      </c>
      <c r="BQ325" s="15" t="s">
        <v>1193</v>
      </c>
      <c r="BR325" s="26"/>
      <c r="BS325" s="26"/>
      <c r="BT325" s="19" t="s">
        <v>10534</v>
      </c>
      <c r="BU325" s="26"/>
      <c r="BV325" s="26"/>
      <c r="BW325" s="15" t="s">
        <v>10535</v>
      </c>
      <c r="BX325" s="26"/>
      <c r="BY325" s="18" t="str">
        <f t="shared" si="104"/>
        <v>E&amp;TC</v>
      </c>
      <c r="BZ325" s="18" t="str">
        <f t="shared" si="100"/>
        <v/>
      </c>
      <c r="CA325" s="18" t="str">
        <f t="shared" si="101"/>
        <v/>
      </c>
      <c r="CB325" s="15" t="s">
        <v>2908</v>
      </c>
      <c r="CC325" s="15" t="s">
        <v>2908</v>
      </c>
      <c r="CD325" s="25" t="s">
        <v>2787</v>
      </c>
      <c r="CE325" s="18"/>
      <c r="CF325" s="18"/>
      <c r="CG325" s="18"/>
    </row>
    <row r="326" ht="18.75" hidden="1" customHeight="1">
      <c r="A326" s="14">
        <v>44736.471126805554</v>
      </c>
      <c r="B326" s="15" t="s">
        <v>10536</v>
      </c>
      <c r="C326" s="16" t="s">
        <v>10537</v>
      </c>
      <c r="D326" s="15" t="str">
        <f>IFERROR(__xludf.DUMMYFUNCTION("QUERY(TY_ALL_2023_Batch!$A$1:$E$824, ""SELECT E WHERE C='""&amp;B326&amp;""'"", 0)"),"#N/A")</f>
        <v>#N/A</v>
      </c>
      <c r="E326" s="15" t="s">
        <v>10538</v>
      </c>
      <c r="F326" s="15" t="s">
        <v>10539</v>
      </c>
      <c r="G326" s="15" t="s">
        <v>10540</v>
      </c>
      <c r="H326" s="15" t="s">
        <v>2826</v>
      </c>
      <c r="I326" s="17">
        <v>37322.0</v>
      </c>
      <c r="J326" s="15">
        <v>2020.0</v>
      </c>
      <c r="K326" s="15" t="s">
        <v>2941</v>
      </c>
      <c r="L326" s="15" t="s">
        <v>2787</v>
      </c>
      <c r="M326" s="18"/>
      <c r="N326" s="15" t="s">
        <v>1191</v>
      </c>
      <c r="O326" s="15" t="s">
        <v>10536</v>
      </c>
      <c r="P326" s="19" t="s">
        <v>10541</v>
      </c>
      <c r="Q326" s="15">
        <v>7.499172408E9</v>
      </c>
      <c r="R326" s="15">
        <v>7.499172408E9</v>
      </c>
      <c r="S326" s="15">
        <v>8.605967817E9</v>
      </c>
      <c r="T326" s="15" t="s">
        <v>10542</v>
      </c>
      <c r="U326" s="15" t="s">
        <v>10543</v>
      </c>
      <c r="V326" s="15" t="s">
        <v>10544</v>
      </c>
      <c r="W326" s="15" t="s">
        <v>10545</v>
      </c>
      <c r="X326" s="15">
        <v>75.0</v>
      </c>
      <c r="Y326" s="15" t="s">
        <v>2948</v>
      </c>
      <c r="Z326" s="15">
        <v>7.48</v>
      </c>
      <c r="AA326" s="15">
        <v>7.4</v>
      </c>
      <c r="AB326" s="15" t="s">
        <v>2796</v>
      </c>
      <c r="AC326" s="15" t="s">
        <v>2796</v>
      </c>
      <c r="AD326" s="15" t="s">
        <v>2796</v>
      </c>
      <c r="AE326" s="15" t="s">
        <v>2796</v>
      </c>
      <c r="AF326" s="18"/>
      <c r="AG326" s="18"/>
      <c r="AH326" s="18"/>
      <c r="AI326" s="15">
        <v>84.24</v>
      </c>
      <c r="AJ326" s="15" t="s">
        <v>2797</v>
      </c>
      <c r="AK326" s="15" t="s">
        <v>2787</v>
      </c>
      <c r="AL326" s="15" t="s">
        <v>2796</v>
      </c>
      <c r="AM326" s="15">
        <v>73.33</v>
      </c>
      <c r="AN326" s="15" t="s">
        <v>2787</v>
      </c>
      <c r="AO326" s="15"/>
      <c r="AP326" s="15"/>
      <c r="AQ326" s="15" t="s">
        <v>10546</v>
      </c>
      <c r="AR326" s="15" t="s">
        <v>2796</v>
      </c>
      <c r="AS326" s="15" t="s">
        <v>2796</v>
      </c>
      <c r="AT326" s="18"/>
      <c r="AU326" s="15" t="s">
        <v>2796</v>
      </c>
      <c r="AV326" s="15" t="s">
        <v>2796</v>
      </c>
      <c r="AW326" s="15" t="s">
        <v>10547</v>
      </c>
      <c r="AX326" s="18"/>
      <c r="AY326" s="15" t="s">
        <v>10548</v>
      </c>
      <c r="AZ326" s="15" t="s">
        <v>4670</v>
      </c>
      <c r="BA326" s="15" t="s">
        <v>2839</v>
      </c>
      <c r="BB326" s="15" t="s">
        <v>2807</v>
      </c>
      <c r="BC326" s="15" t="s">
        <v>8336</v>
      </c>
      <c r="BD326" s="15" t="s">
        <v>2842</v>
      </c>
      <c r="BE326" s="15" t="s">
        <v>2796</v>
      </c>
      <c r="BF326" s="15" t="s">
        <v>2796</v>
      </c>
      <c r="BG326" s="15" t="s">
        <v>2796</v>
      </c>
      <c r="BH326" s="15" t="s">
        <v>2796</v>
      </c>
      <c r="BI326" s="15" t="s">
        <v>2796</v>
      </c>
      <c r="BJ326" s="19" t="s">
        <v>10549</v>
      </c>
      <c r="BK326" s="19" t="s">
        <v>10550</v>
      </c>
      <c r="BL326" s="18"/>
      <c r="BM326" s="18"/>
      <c r="BN326" s="19" t="s">
        <v>10551</v>
      </c>
      <c r="BO326" s="19" t="s">
        <v>10552</v>
      </c>
      <c r="BP326" s="19" t="s">
        <v>10553</v>
      </c>
      <c r="BQ326" s="15" t="s">
        <v>1193</v>
      </c>
      <c r="BR326" s="26"/>
      <c r="BS326" s="26"/>
      <c r="BT326" s="26"/>
      <c r="BU326" s="26"/>
      <c r="BV326" s="26"/>
      <c r="BW326" s="26"/>
      <c r="BX326" s="26"/>
      <c r="BY326" s="18" t="str">
        <f t="shared" si="104"/>
        <v>E&amp;TC</v>
      </c>
      <c r="BZ326" s="18" t="str">
        <f t="shared" si="100"/>
        <v/>
      </c>
      <c r="CA326" s="18" t="str">
        <f t="shared" si="101"/>
        <v/>
      </c>
      <c r="CB326" s="15" t="s">
        <v>2908</v>
      </c>
      <c r="CC326" s="15" t="s">
        <v>2908</v>
      </c>
      <c r="CD326" s="25" t="s">
        <v>2797</v>
      </c>
      <c r="CE326" s="18"/>
      <c r="CF326" s="18"/>
      <c r="CG326" s="18"/>
    </row>
    <row r="327" ht="18.75" hidden="1" customHeight="1">
      <c r="A327" s="14">
        <v>44735.923262870376</v>
      </c>
      <c r="B327" s="15" t="s">
        <v>10554</v>
      </c>
      <c r="C327" s="16" t="s">
        <v>10555</v>
      </c>
      <c r="D327" s="15" t="str">
        <f>IFERROR(__xludf.DUMMYFUNCTION("QUERY(TY_ALL_2023_Batch!$A$1:$E$824, ""SELECT E WHERE C='""&amp;B327&amp;""'"", 0)"),"#N/A")</f>
        <v>#N/A</v>
      </c>
      <c r="E327" s="15" t="s">
        <v>7201</v>
      </c>
      <c r="F327" s="15" t="s">
        <v>7227</v>
      </c>
      <c r="G327" s="15" t="s">
        <v>5325</v>
      </c>
      <c r="H327" s="15" t="s">
        <v>2785</v>
      </c>
      <c r="I327" s="17">
        <v>37322.0</v>
      </c>
      <c r="J327" s="15">
        <v>2019.0</v>
      </c>
      <c r="K327" s="15" t="s">
        <v>2786</v>
      </c>
      <c r="L327" s="15" t="s">
        <v>2787</v>
      </c>
      <c r="M327" s="18"/>
      <c r="N327" s="15" t="s">
        <v>10556</v>
      </c>
      <c r="O327" s="15" t="s">
        <v>10554</v>
      </c>
      <c r="P327" s="19" t="s">
        <v>10557</v>
      </c>
      <c r="Q327" s="15">
        <v>8.080655597E9</v>
      </c>
      <c r="R327" s="15">
        <v>8.080655597E9</v>
      </c>
      <c r="S327" s="15">
        <v>8.975646832E9</v>
      </c>
      <c r="T327" s="15" t="s">
        <v>10558</v>
      </c>
      <c r="U327" s="15" t="s">
        <v>10559</v>
      </c>
      <c r="V327" s="15" t="s">
        <v>10560</v>
      </c>
      <c r="W327" s="15"/>
      <c r="X327" s="15">
        <v>8.8</v>
      </c>
      <c r="Y327" s="15" t="s">
        <v>2795</v>
      </c>
      <c r="Z327" s="15">
        <v>7.1</v>
      </c>
      <c r="AA327" s="15">
        <v>8.1</v>
      </c>
      <c r="AB327" s="15" t="s">
        <v>2796</v>
      </c>
      <c r="AC327" s="15" t="s">
        <v>2796</v>
      </c>
      <c r="AD327" s="15" t="s">
        <v>2796</v>
      </c>
      <c r="AE327" s="15" t="s">
        <v>2796</v>
      </c>
      <c r="AF327" s="15">
        <v>7.37</v>
      </c>
      <c r="AG327" s="15">
        <v>7.81</v>
      </c>
      <c r="AH327" s="15">
        <v>77.0</v>
      </c>
      <c r="AI327" s="18"/>
      <c r="AJ327" s="15" t="s">
        <v>2787</v>
      </c>
      <c r="AK327" s="15" t="s">
        <v>2787</v>
      </c>
      <c r="AL327" s="18"/>
      <c r="AM327" s="18"/>
      <c r="AN327" s="15" t="s">
        <v>2797</v>
      </c>
      <c r="AO327" s="18"/>
      <c r="AP327" s="18"/>
      <c r="AQ327" s="15" t="s">
        <v>2796</v>
      </c>
      <c r="AR327" s="15" t="s">
        <v>9027</v>
      </c>
      <c r="AS327" s="15" t="s">
        <v>10561</v>
      </c>
      <c r="AT327" s="15" t="s">
        <v>2796</v>
      </c>
      <c r="AU327" s="18"/>
      <c r="AV327" s="15" t="s">
        <v>10562</v>
      </c>
      <c r="AW327" s="15" t="s">
        <v>10563</v>
      </c>
      <c r="AX327" s="15" t="s">
        <v>2796</v>
      </c>
      <c r="AY327" s="15" t="s">
        <v>2796</v>
      </c>
      <c r="AZ327" s="15" t="s">
        <v>9648</v>
      </c>
      <c r="BA327" s="15" t="s">
        <v>2839</v>
      </c>
      <c r="BB327" s="15" t="s">
        <v>2807</v>
      </c>
      <c r="BC327" s="15" t="s">
        <v>4746</v>
      </c>
      <c r="BD327" s="15" t="s">
        <v>2807</v>
      </c>
      <c r="BE327" s="15" t="s">
        <v>2796</v>
      </c>
      <c r="BF327" s="15" t="s">
        <v>2796</v>
      </c>
      <c r="BG327" s="15" t="s">
        <v>2796</v>
      </c>
      <c r="BH327" s="15" t="s">
        <v>2796</v>
      </c>
      <c r="BI327" s="15" t="s">
        <v>10564</v>
      </c>
      <c r="BJ327" s="19" t="s">
        <v>10565</v>
      </c>
      <c r="BK327" s="19" t="s">
        <v>10566</v>
      </c>
      <c r="BL327" s="18"/>
      <c r="BM327" s="18"/>
      <c r="BN327" s="18"/>
      <c r="BO327" s="19" t="s">
        <v>10567</v>
      </c>
      <c r="BP327" s="18"/>
      <c r="BQ327" s="15" t="s">
        <v>1193</v>
      </c>
      <c r="BR327" s="26"/>
      <c r="BS327" s="26"/>
      <c r="BT327" s="26"/>
      <c r="BU327" s="26"/>
      <c r="BV327" s="26"/>
      <c r="BW327" s="26"/>
      <c r="BX327" s="26"/>
      <c r="BY327" s="18" t="str">
        <f t="shared" si="104"/>
        <v>E&amp;TC</v>
      </c>
      <c r="BZ327" s="18" t="str">
        <f t="shared" si="100"/>
        <v/>
      </c>
      <c r="CA327" s="18" t="str">
        <f t="shared" si="101"/>
        <v/>
      </c>
      <c r="CB327" s="15" t="s">
        <v>2908</v>
      </c>
      <c r="CC327" s="15" t="s">
        <v>2908</v>
      </c>
      <c r="CD327" s="25" t="s">
        <v>2797</v>
      </c>
      <c r="CE327" s="18"/>
      <c r="CF327" s="18"/>
      <c r="CG327" s="18"/>
    </row>
    <row r="328" ht="18.75" hidden="1" customHeight="1">
      <c r="A328" s="14">
        <v>44769.87263612269</v>
      </c>
      <c r="B328" s="15" t="s">
        <v>10568</v>
      </c>
      <c r="C328" s="16" t="s">
        <v>10569</v>
      </c>
      <c r="D328" s="15" t="str">
        <f>IFERROR(__xludf.DUMMYFUNCTION("QUERY(TY_ALL_2023_Batch!$A$1:$E$824, ""SELECT E WHERE C='""&amp;B328&amp;""'"", 0)"),"#N/A")</f>
        <v>#N/A</v>
      </c>
      <c r="E328" s="15" t="s">
        <v>5324</v>
      </c>
      <c r="F328" s="15" t="s">
        <v>3425</v>
      </c>
      <c r="G328" s="15" t="s">
        <v>10570</v>
      </c>
      <c r="H328" s="15" t="s">
        <v>2826</v>
      </c>
      <c r="I328" s="17">
        <v>37176.0</v>
      </c>
      <c r="J328" s="15">
        <v>2020.0</v>
      </c>
      <c r="K328" s="15" t="s">
        <v>2941</v>
      </c>
      <c r="L328" s="15" t="s">
        <v>2787</v>
      </c>
      <c r="M328" s="18"/>
      <c r="N328" s="15" t="s">
        <v>1237</v>
      </c>
      <c r="O328" s="15" t="s">
        <v>10568</v>
      </c>
      <c r="P328" s="19" t="s">
        <v>10571</v>
      </c>
      <c r="Q328" s="15">
        <v>9.834666323E9</v>
      </c>
      <c r="R328" s="15">
        <v>9.834666323E9</v>
      </c>
      <c r="S328" s="15">
        <v>9.834666323E9</v>
      </c>
      <c r="T328" s="15" t="s">
        <v>3425</v>
      </c>
      <c r="U328" s="15" t="s">
        <v>4303</v>
      </c>
      <c r="V328" s="15" t="s">
        <v>10572</v>
      </c>
      <c r="W328" s="18"/>
      <c r="X328" s="15">
        <v>87.8</v>
      </c>
      <c r="Y328" s="15" t="s">
        <v>2948</v>
      </c>
      <c r="Z328" s="15">
        <v>8.43</v>
      </c>
      <c r="AA328" s="15">
        <v>8.8</v>
      </c>
      <c r="AB328" s="15" t="s">
        <v>2796</v>
      </c>
      <c r="AC328" s="15" t="s">
        <v>2796</v>
      </c>
      <c r="AD328" s="15" t="s">
        <v>2796</v>
      </c>
      <c r="AE328" s="15" t="s">
        <v>2796</v>
      </c>
      <c r="AF328" s="18"/>
      <c r="AG328" s="18"/>
      <c r="AH328" s="18"/>
      <c r="AI328" s="15">
        <v>84.07</v>
      </c>
      <c r="AJ328" s="15" t="s">
        <v>2787</v>
      </c>
      <c r="AK328" s="15" t="s">
        <v>2787</v>
      </c>
      <c r="AL328" s="35">
        <v>0.51</v>
      </c>
      <c r="AM328" s="35">
        <v>0.85</v>
      </c>
      <c r="AN328" s="15" t="s">
        <v>2797</v>
      </c>
      <c r="AO328" s="18"/>
      <c r="AP328" s="15"/>
      <c r="AQ328" s="15" t="s">
        <v>10573</v>
      </c>
      <c r="AR328" s="18"/>
      <c r="AS328" s="15"/>
      <c r="AT328" s="18"/>
      <c r="AU328" s="18"/>
      <c r="AV328" s="15" t="s">
        <v>10574</v>
      </c>
      <c r="AW328" s="15" t="s">
        <v>10547</v>
      </c>
      <c r="AX328" s="18"/>
      <c r="AY328" s="15" t="s">
        <v>10575</v>
      </c>
      <c r="AZ328" s="15" t="s">
        <v>4670</v>
      </c>
      <c r="BA328" s="15" t="s">
        <v>5552</v>
      </c>
      <c r="BB328" s="15" t="s">
        <v>4484</v>
      </c>
      <c r="BC328" s="15" t="s">
        <v>10247</v>
      </c>
      <c r="BD328" s="15" t="s">
        <v>2842</v>
      </c>
      <c r="BE328" s="15" t="s">
        <v>2796</v>
      </c>
      <c r="BF328" s="18"/>
      <c r="BG328" s="15" t="s">
        <v>10576</v>
      </c>
      <c r="BH328" s="18"/>
      <c r="BI328" s="15" t="s">
        <v>10577</v>
      </c>
      <c r="BJ328" s="19" t="s">
        <v>10578</v>
      </c>
      <c r="BK328" s="19" t="s">
        <v>10579</v>
      </c>
      <c r="BL328" s="19" t="s">
        <v>10580</v>
      </c>
      <c r="BM328" s="19" t="s">
        <v>10581</v>
      </c>
      <c r="BN328" s="18"/>
      <c r="BO328" s="19" t="s">
        <v>10582</v>
      </c>
      <c r="BP328" s="18"/>
      <c r="BQ328" s="15" t="s">
        <v>1193</v>
      </c>
      <c r="BR328" s="26"/>
      <c r="BS328" s="26"/>
      <c r="BT328" s="19" t="s">
        <v>10583</v>
      </c>
      <c r="BU328" s="19" t="s">
        <v>10584</v>
      </c>
      <c r="BV328" s="19" t="s">
        <v>10585</v>
      </c>
      <c r="BW328" s="15" t="s">
        <v>10586</v>
      </c>
      <c r="BX328" s="26"/>
      <c r="BY328" s="18" t="str">
        <f t="shared" si="104"/>
        <v>E&amp;TC</v>
      </c>
      <c r="BZ328" s="24" t="str">
        <f t="shared" si="100"/>
        <v>https://drive.google.com/open?id=1B0fyMEcYUfh12DBVUwWRCpXBIShOO1hf</v>
      </c>
      <c r="CA328" s="24" t="str">
        <f t="shared" si="101"/>
        <v>https://drive.google.com/open?id=1vKR-vSXzVb3rw19E9YEdZu1zZFPqtk8U</v>
      </c>
      <c r="CB328" s="15" t="s">
        <v>2821</v>
      </c>
      <c r="CC328" s="15" t="s">
        <v>2821</v>
      </c>
      <c r="CD328" s="25" t="s">
        <v>2797</v>
      </c>
      <c r="CE328" s="18"/>
      <c r="CF328" s="18"/>
      <c r="CG328" s="18"/>
    </row>
    <row r="329" ht="18.75" hidden="1" customHeight="1">
      <c r="A329" s="30">
        <v>44736.184341099535</v>
      </c>
      <c r="B329" s="5" t="s">
        <v>1620</v>
      </c>
      <c r="C329" s="31" t="s">
        <v>10587</v>
      </c>
      <c r="E329" s="5" t="s">
        <v>10588</v>
      </c>
      <c r="G329" s="5" t="s">
        <v>10589</v>
      </c>
      <c r="H329" s="5" t="s">
        <v>2785</v>
      </c>
      <c r="I329" s="32">
        <v>37026.0</v>
      </c>
      <c r="J329" s="5">
        <v>2019.0</v>
      </c>
      <c r="K329" s="5" t="s">
        <v>2786</v>
      </c>
      <c r="L329" s="5" t="s">
        <v>2787</v>
      </c>
      <c r="N329" s="5" t="s">
        <v>10590</v>
      </c>
      <c r="O329" s="5" t="s">
        <v>1620</v>
      </c>
      <c r="P329" s="33" t="s">
        <v>10591</v>
      </c>
      <c r="Q329" s="5">
        <v>9.082438101E9</v>
      </c>
      <c r="R329" s="5">
        <v>9.082438101E9</v>
      </c>
      <c r="T329" s="5" t="s">
        <v>10592</v>
      </c>
      <c r="U329" s="5" t="s">
        <v>10593</v>
      </c>
      <c r="V329" s="5" t="s">
        <v>10594</v>
      </c>
      <c r="X329" s="5">
        <v>90.0</v>
      </c>
      <c r="Y329" s="5" t="s">
        <v>2795</v>
      </c>
      <c r="Z329" s="5">
        <v>7.95</v>
      </c>
      <c r="AA329" s="5">
        <v>6.95</v>
      </c>
      <c r="AB329" s="5" t="s">
        <v>2796</v>
      </c>
      <c r="AC329" s="5" t="s">
        <v>2796</v>
      </c>
      <c r="AD329" s="5" t="s">
        <v>2796</v>
      </c>
      <c r="AE329" s="5" t="s">
        <v>2796</v>
      </c>
      <c r="AF329" s="5">
        <v>8.05</v>
      </c>
      <c r="AG329" s="5">
        <v>7.71</v>
      </c>
      <c r="AH329" s="5">
        <v>90.0</v>
      </c>
      <c r="AJ329" s="5" t="s">
        <v>2787</v>
      </c>
      <c r="AK329" s="5" t="s">
        <v>2787</v>
      </c>
      <c r="AL329" s="5" t="s">
        <v>10595</v>
      </c>
      <c r="AM329" s="5" t="s">
        <v>10596</v>
      </c>
      <c r="AN329" s="5" t="s">
        <v>2787</v>
      </c>
      <c r="AP329" s="5" t="s">
        <v>10597</v>
      </c>
      <c r="AQ329" s="5" t="s">
        <v>6143</v>
      </c>
      <c r="AR329" s="5" t="s">
        <v>10598</v>
      </c>
      <c r="AV329" s="5" t="s">
        <v>10599</v>
      </c>
      <c r="AW329" s="5" t="s">
        <v>10600</v>
      </c>
      <c r="AY329" s="5" t="s">
        <v>10601</v>
      </c>
      <c r="AZ329" s="5" t="s">
        <v>5260</v>
      </c>
      <c r="BA329" s="5" t="s">
        <v>5552</v>
      </c>
      <c r="BB329" s="5" t="s">
        <v>4504</v>
      </c>
      <c r="BC329" s="5" t="s">
        <v>5604</v>
      </c>
      <c r="BD329" s="5" t="s">
        <v>2807</v>
      </c>
      <c r="BE329" s="5" t="s">
        <v>10602</v>
      </c>
      <c r="BI329" s="5" t="s">
        <v>10603</v>
      </c>
      <c r="BJ329" s="33" t="s">
        <v>10604</v>
      </c>
      <c r="BK329" s="33" t="s">
        <v>10605</v>
      </c>
      <c r="BL329" s="33" t="s">
        <v>10606</v>
      </c>
      <c r="BM329" s="33" t="s">
        <v>10607</v>
      </c>
      <c r="BN329" s="33" t="s">
        <v>10608</v>
      </c>
      <c r="BO329" s="33" t="s">
        <v>10609</v>
      </c>
      <c r="BP329" s="33" t="s">
        <v>10610</v>
      </c>
      <c r="BQ329" s="5" t="s">
        <v>1193</v>
      </c>
      <c r="BR329" s="4"/>
      <c r="BS329" s="4"/>
      <c r="BT329" s="4"/>
      <c r="BU329" s="4"/>
      <c r="BV329" s="4"/>
      <c r="BW329" s="4"/>
      <c r="BX329" s="4"/>
      <c r="BZ329" s="24" t="str">
        <f t="shared" si="100"/>
        <v>https://drive.google.com/open?id=1WZqhcLB8cdWNDaIs6d_QzI3r94QPQvhV</v>
      </c>
      <c r="CA329" s="24" t="str">
        <f t="shared" si="101"/>
        <v>https://drive.google.com/open?id=13XgBsSixejvpdGHtByt0mxklZX9VuuEm</v>
      </c>
      <c r="CB329" s="5" t="s">
        <v>2821</v>
      </c>
      <c r="CC329" s="5" t="s">
        <v>2821</v>
      </c>
      <c r="CD329" s="34" t="s">
        <v>2797</v>
      </c>
      <c r="CG329" s="18"/>
    </row>
    <row r="330" ht="18.75" hidden="1" customHeight="1">
      <c r="A330" s="30">
        <v>44736.4709878125</v>
      </c>
      <c r="B330" s="5" t="s">
        <v>1968</v>
      </c>
      <c r="C330" s="31" t="s">
        <v>10611</v>
      </c>
      <c r="E330" s="5" t="s">
        <v>3424</v>
      </c>
      <c r="F330" s="5" t="s">
        <v>2939</v>
      </c>
      <c r="G330" s="5" t="s">
        <v>3852</v>
      </c>
      <c r="H330" s="5" t="s">
        <v>2785</v>
      </c>
      <c r="I330" s="32">
        <v>37171.0</v>
      </c>
      <c r="J330" s="5">
        <v>2019.0</v>
      </c>
      <c r="K330" s="5" t="s">
        <v>2786</v>
      </c>
      <c r="L330" s="5" t="s">
        <v>2787</v>
      </c>
      <c r="N330" s="5" t="s">
        <v>10612</v>
      </c>
      <c r="O330" s="5" t="s">
        <v>1968</v>
      </c>
      <c r="P330" s="33" t="s">
        <v>10613</v>
      </c>
      <c r="Q330" s="5">
        <v>7.558732871E9</v>
      </c>
      <c r="R330" s="5">
        <v>7.558732871E9</v>
      </c>
      <c r="S330" s="5">
        <v>9.021419296E9</v>
      </c>
      <c r="T330" s="5" t="s">
        <v>10614</v>
      </c>
      <c r="U330" s="5" t="s">
        <v>10615</v>
      </c>
      <c r="V330" s="5" t="s">
        <v>10616</v>
      </c>
      <c r="W330" s="5" t="s">
        <v>10617</v>
      </c>
      <c r="X330" s="5">
        <v>92.6</v>
      </c>
      <c r="Y330" s="5" t="s">
        <v>2795</v>
      </c>
      <c r="Z330" s="5">
        <v>7.85</v>
      </c>
      <c r="AA330" s="5">
        <v>7.91</v>
      </c>
      <c r="AB330" s="5" t="s">
        <v>2796</v>
      </c>
      <c r="AC330" s="5" t="s">
        <v>2796</v>
      </c>
      <c r="AD330" s="5" t="s">
        <v>2796</v>
      </c>
      <c r="AE330" s="5" t="s">
        <v>2796</v>
      </c>
      <c r="AF330" s="5">
        <v>8.11</v>
      </c>
      <c r="AG330" s="5">
        <v>8.06</v>
      </c>
      <c r="AH330" s="5">
        <v>72.46</v>
      </c>
      <c r="AJ330" s="5" t="s">
        <v>2787</v>
      </c>
      <c r="AK330" s="5" t="s">
        <v>2787</v>
      </c>
      <c r="AL330" s="5">
        <v>506.66</v>
      </c>
      <c r="AM330" s="5">
        <v>666.66</v>
      </c>
      <c r="AN330" s="5" t="s">
        <v>2787</v>
      </c>
      <c r="AO330" s="5" t="s">
        <v>10618</v>
      </c>
      <c r="AP330" s="5" t="s">
        <v>10619</v>
      </c>
      <c r="AQ330" s="5" t="s">
        <v>10620</v>
      </c>
      <c r="AS330" s="5" t="s">
        <v>5356</v>
      </c>
      <c r="AW330" s="5" t="s">
        <v>10621</v>
      </c>
      <c r="AY330" s="5" t="s">
        <v>10622</v>
      </c>
      <c r="AZ330" s="5" t="s">
        <v>9648</v>
      </c>
      <c r="BA330" s="5" t="s">
        <v>2806</v>
      </c>
      <c r="BB330" s="5" t="s">
        <v>4484</v>
      </c>
      <c r="BC330" s="5" t="s">
        <v>4746</v>
      </c>
      <c r="BD330" s="5" t="s">
        <v>2842</v>
      </c>
      <c r="BE330" s="5" t="s">
        <v>2796</v>
      </c>
      <c r="BI330" s="5" t="s">
        <v>10623</v>
      </c>
      <c r="BJ330" s="33" t="s">
        <v>10624</v>
      </c>
      <c r="BK330" s="33" t="s">
        <v>10625</v>
      </c>
      <c r="BL330" s="33" t="s">
        <v>10626</v>
      </c>
      <c r="BM330" s="33" t="s">
        <v>10627</v>
      </c>
      <c r="BN330" s="33" t="s">
        <v>10628</v>
      </c>
      <c r="BO330" s="33" t="s">
        <v>10629</v>
      </c>
      <c r="BQ330" s="5" t="s">
        <v>1193</v>
      </c>
      <c r="BR330" s="4"/>
      <c r="BS330" s="4"/>
      <c r="BT330" s="4"/>
      <c r="BU330" s="4"/>
      <c r="BV330" s="4"/>
      <c r="BW330" s="4"/>
      <c r="BX330" s="4"/>
      <c r="BZ330" s="24" t="str">
        <f t="shared" si="100"/>
        <v>https://drive.google.com/open?id=1bHRkT8iAgMLRgGsiNIBpm7aSf0bqft6L</v>
      </c>
      <c r="CA330" s="24" t="str">
        <f t="shared" si="101"/>
        <v>https://drive.google.com/open?id=1HznaLvg8_Ww_bscY7jGE24w1uNHdGiiD</v>
      </c>
      <c r="CB330" s="5" t="s">
        <v>2821</v>
      </c>
      <c r="CC330" s="5" t="s">
        <v>2821</v>
      </c>
      <c r="CD330" s="34" t="s">
        <v>2797</v>
      </c>
      <c r="CG330" s="18"/>
    </row>
    <row r="331" ht="18.75" hidden="1" customHeight="1">
      <c r="A331" s="30">
        <v>44736.49835165509</v>
      </c>
      <c r="B331" s="5" t="s">
        <v>1626</v>
      </c>
      <c r="C331" s="31" t="s">
        <v>10630</v>
      </c>
      <c r="E331" s="5" t="s">
        <v>6454</v>
      </c>
      <c r="F331" s="5" t="s">
        <v>8585</v>
      </c>
      <c r="G331" s="5" t="s">
        <v>10631</v>
      </c>
      <c r="H331" s="5" t="s">
        <v>2785</v>
      </c>
      <c r="I331" s="32">
        <v>37394.0</v>
      </c>
      <c r="J331" s="5">
        <v>2019.0</v>
      </c>
      <c r="K331" s="5" t="s">
        <v>2786</v>
      </c>
      <c r="L331" s="5" t="s">
        <v>2787</v>
      </c>
      <c r="N331" s="5" t="s">
        <v>10632</v>
      </c>
      <c r="O331" s="5" t="s">
        <v>1626</v>
      </c>
      <c r="P331" s="33" t="s">
        <v>10633</v>
      </c>
      <c r="Q331" s="5">
        <v>9.860292314E9</v>
      </c>
      <c r="R331" s="5">
        <v>9.860292314E9</v>
      </c>
      <c r="S331" s="5">
        <v>9.860292314E9</v>
      </c>
      <c r="T331" s="5" t="s">
        <v>10634</v>
      </c>
      <c r="U331" s="5" t="s">
        <v>10635</v>
      </c>
      <c r="V331" s="5" t="s">
        <v>10636</v>
      </c>
      <c r="X331" s="5">
        <v>8.4</v>
      </c>
      <c r="Y331" s="5" t="s">
        <v>2795</v>
      </c>
      <c r="Z331" s="5">
        <v>4.62</v>
      </c>
      <c r="AA331" s="5">
        <v>4.55</v>
      </c>
      <c r="AB331" s="5" t="s">
        <v>2796</v>
      </c>
      <c r="AC331" s="5" t="s">
        <v>2796</v>
      </c>
      <c r="AD331" s="5" t="s">
        <v>2796</v>
      </c>
      <c r="AE331" s="5" t="s">
        <v>2796</v>
      </c>
      <c r="AF331" s="5">
        <v>5.53</v>
      </c>
      <c r="AG331" s="5">
        <v>6.48</v>
      </c>
      <c r="AH331" s="5">
        <v>70.0</v>
      </c>
      <c r="AJ331" s="5" t="s">
        <v>2797</v>
      </c>
      <c r="AK331" s="5" t="s">
        <v>2787</v>
      </c>
      <c r="AM331" s="5">
        <v>92.3333</v>
      </c>
      <c r="AN331" s="5" t="s">
        <v>2787</v>
      </c>
      <c r="AO331" s="5" t="s">
        <v>10637</v>
      </c>
      <c r="AP331" s="5" t="s">
        <v>10638</v>
      </c>
      <c r="AQ331" s="5" t="s">
        <v>8408</v>
      </c>
      <c r="AR331" s="5" t="s">
        <v>10639</v>
      </c>
      <c r="AV331" s="5" t="s">
        <v>10640</v>
      </c>
      <c r="AW331" s="5" t="s">
        <v>10641</v>
      </c>
      <c r="AY331" s="5" t="s">
        <v>10642</v>
      </c>
      <c r="AZ331" s="5" t="s">
        <v>8440</v>
      </c>
      <c r="BA331" s="5" t="s">
        <v>5552</v>
      </c>
      <c r="BB331" s="5" t="s">
        <v>10643</v>
      </c>
      <c r="BC331" s="5" t="s">
        <v>3686</v>
      </c>
      <c r="BD331" s="5" t="s">
        <v>2807</v>
      </c>
      <c r="BE331" s="5" t="s">
        <v>2796</v>
      </c>
      <c r="BI331" s="5" t="s">
        <v>10644</v>
      </c>
      <c r="BJ331" s="33" t="s">
        <v>10645</v>
      </c>
      <c r="BK331" s="33" t="s">
        <v>10646</v>
      </c>
      <c r="BM331" s="33" t="s">
        <v>10647</v>
      </c>
      <c r="BN331" s="33" t="s">
        <v>10648</v>
      </c>
      <c r="BO331" s="33" t="s">
        <v>10649</v>
      </c>
      <c r="BQ331" s="5" t="s">
        <v>1193</v>
      </c>
      <c r="BR331" s="4"/>
      <c r="BS331" s="4"/>
      <c r="BT331" s="4"/>
      <c r="BU331" s="4"/>
      <c r="BV331" s="4"/>
      <c r="BW331" s="5" t="s">
        <v>3063</v>
      </c>
      <c r="BX331" s="4"/>
      <c r="BZ331" s="18" t="str">
        <f t="shared" si="100"/>
        <v/>
      </c>
      <c r="CA331" s="24" t="str">
        <f t="shared" si="101"/>
        <v>https://drive.google.com/open?id=1l0hbUnPb9OIIsOCuWMLUM5BrgBg4k3wb</v>
      </c>
      <c r="CB331" s="5" t="s">
        <v>2908</v>
      </c>
      <c r="CC331" s="5" t="s">
        <v>2821</v>
      </c>
      <c r="CD331" s="34" t="s">
        <v>2797</v>
      </c>
      <c r="CG331" s="18"/>
    </row>
    <row r="332" ht="18.75" hidden="1" customHeight="1">
      <c r="A332" s="30">
        <v>44736.52463111111</v>
      </c>
      <c r="B332" s="5" t="s">
        <v>10650</v>
      </c>
      <c r="C332" s="31" t="s">
        <v>10651</v>
      </c>
      <c r="E332" s="5" t="s">
        <v>10652</v>
      </c>
      <c r="F332" s="5" t="s">
        <v>10653</v>
      </c>
      <c r="G332" s="5" t="s">
        <v>10654</v>
      </c>
      <c r="H332" s="5" t="s">
        <v>2826</v>
      </c>
      <c r="I332" s="32">
        <v>36643.0</v>
      </c>
      <c r="J332" s="5">
        <v>2020.0</v>
      </c>
      <c r="K332" s="5" t="s">
        <v>2941</v>
      </c>
      <c r="L332" s="5" t="s">
        <v>2787</v>
      </c>
      <c r="N332" s="5" t="s">
        <v>1222</v>
      </c>
      <c r="O332" s="5" t="s">
        <v>10655</v>
      </c>
      <c r="P332" s="33" t="s">
        <v>10656</v>
      </c>
      <c r="Q332" s="5">
        <v>9.404524937E9</v>
      </c>
      <c r="R332" s="5">
        <v>9.404524937E9</v>
      </c>
      <c r="S332" s="5">
        <v>9.405852579E9</v>
      </c>
      <c r="T332" s="5" t="s">
        <v>8084</v>
      </c>
      <c r="U332" s="5" t="s">
        <v>10657</v>
      </c>
      <c r="V332" s="5" t="s">
        <v>10658</v>
      </c>
      <c r="X332" s="5">
        <v>91.8</v>
      </c>
      <c r="Y332" s="5" t="s">
        <v>2948</v>
      </c>
      <c r="Z332" s="5">
        <v>7.62</v>
      </c>
      <c r="AA332" s="5">
        <v>9.15</v>
      </c>
      <c r="AB332" s="5" t="s">
        <v>2796</v>
      </c>
      <c r="AC332" s="5" t="s">
        <v>2796</v>
      </c>
      <c r="AD332" s="5" t="s">
        <v>2796</v>
      </c>
      <c r="AE332" s="5" t="s">
        <v>2796</v>
      </c>
      <c r="AI332" s="5">
        <v>85.49</v>
      </c>
      <c r="AJ332" s="5" t="s">
        <v>2787</v>
      </c>
      <c r="AK332" s="5" t="s">
        <v>2787</v>
      </c>
      <c r="AL332" s="5">
        <v>92.0</v>
      </c>
      <c r="AM332" s="5">
        <v>93.33</v>
      </c>
      <c r="AN332" s="5" t="s">
        <v>2797</v>
      </c>
      <c r="AO332" s="5" t="s">
        <v>2796</v>
      </c>
      <c r="AP332" s="5" t="s">
        <v>2796</v>
      </c>
      <c r="AQ332" s="5" t="s">
        <v>10018</v>
      </c>
      <c r="AV332" s="5" t="s">
        <v>10659</v>
      </c>
      <c r="AW332" s="5" t="s">
        <v>10660</v>
      </c>
      <c r="AY332" s="5" t="s">
        <v>10660</v>
      </c>
      <c r="AZ332" s="5" t="s">
        <v>4670</v>
      </c>
      <c r="BA332" s="5" t="s">
        <v>4085</v>
      </c>
      <c r="BB332" s="5" t="s">
        <v>3462</v>
      </c>
      <c r="BC332" s="5" t="s">
        <v>10247</v>
      </c>
      <c r="BD332" s="5" t="s">
        <v>10661</v>
      </c>
      <c r="BE332" s="5" t="s">
        <v>10662</v>
      </c>
      <c r="BH332" s="5" t="s">
        <v>10663</v>
      </c>
      <c r="BJ332" s="33" t="s">
        <v>10664</v>
      </c>
      <c r="BK332" s="33" t="s">
        <v>10665</v>
      </c>
      <c r="BL332" s="33" t="s">
        <v>10666</v>
      </c>
      <c r="BM332" s="33" t="s">
        <v>10667</v>
      </c>
      <c r="BN332" s="33" t="s">
        <v>10668</v>
      </c>
      <c r="BO332" s="33" t="s">
        <v>10669</v>
      </c>
      <c r="BQ332" s="5" t="s">
        <v>1193</v>
      </c>
      <c r="BR332" s="4"/>
      <c r="BS332" s="4"/>
      <c r="BT332" s="4"/>
      <c r="BU332" s="4"/>
      <c r="BV332" s="4"/>
      <c r="BW332" s="4"/>
      <c r="BX332" s="4"/>
      <c r="BZ332" s="24" t="str">
        <f t="shared" si="100"/>
        <v>https://drive.google.com/open?id=1lKCH_rpgQBy2ukjl_HstPNnnpomKTxBD</v>
      </c>
      <c r="CA332" s="24" t="str">
        <f t="shared" si="101"/>
        <v>https://drive.google.com/open?id=13zJXoabka-yiRmWl_2Bxodx7elas-Onx</v>
      </c>
      <c r="CB332" s="5" t="s">
        <v>2821</v>
      </c>
      <c r="CC332" s="5" t="s">
        <v>2821</v>
      </c>
      <c r="CD332" s="34" t="s">
        <v>2797</v>
      </c>
      <c r="CG332" s="18"/>
    </row>
    <row r="333" ht="18.75" hidden="1" customHeight="1">
      <c r="A333" s="30">
        <v>44742.577099594906</v>
      </c>
      <c r="B333" s="5" t="s">
        <v>1947</v>
      </c>
      <c r="C333" s="31" t="s">
        <v>10670</v>
      </c>
      <c r="E333" s="5" t="s">
        <v>10671</v>
      </c>
      <c r="F333" s="5" t="s">
        <v>10672</v>
      </c>
      <c r="G333" s="5" t="s">
        <v>10673</v>
      </c>
      <c r="H333" s="5" t="s">
        <v>2785</v>
      </c>
      <c r="I333" s="32">
        <v>36886.0</v>
      </c>
      <c r="J333" s="5">
        <v>2019.0</v>
      </c>
      <c r="K333" s="5" t="s">
        <v>2786</v>
      </c>
      <c r="L333" s="5" t="s">
        <v>2797</v>
      </c>
      <c r="BQ333" s="5" t="s">
        <v>1193</v>
      </c>
      <c r="BZ333" s="18" t="str">
        <f t="shared" si="100"/>
        <v/>
      </c>
      <c r="CA333" s="18" t="str">
        <f t="shared" si="101"/>
        <v/>
      </c>
      <c r="CB333" s="5" t="s">
        <v>2908</v>
      </c>
      <c r="CC333" s="5" t="s">
        <v>2908</v>
      </c>
      <c r="CD333" s="34" t="s">
        <v>2797</v>
      </c>
      <c r="CG333" s="18"/>
    </row>
    <row r="334" ht="18.75" hidden="1" customHeight="1">
      <c r="A334" s="30">
        <v>44742.621350636575</v>
      </c>
      <c r="B334" s="5" t="s">
        <v>1878</v>
      </c>
      <c r="C334" s="31" t="s">
        <v>10674</v>
      </c>
      <c r="E334" s="5" t="s">
        <v>4447</v>
      </c>
      <c r="F334" s="5" t="s">
        <v>3763</v>
      </c>
      <c r="G334" s="5" t="s">
        <v>10675</v>
      </c>
      <c r="H334" s="5" t="s">
        <v>2785</v>
      </c>
      <c r="I334" s="32">
        <v>37261.0</v>
      </c>
      <c r="J334" s="5">
        <v>2019.0</v>
      </c>
      <c r="K334" s="5" t="s">
        <v>2786</v>
      </c>
      <c r="L334" s="5" t="s">
        <v>2787</v>
      </c>
      <c r="N334" s="5" t="s">
        <v>10676</v>
      </c>
      <c r="O334" s="5" t="s">
        <v>1878</v>
      </c>
      <c r="P334" s="33" t="s">
        <v>10677</v>
      </c>
      <c r="Q334" s="5">
        <v>7.447437638E9</v>
      </c>
      <c r="R334" s="5">
        <v>7.447437638E9</v>
      </c>
      <c r="S334" s="5">
        <v>9.27204189E9</v>
      </c>
      <c r="T334" s="5" t="s">
        <v>10678</v>
      </c>
      <c r="U334" s="5" t="s">
        <v>10679</v>
      </c>
      <c r="V334" s="5" t="s">
        <v>10680</v>
      </c>
      <c r="W334" s="5" t="s">
        <v>10680</v>
      </c>
      <c r="X334" s="5">
        <v>84.2</v>
      </c>
      <c r="Y334" s="5" t="s">
        <v>2795</v>
      </c>
      <c r="Z334" s="5">
        <v>4.9</v>
      </c>
      <c r="AA334" s="5">
        <v>7.5</v>
      </c>
      <c r="AB334" s="5" t="s">
        <v>2796</v>
      </c>
      <c r="AC334" s="5" t="s">
        <v>2796</v>
      </c>
      <c r="AD334" s="5" t="s">
        <v>2796</v>
      </c>
      <c r="AE334" s="5" t="s">
        <v>2796</v>
      </c>
      <c r="AF334" s="5">
        <v>7.18</v>
      </c>
      <c r="AG334" s="5">
        <v>6.71</v>
      </c>
      <c r="AH334" s="5">
        <v>68.15</v>
      </c>
      <c r="AJ334" s="5" t="s">
        <v>2787</v>
      </c>
      <c r="AK334" s="5" t="s">
        <v>2787</v>
      </c>
      <c r="AL334" s="5">
        <v>676.66</v>
      </c>
      <c r="AM334" s="5">
        <v>655.0</v>
      </c>
      <c r="AN334" s="5" t="s">
        <v>2787</v>
      </c>
      <c r="AO334" s="5" t="s">
        <v>10681</v>
      </c>
      <c r="AP334" s="5" t="s">
        <v>10682</v>
      </c>
      <c r="AQ334" s="5" t="s">
        <v>10683</v>
      </c>
      <c r="AS334" s="5" t="s">
        <v>10684</v>
      </c>
      <c r="AV334" s="5" t="s">
        <v>10685</v>
      </c>
      <c r="AW334" s="5" t="s">
        <v>10686</v>
      </c>
      <c r="AY334" s="5" t="s">
        <v>10687</v>
      </c>
      <c r="AZ334" s="5" t="s">
        <v>4670</v>
      </c>
      <c r="BA334" s="5" t="s">
        <v>2899</v>
      </c>
      <c r="BB334" s="5" t="s">
        <v>3462</v>
      </c>
      <c r="BC334" s="5" t="s">
        <v>10688</v>
      </c>
      <c r="BD334" s="5" t="s">
        <v>2807</v>
      </c>
      <c r="BE334" s="5" t="s">
        <v>2796</v>
      </c>
      <c r="BF334" s="5" t="s">
        <v>10689</v>
      </c>
      <c r="BI334" s="5" t="s">
        <v>10690</v>
      </c>
      <c r="BJ334" s="33" t="s">
        <v>10691</v>
      </c>
      <c r="BK334" s="33" t="s">
        <v>10692</v>
      </c>
      <c r="BL334" s="33" t="s">
        <v>10693</v>
      </c>
      <c r="BM334" s="33" t="s">
        <v>10694</v>
      </c>
      <c r="BN334" s="33" t="s">
        <v>10695</v>
      </c>
      <c r="BO334" s="33" t="s">
        <v>10696</v>
      </c>
      <c r="BQ334" s="5" t="s">
        <v>1193</v>
      </c>
      <c r="BT334" s="33" t="s">
        <v>10697</v>
      </c>
      <c r="BW334" s="5" t="s">
        <v>10698</v>
      </c>
      <c r="BZ334" s="24" t="str">
        <f t="shared" si="100"/>
        <v>https://drive.google.com/open?id=1oRBNO5qANWQ3WuBXyZbtqNn7N3qg-kCi</v>
      </c>
      <c r="CA334" s="24" t="str">
        <f t="shared" si="101"/>
        <v>https://drive.google.com/open?id=1GbS2-YR9agUOfr03xsKdVJPuozMPpYI0</v>
      </c>
      <c r="CB334" s="5" t="s">
        <v>2821</v>
      </c>
      <c r="CC334" s="5" t="s">
        <v>2821</v>
      </c>
      <c r="CD334" s="34" t="s">
        <v>2787</v>
      </c>
      <c r="CG334" s="18"/>
    </row>
    <row r="335" ht="18.75" hidden="1" customHeight="1">
      <c r="A335" s="30">
        <v>44742.781081284724</v>
      </c>
      <c r="B335" s="5" t="s">
        <v>1890</v>
      </c>
      <c r="C335" s="31" t="s">
        <v>10699</v>
      </c>
      <c r="E335" s="5" t="s">
        <v>9768</v>
      </c>
      <c r="F335" s="5" t="s">
        <v>10700</v>
      </c>
      <c r="G335" s="5" t="s">
        <v>2973</v>
      </c>
      <c r="H335" s="5" t="s">
        <v>2785</v>
      </c>
      <c r="I335" s="32">
        <v>36979.0</v>
      </c>
      <c r="J335" s="5">
        <v>2019.0</v>
      </c>
      <c r="K335" s="5" t="s">
        <v>2786</v>
      </c>
      <c r="L335" s="5" t="s">
        <v>2787</v>
      </c>
      <c r="N335" s="5" t="s">
        <v>10701</v>
      </c>
      <c r="O335" s="5" t="s">
        <v>1890</v>
      </c>
      <c r="P335" s="33" t="s">
        <v>10702</v>
      </c>
      <c r="Q335" s="5">
        <v>9.307983661E9</v>
      </c>
      <c r="R335" s="5">
        <v>9.307983661E9</v>
      </c>
      <c r="T335" s="5" t="s">
        <v>10703</v>
      </c>
      <c r="U335" s="5" t="s">
        <v>10704</v>
      </c>
      <c r="V335" s="5" t="s">
        <v>10705</v>
      </c>
      <c r="X335" s="5">
        <v>83.4</v>
      </c>
      <c r="Y335" s="5" t="s">
        <v>2795</v>
      </c>
      <c r="Z335" s="5">
        <v>8.62</v>
      </c>
      <c r="AA335" s="5">
        <v>8.1</v>
      </c>
      <c r="AB335" s="5" t="s">
        <v>3005</v>
      </c>
      <c r="AC335" s="5" t="s">
        <v>3005</v>
      </c>
      <c r="AD335" s="5" t="s">
        <v>3005</v>
      </c>
      <c r="AE335" s="5" t="s">
        <v>3005</v>
      </c>
      <c r="AF335" s="5">
        <v>8.58</v>
      </c>
      <c r="AG335" s="5">
        <v>8.9</v>
      </c>
      <c r="AH335" s="5">
        <v>71.85</v>
      </c>
      <c r="AJ335" s="5" t="s">
        <v>2787</v>
      </c>
      <c r="AK335" s="5" t="s">
        <v>2787</v>
      </c>
      <c r="AL335" s="5">
        <v>0.65</v>
      </c>
      <c r="AM335" s="5">
        <v>0.72</v>
      </c>
      <c r="AN335" s="5" t="s">
        <v>2797</v>
      </c>
      <c r="AQ335" s="5" t="s">
        <v>10706</v>
      </c>
      <c r="AT335" s="5" t="s">
        <v>10707</v>
      </c>
      <c r="AW335" s="5" t="s">
        <v>10708</v>
      </c>
      <c r="AY335" s="5" t="s">
        <v>10709</v>
      </c>
      <c r="AZ335" s="5" t="s">
        <v>5287</v>
      </c>
      <c r="BA335" s="5" t="s">
        <v>10710</v>
      </c>
      <c r="BB335" s="5" t="s">
        <v>2807</v>
      </c>
      <c r="BC335" s="5" t="s">
        <v>4746</v>
      </c>
      <c r="BD335" s="5" t="s">
        <v>2807</v>
      </c>
      <c r="BE335" s="5" t="s">
        <v>3005</v>
      </c>
      <c r="BJ335" s="33" t="s">
        <v>10711</v>
      </c>
      <c r="BK335" s="33" t="s">
        <v>10712</v>
      </c>
      <c r="BL335" s="33" t="s">
        <v>10713</v>
      </c>
      <c r="BM335" s="33" t="s">
        <v>10714</v>
      </c>
      <c r="BO335" s="33" t="s">
        <v>10715</v>
      </c>
      <c r="BQ335" s="5" t="s">
        <v>1193</v>
      </c>
      <c r="BW335" s="5" t="s">
        <v>2796</v>
      </c>
      <c r="BZ335" s="24" t="str">
        <f t="shared" si="100"/>
        <v>https://drive.google.com/open?id=1HPmn6g_VgiWm6JWTTlrUYdmwUn12jn7n</v>
      </c>
      <c r="CA335" s="24" t="str">
        <f t="shared" si="101"/>
        <v>https://drive.google.com/open?id=1oA6T5lFmijM7ejEfSQXxwZaon4ddZ7sL</v>
      </c>
      <c r="CB335" s="5" t="s">
        <v>2821</v>
      </c>
      <c r="CC335" s="5" t="s">
        <v>2821</v>
      </c>
      <c r="CD335" s="34" t="s">
        <v>2797</v>
      </c>
      <c r="CG335" s="18"/>
    </row>
    <row r="336" ht="18.75" hidden="1" customHeight="1">
      <c r="A336" s="30">
        <v>44742.93448513889</v>
      </c>
      <c r="B336" s="5" t="s">
        <v>2010</v>
      </c>
      <c r="C336" s="31" t="s">
        <v>10716</v>
      </c>
      <c r="E336" s="5" t="s">
        <v>3424</v>
      </c>
      <c r="G336" s="5" t="s">
        <v>10717</v>
      </c>
      <c r="H336" s="5" t="s">
        <v>2785</v>
      </c>
      <c r="I336" s="32">
        <v>36551.0</v>
      </c>
      <c r="J336" s="5">
        <v>2019.0</v>
      </c>
      <c r="K336" s="5" t="s">
        <v>2786</v>
      </c>
      <c r="L336" s="5" t="s">
        <v>2787</v>
      </c>
      <c r="N336" s="5" t="s">
        <v>10718</v>
      </c>
      <c r="O336" s="5" t="s">
        <v>2010</v>
      </c>
      <c r="P336" s="33" t="s">
        <v>10719</v>
      </c>
      <c r="Q336" s="5">
        <v>6.00517784E9</v>
      </c>
      <c r="R336" s="5">
        <v>6.00517784E9</v>
      </c>
      <c r="T336" s="5" t="s">
        <v>10720</v>
      </c>
      <c r="U336" s="5" t="s">
        <v>10721</v>
      </c>
      <c r="V336" s="5" t="s">
        <v>10722</v>
      </c>
      <c r="X336" s="5">
        <v>91.8</v>
      </c>
      <c r="Y336" s="5" t="s">
        <v>2795</v>
      </c>
      <c r="Z336" s="5">
        <v>9.48</v>
      </c>
      <c r="AA336" s="5">
        <v>9.4</v>
      </c>
      <c r="AB336" s="5" t="s">
        <v>2796</v>
      </c>
      <c r="AC336" s="5" t="s">
        <v>2796</v>
      </c>
      <c r="AD336" s="5" t="s">
        <v>2796</v>
      </c>
      <c r="AE336" s="5" t="s">
        <v>2796</v>
      </c>
      <c r="AF336" s="5">
        <v>9.19</v>
      </c>
      <c r="AG336" s="5">
        <v>8.63</v>
      </c>
      <c r="AH336" s="5">
        <v>78.8</v>
      </c>
      <c r="AJ336" s="5" t="s">
        <v>2797</v>
      </c>
      <c r="AK336" s="5" t="s">
        <v>2787</v>
      </c>
      <c r="AN336" s="5" t="s">
        <v>2797</v>
      </c>
      <c r="AQ336" s="5" t="s">
        <v>10018</v>
      </c>
      <c r="AU336" s="5" t="s">
        <v>10723</v>
      </c>
      <c r="AV336" s="5" t="s">
        <v>10724</v>
      </c>
      <c r="AW336" s="5" t="s">
        <v>10725</v>
      </c>
      <c r="AY336" s="5" t="s">
        <v>9212</v>
      </c>
      <c r="AZ336" s="5" t="s">
        <v>5287</v>
      </c>
      <c r="BA336" s="5" t="s">
        <v>4085</v>
      </c>
      <c r="BB336" s="5" t="s">
        <v>5729</v>
      </c>
      <c r="BC336" s="5" t="s">
        <v>4746</v>
      </c>
      <c r="BD336" s="5" t="s">
        <v>10726</v>
      </c>
      <c r="BE336" s="5" t="s">
        <v>10727</v>
      </c>
      <c r="BI336" s="5" t="s">
        <v>10728</v>
      </c>
      <c r="BJ336" s="33" t="s">
        <v>10729</v>
      </c>
      <c r="BK336" s="33" t="s">
        <v>10730</v>
      </c>
      <c r="BM336" s="33" t="s">
        <v>10731</v>
      </c>
      <c r="BO336" s="33" t="s">
        <v>10732</v>
      </c>
      <c r="BP336" s="33" t="s">
        <v>10733</v>
      </c>
      <c r="BQ336" s="5" t="s">
        <v>1193</v>
      </c>
      <c r="BW336" s="5" t="s">
        <v>8304</v>
      </c>
      <c r="BZ336" s="18" t="str">
        <f t="shared" si="100"/>
        <v/>
      </c>
      <c r="CA336" s="24" t="str">
        <f t="shared" si="101"/>
        <v>https://drive.google.com/open?id=1Gf1dbWfhkq1pc0ZqA0Iwe79RZUBvrely</v>
      </c>
      <c r="CB336" s="5" t="s">
        <v>2908</v>
      </c>
      <c r="CD336" s="34" t="s">
        <v>2797</v>
      </c>
      <c r="CG336" s="18"/>
    </row>
    <row r="337" ht="18.75" hidden="1" customHeight="1">
      <c r="A337" s="14">
        <v>44734.8115308912</v>
      </c>
      <c r="B337" s="15" t="s">
        <v>2040</v>
      </c>
      <c r="C337" s="16" t="s">
        <v>10734</v>
      </c>
      <c r="D337" s="15" t="str">
        <f>IFERROR(__xludf.DUMMYFUNCTION("QUERY(TY_ALL_2023_Batch!$A$1:$E$824, ""SELECT E WHERE C='""&amp;B337&amp;""'"", 0)"),"ETX")</f>
        <v>ETX</v>
      </c>
      <c r="E337" s="15" t="s">
        <v>10735</v>
      </c>
      <c r="F337" s="15" t="s">
        <v>3580</v>
      </c>
      <c r="G337" s="15" t="s">
        <v>10736</v>
      </c>
      <c r="H337" s="15" t="s">
        <v>2826</v>
      </c>
      <c r="I337" s="17">
        <v>37031.0</v>
      </c>
      <c r="J337" s="15">
        <v>2019.0</v>
      </c>
      <c r="K337" s="15" t="s">
        <v>2786</v>
      </c>
      <c r="L337" s="15" t="s">
        <v>2787</v>
      </c>
      <c r="M337" s="18"/>
      <c r="N337" s="15" t="s">
        <v>10737</v>
      </c>
      <c r="O337" s="15" t="s">
        <v>2040</v>
      </c>
      <c r="P337" s="19" t="s">
        <v>10738</v>
      </c>
      <c r="Q337" s="15">
        <v>9.307588544E9</v>
      </c>
      <c r="R337" s="15">
        <v>9.307588544E9</v>
      </c>
      <c r="S337" s="15">
        <v>8.329953046E9</v>
      </c>
      <c r="T337" s="15" t="s">
        <v>3580</v>
      </c>
      <c r="U337" s="15" t="s">
        <v>10739</v>
      </c>
      <c r="V337" s="15" t="s">
        <v>10740</v>
      </c>
      <c r="W337" s="15" t="s">
        <v>10741</v>
      </c>
      <c r="X337" s="15">
        <v>90.2</v>
      </c>
      <c r="Y337" s="15" t="s">
        <v>2795</v>
      </c>
      <c r="Z337" s="15">
        <v>7.67</v>
      </c>
      <c r="AA337" s="15">
        <v>8.67</v>
      </c>
      <c r="AB337" s="15" t="s">
        <v>2796</v>
      </c>
      <c r="AC337" s="15" t="s">
        <v>2796</v>
      </c>
      <c r="AD337" s="15" t="s">
        <v>2796</v>
      </c>
      <c r="AE337" s="15" t="s">
        <v>2796</v>
      </c>
      <c r="AF337" s="15">
        <v>6.89</v>
      </c>
      <c r="AG337" s="15">
        <v>7.81</v>
      </c>
      <c r="AH337" s="15">
        <v>71.85</v>
      </c>
      <c r="AI337" s="18"/>
      <c r="AJ337" s="15" t="s">
        <v>2787</v>
      </c>
      <c r="AK337" s="15" t="s">
        <v>2787</v>
      </c>
      <c r="AL337" s="18"/>
      <c r="AM337" s="18"/>
      <c r="AN337" s="15" t="s">
        <v>2797</v>
      </c>
      <c r="AO337" s="15" t="s">
        <v>6951</v>
      </c>
      <c r="AP337" s="15" t="s">
        <v>10742</v>
      </c>
      <c r="AQ337" s="15" t="s">
        <v>10743</v>
      </c>
      <c r="AR337" s="15" t="s">
        <v>10744</v>
      </c>
      <c r="AS337" s="15" t="s">
        <v>5798</v>
      </c>
      <c r="AT337" s="15" t="s">
        <v>10745</v>
      </c>
      <c r="AU337" s="15" t="s">
        <v>10746</v>
      </c>
      <c r="AV337" s="15" t="s">
        <v>10747</v>
      </c>
      <c r="AW337" s="15" t="s">
        <v>10748</v>
      </c>
      <c r="AX337" s="18"/>
      <c r="AY337" s="15" t="s">
        <v>10749</v>
      </c>
      <c r="AZ337" s="15" t="s">
        <v>4670</v>
      </c>
      <c r="BA337" s="15" t="s">
        <v>2839</v>
      </c>
      <c r="BB337" s="15" t="s">
        <v>2807</v>
      </c>
      <c r="BC337" s="15" t="s">
        <v>4746</v>
      </c>
      <c r="BD337" s="15" t="s">
        <v>2807</v>
      </c>
      <c r="BE337" s="15" t="s">
        <v>2796</v>
      </c>
      <c r="BF337" s="18"/>
      <c r="BG337" s="18"/>
      <c r="BH337" s="18"/>
      <c r="BI337" s="18"/>
      <c r="BJ337" s="19" t="s">
        <v>10750</v>
      </c>
      <c r="BK337" s="19" t="s">
        <v>10751</v>
      </c>
      <c r="BL337" s="18"/>
      <c r="BM337" s="18"/>
      <c r="BN337" s="18"/>
      <c r="BO337" s="19" t="s">
        <v>10752</v>
      </c>
      <c r="BP337" s="19" t="s">
        <v>10753</v>
      </c>
      <c r="BQ337" s="15" t="s">
        <v>1248</v>
      </c>
      <c r="BR337" s="26"/>
      <c r="BS337" s="26"/>
      <c r="BT337" s="26"/>
      <c r="BU337" s="26"/>
      <c r="BV337" s="26"/>
      <c r="BW337" s="26"/>
      <c r="BX337" s="26"/>
      <c r="BY337" s="18" t="str">
        <f t="shared" ref="BY337:BY357" si="105">IF(NOT(ISBLANK(BQ337)), BQ337, D337)</f>
        <v>ETX</v>
      </c>
      <c r="BZ337" s="18" t="str">
        <f t="shared" si="100"/>
        <v/>
      </c>
      <c r="CA337" s="18" t="str">
        <f t="shared" si="101"/>
        <v/>
      </c>
      <c r="CB337" s="15" t="s">
        <v>2908</v>
      </c>
      <c r="CC337" s="15" t="s">
        <v>2908</v>
      </c>
      <c r="CD337" s="25" t="s">
        <v>2908</v>
      </c>
      <c r="CE337" s="18"/>
      <c r="CF337" s="18"/>
      <c r="CG337" s="18"/>
    </row>
    <row r="338" ht="18.75" hidden="1" customHeight="1">
      <c r="A338" s="14">
        <v>44736.45292646991</v>
      </c>
      <c r="B338" s="15" t="s">
        <v>2055</v>
      </c>
      <c r="C338" s="16" t="s">
        <v>10754</v>
      </c>
      <c r="D338" s="15" t="str">
        <f>IFERROR(__xludf.DUMMYFUNCTION("QUERY(TY_ALL_2023_Batch!$A$1:$E$824, ""SELECT E WHERE C='""&amp;B338&amp;""'"", 0)"),"ETX")</f>
        <v>ETX</v>
      </c>
      <c r="E338" s="15" t="s">
        <v>2916</v>
      </c>
      <c r="F338" s="15" t="s">
        <v>10755</v>
      </c>
      <c r="G338" s="15" t="s">
        <v>5325</v>
      </c>
      <c r="H338" s="15" t="s">
        <v>2826</v>
      </c>
      <c r="I338" s="17">
        <v>36994.0</v>
      </c>
      <c r="J338" s="15">
        <v>2019.0</v>
      </c>
      <c r="K338" s="15" t="s">
        <v>2786</v>
      </c>
      <c r="L338" s="15" t="s">
        <v>2787</v>
      </c>
      <c r="M338" s="18"/>
      <c r="N338" s="15" t="s">
        <v>10756</v>
      </c>
      <c r="O338" s="15" t="s">
        <v>2055</v>
      </c>
      <c r="P338" s="19" t="s">
        <v>10757</v>
      </c>
      <c r="Q338" s="15">
        <v>8.975362587E9</v>
      </c>
      <c r="R338" s="15">
        <v>8.975362587E9</v>
      </c>
      <c r="S338" s="15">
        <v>9.76525915E9</v>
      </c>
      <c r="T338" s="15" t="s">
        <v>10755</v>
      </c>
      <c r="U338" s="15" t="s">
        <v>4073</v>
      </c>
      <c r="V338" s="15" t="s">
        <v>10758</v>
      </c>
      <c r="W338" s="15" t="s">
        <v>10759</v>
      </c>
      <c r="X338" s="15">
        <v>74.0</v>
      </c>
      <c r="Y338" s="15" t="s">
        <v>2795</v>
      </c>
      <c r="Z338" s="15">
        <v>7.1</v>
      </c>
      <c r="AA338" s="15">
        <v>7.81</v>
      </c>
      <c r="AB338" s="15" t="s">
        <v>2796</v>
      </c>
      <c r="AC338" s="15" t="s">
        <v>2796</v>
      </c>
      <c r="AD338" s="15" t="s">
        <v>2796</v>
      </c>
      <c r="AE338" s="15" t="s">
        <v>2796</v>
      </c>
      <c r="AF338" s="15">
        <v>8.2</v>
      </c>
      <c r="AG338" s="15">
        <v>8.9</v>
      </c>
      <c r="AH338" s="15">
        <v>57.08</v>
      </c>
      <c r="AI338" s="18"/>
      <c r="AJ338" s="15" t="s">
        <v>2787</v>
      </c>
      <c r="AK338" s="15" t="s">
        <v>2787</v>
      </c>
      <c r="AL338" s="15">
        <v>70.66</v>
      </c>
      <c r="AM338" s="15">
        <v>66.66</v>
      </c>
      <c r="AN338" s="15" t="s">
        <v>2797</v>
      </c>
      <c r="AO338" s="18"/>
      <c r="AP338" s="18"/>
      <c r="AQ338" s="15" t="s">
        <v>10760</v>
      </c>
      <c r="AR338" s="18"/>
      <c r="AS338" s="18"/>
      <c r="AT338" s="18"/>
      <c r="AU338" s="15" t="s">
        <v>8789</v>
      </c>
      <c r="AV338" s="15" t="s">
        <v>10761</v>
      </c>
      <c r="AW338" s="15" t="s">
        <v>10762</v>
      </c>
      <c r="AX338" s="15" t="s">
        <v>2796</v>
      </c>
      <c r="AY338" s="15" t="s">
        <v>8792</v>
      </c>
      <c r="AZ338" s="15" t="s">
        <v>4670</v>
      </c>
      <c r="BA338" s="15" t="s">
        <v>2839</v>
      </c>
      <c r="BB338" s="15" t="s">
        <v>2807</v>
      </c>
      <c r="BC338" s="15" t="s">
        <v>4746</v>
      </c>
      <c r="BD338" s="15" t="s">
        <v>2807</v>
      </c>
      <c r="BE338" s="15" t="s">
        <v>2796</v>
      </c>
      <c r="BF338" s="18"/>
      <c r="BG338" s="18"/>
      <c r="BH338" s="18"/>
      <c r="BI338" s="18"/>
      <c r="BJ338" s="19" t="s">
        <v>10763</v>
      </c>
      <c r="BK338" s="19" t="s">
        <v>10764</v>
      </c>
      <c r="BL338" s="19" t="s">
        <v>10765</v>
      </c>
      <c r="BM338" s="19" t="s">
        <v>10766</v>
      </c>
      <c r="BN338" s="19" t="s">
        <v>10767</v>
      </c>
      <c r="BO338" s="19" t="s">
        <v>10768</v>
      </c>
      <c r="BP338" s="19" t="s">
        <v>10769</v>
      </c>
      <c r="BQ338" s="15" t="s">
        <v>1248</v>
      </c>
      <c r="BR338" s="26"/>
      <c r="BS338" s="26"/>
      <c r="BT338" s="26"/>
      <c r="BU338" s="26"/>
      <c r="BV338" s="26"/>
      <c r="BW338" s="26"/>
      <c r="BX338" s="26"/>
      <c r="BY338" s="18" t="str">
        <f t="shared" si="105"/>
        <v>ETX</v>
      </c>
      <c r="BZ338" s="24" t="str">
        <f t="shared" si="100"/>
        <v>https://drive.google.com/open?id=1DKoqaBIAtxESofvGAXkZTTPdpaq-Y7dp</v>
      </c>
      <c r="CA338" s="24" t="str">
        <f t="shared" si="101"/>
        <v>https://drive.google.com/open?id=15-p5VdfumgCrrCPtIpKHvQqDbDH1EvJ4</v>
      </c>
      <c r="CB338" s="15" t="s">
        <v>2821</v>
      </c>
      <c r="CC338" s="15" t="s">
        <v>2821</v>
      </c>
      <c r="CD338" s="25" t="s">
        <v>2797</v>
      </c>
      <c r="CE338" s="18"/>
      <c r="CF338" s="18"/>
      <c r="CG338" s="18"/>
    </row>
    <row r="339" ht="18.75" hidden="1" customHeight="1">
      <c r="A339" s="14">
        <v>44736.67653210648</v>
      </c>
      <c r="B339" s="15" t="s">
        <v>1268</v>
      </c>
      <c r="C339" s="16" t="s">
        <v>10770</v>
      </c>
      <c r="D339" s="15" t="str">
        <f>IFERROR(__xludf.DUMMYFUNCTION("QUERY(TY_ALL_2023_Batch!$A$1:$E$824, ""SELECT E WHERE C='""&amp;B339&amp;""'"", 0)"),"ETX")</f>
        <v>ETX</v>
      </c>
      <c r="E339" s="15" t="s">
        <v>8060</v>
      </c>
      <c r="F339" s="15" t="s">
        <v>10771</v>
      </c>
      <c r="G339" s="15" t="s">
        <v>10772</v>
      </c>
      <c r="H339" s="15" t="s">
        <v>2785</v>
      </c>
      <c r="I339" s="17">
        <v>36551.0</v>
      </c>
      <c r="J339" s="15">
        <v>2020.0</v>
      </c>
      <c r="K339" s="15" t="s">
        <v>2941</v>
      </c>
      <c r="L339" s="15" t="s">
        <v>2787</v>
      </c>
      <c r="M339" s="18"/>
      <c r="N339" s="15" t="s">
        <v>10773</v>
      </c>
      <c r="O339" s="15" t="s">
        <v>10774</v>
      </c>
      <c r="P339" s="19" t="s">
        <v>10775</v>
      </c>
      <c r="Q339" s="15">
        <v>8.830878364E9</v>
      </c>
      <c r="R339" s="15">
        <v>8.830878364E9</v>
      </c>
      <c r="S339" s="15">
        <v>9.579340814E9</v>
      </c>
      <c r="T339" s="15" t="s">
        <v>10776</v>
      </c>
      <c r="U339" s="15" t="s">
        <v>10777</v>
      </c>
      <c r="V339" s="15" t="s">
        <v>10778</v>
      </c>
      <c r="W339" s="15" t="s">
        <v>10779</v>
      </c>
      <c r="X339" s="15">
        <v>68.0</v>
      </c>
      <c r="Y339" s="15" t="s">
        <v>2948</v>
      </c>
      <c r="Z339" s="15">
        <v>6.57</v>
      </c>
      <c r="AA339" s="15">
        <v>8.19</v>
      </c>
      <c r="AB339" s="15" t="s">
        <v>2796</v>
      </c>
      <c r="AC339" s="15" t="s">
        <v>2796</v>
      </c>
      <c r="AD339" s="15" t="s">
        <v>2796</v>
      </c>
      <c r="AE339" s="15" t="s">
        <v>2796</v>
      </c>
      <c r="AF339" s="18"/>
      <c r="AG339" s="18"/>
      <c r="AH339" s="18"/>
      <c r="AI339" s="15">
        <v>73.88</v>
      </c>
      <c r="AJ339" s="15" t="s">
        <v>2787</v>
      </c>
      <c r="AK339" s="15" t="s">
        <v>2787</v>
      </c>
      <c r="AL339" s="15">
        <v>326.6</v>
      </c>
      <c r="AM339" s="15">
        <v>513.3</v>
      </c>
      <c r="AN339" s="15" t="s">
        <v>2797</v>
      </c>
      <c r="AO339" s="15" t="s">
        <v>3005</v>
      </c>
      <c r="AP339" s="15" t="s">
        <v>3005</v>
      </c>
      <c r="AQ339" s="15" t="s">
        <v>10780</v>
      </c>
      <c r="AR339" s="15" t="s">
        <v>10781</v>
      </c>
      <c r="AS339" s="15" t="s">
        <v>10782</v>
      </c>
      <c r="AT339" s="18"/>
      <c r="AU339" s="15" t="s">
        <v>2796</v>
      </c>
      <c r="AV339" s="15" t="s">
        <v>10783</v>
      </c>
      <c r="AW339" s="15" t="s">
        <v>10784</v>
      </c>
      <c r="AX339" s="18"/>
      <c r="AY339" s="15" t="s">
        <v>10785</v>
      </c>
      <c r="AZ339" s="15" t="s">
        <v>4670</v>
      </c>
      <c r="BA339" s="15" t="s">
        <v>10786</v>
      </c>
      <c r="BB339" s="15" t="s">
        <v>2807</v>
      </c>
      <c r="BC339" s="15" t="s">
        <v>10787</v>
      </c>
      <c r="BD339" s="15" t="s">
        <v>2807</v>
      </c>
      <c r="BE339" s="15" t="s">
        <v>2796</v>
      </c>
      <c r="BF339" s="15" t="s">
        <v>3005</v>
      </c>
      <c r="BG339" s="15" t="s">
        <v>3005</v>
      </c>
      <c r="BH339" s="15" t="s">
        <v>10788</v>
      </c>
      <c r="BI339" s="18"/>
      <c r="BJ339" s="19" t="s">
        <v>10789</v>
      </c>
      <c r="BK339" s="19" t="s">
        <v>10790</v>
      </c>
      <c r="BL339" s="19" t="s">
        <v>10791</v>
      </c>
      <c r="BM339" s="19" t="s">
        <v>10792</v>
      </c>
      <c r="BN339" s="19" t="s">
        <v>10793</v>
      </c>
      <c r="BO339" s="19" t="s">
        <v>10794</v>
      </c>
      <c r="BP339" s="18"/>
      <c r="BQ339" s="15" t="s">
        <v>1248</v>
      </c>
      <c r="BR339" s="26"/>
      <c r="BS339" s="26"/>
      <c r="BT339" s="19" t="s">
        <v>10795</v>
      </c>
      <c r="BU339" s="19" t="s">
        <v>10796</v>
      </c>
      <c r="BV339" s="19" t="s">
        <v>10797</v>
      </c>
      <c r="BW339" s="15" t="s">
        <v>10798</v>
      </c>
      <c r="BX339" s="26"/>
      <c r="BY339" s="18" t="str">
        <f t="shared" si="105"/>
        <v>ETX</v>
      </c>
      <c r="BZ339" s="24" t="str">
        <f t="shared" si="100"/>
        <v>https://drive.google.com/open?id=1WTq6EJK-TkWz9vxTxvu4J-IHnU2qPdnl</v>
      </c>
      <c r="CA339" s="24" t="str">
        <f t="shared" si="101"/>
        <v>https://drive.google.com/open?id=1PF5JorjVNA8TGNF-oNQQjTZhqGiG5fr_</v>
      </c>
      <c r="CB339" s="15" t="s">
        <v>2821</v>
      </c>
      <c r="CC339" s="15" t="s">
        <v>2821</v>
      </c>
      <c r="CD339" s="25" t="s">
        <v>2909</v>
      </c>
      <c r="CE339" s="18"/>
      <c r="CF339" s="18"/>
      <c r="CG339" s="18"/>
    </row>
    <row r="340" ht="18.75" hidden="1" customHeight="1">
      <c r="A340" s="14">
        <v>44734.56696060185</v>
      </c>
      <c r="B340" s="15" t="s">
        <v>2079</v>
      </c>
      <c r="C340" s="15">
        <v>9.356471826E9</v>
      </c>
      <c r="D340" s="15" t="str">
        <f>IFERROR(__xludf.DUMMYFUNCTION("QUERY(TY_ALL_2023_Batch!$A$1:$E$824, ""SELECT E WHERE C='""&amp;B340&amp;""'"", 0)"),"ETX")</f>
        <v>ETX</v>
      </c>
      <c r="E340" s="15" t="s">
        <v>10799</v>
      </c>
      <c r="F340" s="15" t="s">
        <v>9609</v>
      </c>
      <c r="G340" s="15" t="s">
        <v>4471</v>
      </c>
      <c r="H340" s="15" t="s">
        <v>2785</v>
      </c>
      <c r="I340" s="17">
        <v>37001.0</v>
      </c>
      <c r="J340" s="15">
        <v>2019.0</v>
      </c>
      <c r="K340" s="15" t="s">
        <v>2786</v>
      </c>
      <c r="L340" s="15" t="s">
        <v>2787</v>
      </c>
      <c r="M340" s="18"/>
      <c r="N340" s="15" t="s">
        <v>10800</v>
      </c>
      <c r="O340" s="15" t="s">
        <v>2079</v>
      </c>
      <c r="P340" s="19" t="s">
        <v>10801</v>
      </c>
      <c r="Q340" s="15">
        <v>9.356471826E9</v>
      </c>
      <c r="R340" s="15">
        <v>9.766566919E9</v>
      </c>
      <c r="S340" s="15">
        <v>9.356471826E9</v>
      </c>
      <c r="T340" s="15" t="s">
        <v>10802</v>
      </c>
      <c r="U340" s="15" t="s">
        <v>10803</v>
      </c>
      <c r="V340" s="15" t="s">
        <v>10804</v>
      </c>
      <c r="W340" s="15" t="s">
        <v>10805</v>
      </c>
      <c r="X340" s="15">
        <v>80.4</v>
      </c>
      <c r="Y340" s="15" t="s">
        <v>2795</v>
      </c>
      <c r="Z340" s="15">
        <v>2.52</v>
      </c>
      <c r="AA340" s="15">
        <v>2.33</v>
      </c>
      <c r="AB340" s="15" t="s">
        <v>2796</v>
      </c>
      <c r="AC340" s="15" t="s">
        <v>2796</v>
      </c>
      <c r="AD340" s="15" t="s">
        <v>2796</v>
      </c>
      <c r="AE340" s="15" t="s">
        <v>2796</v>
      </c>
      <c r="AF340" s="15">
        <v>5.63</v>
      </c>
      <c r="AG340" s="15">
        <v>5.38</v>
      </c>
      <c r="AH340" s="15">
        <v>67.85</v>
      </c>
      <c r="AI340" s="18"/>
      <c r="AJ340" s="15" t="s">
        <v>2797</v>
      </c>
      <c r="AK340" s="15" t="s">
        <v>2787</v>
      </c>
      <c r="AL340" s="15" t="s">
        <v>10806</v>
      </c>
      <c r="AM340" s="15">
        <v>17.0</v>
      </c>
      <c r="AN340" s="15" t="s">
        <v>2787</v>
      </c>
      <c r="AO340" s="15" t="s">
        <v>10807</v>
      </c>
      <c r="AP340" s="15" t="s">
        <v>10808</v>
      </c>
      <c r="AQ340" s="15" t="s">
        <v>4549</v>
      </c>
      <c r="AR340" s="15" t="s">
        <v>10809</v>
      </c>
      <c r="AS340" s="15" t="s">
        <v>10810</v>
      </c>
      <c r="AT340" s="15" t="s">
        <v>10810</v>
      </c>
      <c r="AU340" s="15" t="s">
        <v>10811</v>
      </c>
      <c r="AV340" s="15" t="s">
        <v>7636</v>
      </c>
      <c r="AW340" s="15" t="s">
        <v>10812</v>
      </c>
      <c r="AX340" s="15" t="s">
        <v>10813</v>
      </c>
      <c r="AY340" s="15" t="s">
        <v>3131</v>
      </c>
      <c r="AZ340" s="15" t="s">
        <v>4670</v>
      </c>
      <c r="BA340" s="15" t="s">
        <v>2839</v>
      </c>
      <c r="BB340" s="15" t="s">
        <v>3109</v>
      </c>
      <c r="BC340" s="15" t="s">
        <v>3686</v>
      </c>
      <c r="BD340" s="15" t="s">
        <v>2807</v>
      </c>
      <c r="BE340" s="15" t="s">
        <v>10814</v>
      </c>
      <c r="BF340" s="15" t="s">
        <v>2796</v>
      </c>
      <c r="BG340" s="15" t="s">
        <v>2796</v>
      </c>
      <c r="BH340" s="15" t="s">
        <v>2796</v>
      </c>
      <c r="BI340" s="15" t="s">
        <v>10815</v>
      </c>
      <c r="BJ340" s="19" t="s">
        <v>10816</v>
      </c>
      <c r="BK340" s="19" t="s">
        <v>10817</v>
      </c>
      <c r="BL340" s="18"/>
      <c r="BM340" s="19" t="s">
        <v>10818</v>
      </c>
      <c r="BN340" s="18"/>
      <c r="BO340" s="19" t="s">
        <v>10819</v>
      </c>
      <c r="BP340" s="18"/>
      <c r="BQ340" s="15" t="s">
        <v>1248</v>
      </c>
      <c r="BR340" s="26"/>
      <c r="BS340" s="26"/>
      <c r="BT340" s="26"/>
      <c r="BU340" s="26"/>
      <c r="BV340" s="26"/>
      <c r="BW340" s="26"/>
      <c r="BX340" s="26"/>
      <c r="BY340" s="18" t="str">
        <f t="shared" si="105"/>
        <v>ETX</v>
      </c>
      <c r="BZ340" s="18" t="str">
        <f t="shared" si="100"/>
        <v/>
      </c>
      <c r="CA340" s="24" t="str">
        <f t="shared" si="101"/>
        <v>https://drive.google.com/open?id=19x5uBI20ZYe0bl4uT3Us9WMSOFDOi8TI</v>
      </c>
      <c r="CB340" s="15" t="s">
        <v>2908</v>
      </c>
      <c r="CC340" s="15" t="s">
        <v>2821</v>
      </c>
      <c r="CD340" s="25" t="s">
        <v>2797</v>
      </c>
      <c r="CE340" s="18"/>
      <c r="CF340" s="18"/>
      <c r="CG340" s="18"/>
    </row>
    <row r="341" ht="18.75" hidden="1" customHeight="1">
      <c r="A341" s="14">
        <v>44742.790549375</v>
      </c>
      <c r="B341" s="15" t="s">
        <v>1265</v>
      </c>
      <c r="C341" s="16" t="s">
        <v>10820</v>
      </c>
      <c r="D341" s="15" t="str">
        <f>IFERROR(__xludf.DUMMYFUNCTION("QUERY(TY_ALL_2023_Batch!$A$1:$E$824, ""SELECT E WHERE C='""&amp;B341&amp;""'"", 0)"),"ETX")</f>
        <v>ETX</v>
      </c>
      <c r="E341" s="15" t="s">
        <v>9982</v>
      </c>
      <c r="F341" s="15" t="s">
        <v>10821</v>
      </c>
      <c r="G341" s="15" t="s">
        <v>10822</v>
      </c>
      <c r="H341" s="15" t="s">
        <v>2785</v>
      </c>
      <c r="I341" s="17">
        <v>37321.0</v>
      </c>
      <c r="J341" s="15">
        <v>2020.0</v>
      </c>
      <c r="K341" s="15" t="s">
        <v>2941</v>
      </c>
      <c r="L341" s="15" t="s">
        <v>2787</v>
      </c>
      <c r="M341" s="18"/>
      <c r="N341" s="15" t="s">
        <v>10823</v>
      </c>
      <c r="O341" s="15" t="s">
        <v>1265</v>
      </c>
      <c r="P341" s="19" t="s">
        <v>10824</v>
      </c>
      <c r="Q341" s="15">
        <v>7.773931137E9</v>
      </c>
      <c r="R341" s="15">
        <v>7.773931137E9</v>
      </c>
      <c r="S341" s="15">
        <v>7.972716471E9</v>
      </c>
      <c r="T341" s="15" t="s">
        <v>10821</v>
      </c>
      <c r="U341" s="15" t="s">
        <v>4661</v>
      </c>
      <c r="V341" s="15" t="s">
        <v>10825</v>
      </c>
      <c r="W341" s="15" t="s">
        <v>10826</v>
      </c>
      <c r="X341" s="15">
        <v>82.2</v>
      </c>
      <c r="Y341" s="15" t="s">
        <v>2948</v>
      </c>
      <c r="Z341" s="15">
        <v>9.19</v>
      </c>
      <c r="AA341" s="15">
        <v>9.62</v>
      </c>
      <c r="AB341" s="15" t="s">
        <v>5798</v>
      </c>
      <c r="AC341" s="15" t="s">
        <v>5798</v>
      </c>
      <c r="AD341" s="15" t="s">
        <v>5798</v>
      </c>
      <c r="AE341" s="15" t="s">
        <v>5798</v>
      </c>
      <c r="AF341" s="18"/>
      <c r="AG341" s="18"/>
      <c r="AH341" s="18"/>
      <c r="AI341" s="15">
        <v>89.49</v>
      </c>
      <c r="AJ341" s="15" t="s">
        <v>2787</v>
      </c>
      <c r="AK341" s="15" t="s">
        <v>2787</v>
      </c>
      <c r="AL341" s="15">
        <v>571.0</v>
      </c>
      <c r="AM341" s="15">
        <v>775.0</v>
      </c>
      <c r="AN341" s="15" t="s">
        <v>2797</v>
      </c>
      <c r="AO341" s="15">
        <v>0.0</v>
      </c>
      <c r="AP341" s="15">
        <v>0.0</v>
      </c>
      <c r="AQ341" s="15" t="s">
        <v>10827</v>
      </c>
      <c r="AR341" s="15" t="s">
        <v>10828</v>
      </c>
      <c r="AS341" s="15" t="s">
        <v>10829</v>
      </c>
      <c r="AT341" s="15" t="s">
        <v>5798</v>
      </c>
      <c r="AU341" s="15" t="s">
        <v>10830</v>
      </c>
      <c r="AV341" s="15" t="s">
        <v>10831</v>
      </c>
      <c r="AW341" s="15" t="s">
        <v>10832</v>
      </c>
      <c r="AX341" s="15" t="s">
        <v>10833</v>
      </c>
      <c r="AY341" s="15" t="s">
        <v>10834</v>
      </c>
      <c r="AZ341" s="15" t="s">
        <v>5287</v>
      </c>
      <c r="BA341" s="15" t="s">
        <v>5870</v>
      </c>
      <c r="BB341" s="15" t="s">
        <v>8142</v>
      </c>
      <c r="BC341" s="15" t="s">
        <v>10835</v>
      </c>
      <c r="BD341" s="15" t="s">
        <v>2842</v>
      </c>
      <c r="BE341" s="15" t="s">
        <v>10836</v>
      </c>
      <c r="BF341" s="15" t="s">
        <v>10837</v>
      </c>
      <c r="BG341" s="15" t="s">
        <v>10838</v>
      </c>
      <c r="BH341" s="15" t="s">
        <v>10839</v>
      </c>
      <c r="BI341" s="15" t="s">
        <v>10840</v>
      </c>
      <c r="BJ341" s="19" t="s">
        <v>10841</v>
      </c>
      <c r="BK341" s="19" t="s">
        <v>10842</v>
      </c>
      <c r="BL341" s="19" t="s">
        <v>10843</v>
      </c>
      <c r="BM341" s="19" t="s">
        <v>10844</v>
      </c>
      <c r="BN341" s="19" t="s">
        <v>10845</v>
      </c>
      <c r="BO341" s="19" t="s">
        <v>10846</v>
      </c>
      <c r="BP341" s="19" t="s">
        <v>10847</v>
      </c>
      <c r="BQ341" s="15" t="s">
        <v>1248</v>
      </c>
      <c r="BR341" s="18"/>
      <c r="BS341" s="18"/>
      <c r="BT341" s="19" t="s">
        <v>10848</v>
      </c>
      <c r="BU341" s="18"/>
      <c r="BV341" s="18"/>
      <c r="BW341" s="15" t="s">
        <v>10849</v>
      </c>
      <c r="BX341" s="18"/>
      <c r="BY341" s="18" t="str">
        <f t="shared" si="105"/>
        <v>ETX</v>
      </c>
      <c r="BZ341" s="24" t="str">
        <f t="shared" si="100"/>
        <v>https://drive.google.com/open?id=1ATNf4IkzIwG82eKxZhH4dChfZXmaP3Zz</v>
      </c>
      <c r="CA341" s="24" t="str">
        <f t="shared" si="101"/>
        <v>https://drive.google.com/open?id=1jJSOwk3MXZYWPrxBbECi0iGTmSF8g1n6</v>
      </c>
      <c r="CB341" s="15" t="s">
        <v>2821</v>
      </c>
      <c r="CC341" s="15" t="s">
        <v>2821</v>
      </c>
      <c r="CD341" s="25" t="s">
        <v>2909</v>
      </c>
      <c r="CE341" s="18"/>
      <c r="CF341" s="18"/>
      <c r="CG341" s="18"/>
    </row>
    <row r="342" ht="18.75" hidden="1" customHeight="1">
      <c r="A342" s="14">
        <v>44742.752135613424</v>
      </c>
      <c r="B342" s="15" t="s">
        <v>1283</v>
      </c>
      <c r="C342" s="16" t="s">
        <v>10850</v>
      </c>
      <c r="D342" s="15" t="str">
        <f>IFERROR(__xludf.DUMMYFUNCTION("QUERY(TY_ALL_2023_Batch!$A$1:$E$824, ""SELECT E WHERE C='""&amp;B342&amp;""'"", 0)"),"ETX")</f>
        <v>ETX</v>
      </c>
      <c r="E342" s="15" t="s">
        <v>10851</v>
      </c>
      <c r="F342" s="15" t="s">
        <v>2939</v>
      </c>
      <c r="G342" s="15" t="s">
        <v>5691</v>
      </c>
      <c r="H342" s="15" t="s">
        <v>2785</v>
      </c>
      <c r="I342" s="17">
        <v>37259.0</v>
      </c>
      <c r="J342" s="15">
        <v>2020.0</v>
      </c>
      <c r="K342" s="15" t="s">
        <v>2941</v>
      </c>
      <c r="L342" s="15" t="s">
        <v>2787</v>
      </c>
      <c r="M342" s="18"/>
      <c r="N342" s="15" t="s">
        <v>10852</v>
      </c>
      <c r="O342" s="15" t="s">
        <v>1283</v>
      </c>
      <c r="P342" s="19" t="s">
        <v>10853</v>
      </c>
      <c r="Q342" s="15">
        <v>7.030889683E9</v>
      </c>
      <c r="R342" s="15">
        <v>7.030889683E9</v>
      </c>
      <c r="S342" s="15">
        <v>7.030889683E9</v>
      </c>
      <c r="T342" s="15" t="s">
        <v>4785</v>
      </c>
      <c r="U342" s="15" t="s">
        <v>10854</v>
      </c>
      <c r="V342" s="15" t="s">
        <v>10855</v>
      </c>
      <c r="W342" s="18"/>
      <c r="X342" s="15">
        <v>91.2</v>
      </c>
      <c r="Y342" s="15" t="s">
        <v>2948</v>
      </c>
      <c r="Z342" s="15">
        <v>8.5</v>
      </c>
      <c r="AA342" s="15">
        <v>8.5</v>
      </c>
      <c r="AB342" s="15" t="s">
        <v>2796</v>
      </c>
      <c r="AC342" s="15" t="s">
        <v>2796</v>
      </c>
      <c r="AD342" s="15" t="s">
        <v>2796</v>
      </c>
      <c r="AE342" s="15" t="s">
        <v>2796</v>
      </c>
      <c r="AF342" s="18"/>
      <c r="AG342" s="18"/>
      <c r="AH342" s="18"/>
      <c r="AI342" s="15">
        <v>88.25</v>
      </c>
      <c r="AJ342" s="15" t="s">
        <v>2787</v>
      </c>
      <c r="AK342" s="15" t="s">
        <v>2787</v>
      </c>
      <c r="AL342" s="15">
        <v>600.0</v>
      </c>
      <c r="AM342" s="15">
        <v>500.0</v>
      </c>
      <c r="AN342" s="15" t="s">
        <v>2787</v>
      </c>
      <c r="AO342" s="15" t="s">
        <v>10856</v>
      </c>
      <c r="AP342" s="15" t="s">
        <v>2796</v>
      </c>
      <c r="AQ342" s="15" t="s">
        <v>10857</v>
      </c>
      <c r="AR342" s="15" t="s">
        <v>10858</v>
      </c>
      <c r="AS342" s="15" t="s">
        <v>8304</v>
      </c>
      <c r="AT342" s="15" t="s">
        <v>8304</v>
      </c>
      <c r="AU342" s="18"/>
      <c r="AV342" s="18"/>
      <c r="AW342" s="15" t="s">
        <v>10859</v>
      </c>
      <c r="AX342" s="18"/>
      <c r="AY342" s="15" t="s">
        <v>10860</v>
      </c>
      <c r="AZ342" s="15" t="s">
        <v>5287</v>
      </c>
      <c r="BA342" s="15" t="s">
        <v>2839</v>
      </c>
      <c r="BB342" s="15" t="s">
        <v>4484</v>
      </c>
      <c r="BC342" s="15" t="s">
        <v>5394</v>
      </c>
      <c r="BD342" s="15" t="s">
        <v>4556</v>
      </c>
      <c r="BE342" s="15" t="s">
        <v>2796</v>
      </c>
      <c r="BF342" s="18"/>
      <c r="BG342" s="15" t="s">
        <v>10861</v>
      </c>
      <c r="BH342" s="18"/>
      <c r="BI342" s="18"/>
      <c r="BJ342" s="19" t="s">
        <v>10862</v>
      </c>
      <c r="BK342" s="19" t="s">
        <v>10863</v>
      </c>
      <c r="BL342" s="18"/>
      <c r="BM342" s="20" t="s">
        <v>10864</v>
      </c>
      <c r="BN342" s="18"/>
      <c r="BO342" s="19" t="s">
        <v>10865</v>
      </c>
      <c r="BP342" s="18"/>
      <c r="BQ342" s="15" t="s">
        <v>1248</v>
      </c>
      <c r="BR342" s="18"/>
      <c r="BS342" s="18"/>
      <c r="BT342" s="19" t="s">
        <v>10866</v>
      </c>
      <c r="BU342" s="18"/>
      <c r="BV342" s="18"/>
      <c r="BW342" s="15" t="s">
        <v>10867</v>
      </c>
      <c r="BX342" s="18"/>
      <c r="BY342" s="18" t="str">
        <f t="shared" si="105"/>
        <v>ETX</v>
      </c>
      <c r="BZ342" s="18" t="str">
        <f t="shared" si="100"/>
        <v/>
      </c>
      <c r="CA342" s="24" t="str">
        <f t="shared" si="101"/>
        <v>https://drive.google.com/open?id=1_dhyL4h79Aru3KBHyB-fGeF1mSG_8ND-</v>
      </c>
      <c r="CB342" s="15" t="s">
        <v>2908</v>
      </c>
      <c r="CC342" s="15" t="s">
        <v>2821</v>
      </c>
      <c r="CD342" s="25" t="s">
        <v>2909</v>
      </c>
      <c r="CE342" s="18"/>
      <c r="CF342" s="18"/>
      <c r="CG342" s="18"/>
    </row>
    <row r="343" ht="18.75" hidden="1" customHeight="1">
      <c r="A343" s="14">
        <v>44742.69705495371</v>
      </c>
      <c r="B343" s="15" t="s">
        <v>2052</v>
      </c>
      <c r="C343" s="16" t="s">
        <v>10868</v>
      </c>
      <c r="D343" s="15" t="str">
        <f>IFERROR(__xludf.DUMMYFUNCTION("QUERY(TY_ALL_2023_Batch!$A$1:$E$824, ""SELECT E WHERE C='""&amp;B343&amp;""'"", 0)"),"ETX")</f>
        <v>ETX</v>
      </c>
      <c r="E343" s="15" t="s">
        <v>10869</v>
      </c>
      <c r="F343" s="15" t="s">
        <v>7103</v>
      </c>
      <c r="G343" s="15" t="s">
        <v>10870</v>
      </c>
      <c r="H343" s="15" t="s">
        <v>2785</v>
      </c>
      <c r="I343" s="17">
        <v>37077.0</v>
      </c>
      <c r="J343" s="15">
        <v>2019.0</v>
      </c>
      <c r="K343" s="15" t="s">
        <v>2786</v>
      </c>
      <c r="L343" s="15" t="s">
        <v>2787</v>
      </c>
      <c r="M343" s="18"/>
      <c r="N343" s="15" t="s">
        <v>10871</v>
      </c>
      <c r="O343" s="15" t="s">
        <v>10872</v>
      </c>
      <c r="P343" s="19" t="s">
        <v>10873</v>
      </c>
      <c r="Q343" s="15">
        <v>9.309765073E9</v>
      </c>
      <c r="R343" s="15">
        <v>9.309765073E9</v>
      </c>
      <c r="S343" s="15">
        <v>9.421781888E9</v>
      </c>
      <c r="T343" s="15" t="s">
        <v>10874</v>
      </c>
      <c r="U343" s="15" t="s">
        <v>10875</v>
      </c>
      <c r="V343" s="15" t="s">
        <v>10876</v>
      </c>
      <c r="W343" s="15" t="s">
        <v>10877</v>
      </c>
      <c r="X343" s="15">
        <v>88.8</v>
      </c>
      <c r="Y343" s="15" t="s">
        <v>2795</v>
      </c>
      <c r="Z343" s="15">
        <v>7.71</v>
      </c>
      <c r="AA343" s="15">
        <v>8.29</v>
      </c>
      <c r="AB343" s="15" t="s">
        <v>2796</v>
      </c>
      <c r="AC343" s="15" t="s">
        <v>2796</v>
      </c>
      <c r="AD343" s="15" t="s">
        <v>2796</v>
      </c>
      <c r="AE343" s="15" t="s">
        <v>2796</v>
      </c>
      <c r="AF343" s="15">
        <v>8.26</v>
      </c>
      <c r="AG343" s="15">
        <v>8.38</v>
      </c>
      <c r="AH343" s="15">
        <v>80.15</v>
      </c>
      <c r="AI343" s="18"/>
      <c r="AJ343" s="15" t="s">
        <v>2787</v>
      </c>
      <c r="AK343" s="15" t="s">
        <v>2787</v>
      </c>
      <c r="AL343" s="15">
        <v>581.66</v>
      </c>
      <c r="AM343" s="15">
        <v>603.33</v>
      </c>
      <c r="AN343" s="15" t="s">
        <v>2787</v>
      </c>
      <c r="AO343" s="15" t="s">
        <v>8304</v>
      </c>
      <c r="AP343" s="15" t="s">
        <v>10878</v>
      </c>
      <c r="AQ343" s="15" t="s">
        <v>10879</v>
      </c>
      <c r="AR343" s="15" t="s">
        <v>10880</v>
      </c>
      <c r="AS343" s="15" t="s">
        <v>10881</v>
      </c>
      <c r="AT343" s="15" t="s">
        <v>10047</v>
      </c>
      <c r="AU343" s="15" t="s">
        <v>10882</v>
      </c>
      <c r="AV343" s="19" t="s">
        <v>10883</v>
      </c>
      <c r="AW343" s="15" t="s">
        <v>10884</v>
      </c>
      <c r="AX343" s="15" t="s">
        <v>10047</v>
      </c>
      <c r="AY343" s="15" t="s">
        <v>10885</v>
      </c>
      <c r="AZ343" s="15" t="s">
        <v>5335</v>
      </c>
      <c r="BA343" s="15" t="s">
        <v>5552</v>
      </c>
      <c r="BB343" s="15" t="s">
        <v>5363</v>
      </c>
      <c r="BC343" s="15" t="s">
        <v>4746</v>
      </c>
      <c r="BD343" s="15" t="s">
        <v>2807</v>
      </c>
      <c r="BE343" s="15" t="s">
        <v>10886</v>
      </c>
      <c r="BF343" s="15" t="s">
        <v>10887</v>
      </c>
      <c r="BG343" s="18"/>
      <c r="BH343" s="18"/>
      <c r="BI343" s="15" t="s">
        <v>10888</v>
      </c>
      <c r="BJ343" s="19" t="s">
        <v>10889</v>
      </c>
      <c r="BK343" s="19" t="s">
        <v>10890</v>
      </c>
      <c r="BL343" s="19" t="s">
        <v>10891</v>
      </c>
      <c r="BM343" s="19" t="s">
        <v>10892</v>
      </c>
      <c r="BN343" s="19" t="s">
        <v>10893</v>
      </c>
      <c r="BO343" s="19" t="s">
        <v>10894</v>
      </c>
      <c r="BP343" s="19" t="s">
        <v>10895</v>
      </c>
      <c r="BQ343" s="15" t="s">
        <v>1248</v>
      </c>
      <c r="BR343" s="19" t="s">
        <v>10896</v>
      </c>
      <c r="BS343" s="19" t="s">
        <v>10897</v>
      </c>
      <c r="BT343" s="19" t="s">
        <v>10898</v>
      </c>
      <c r="BU343" s="19" t="s">
        <v>10899</v>
      </c>
      <c r="BV343" s="19" t="s">
        <v>10900</v>
      </c>
      <c r="BW343" s="15" t="s">
        <v>10901</v>
      </c>
      <c r="BX343" s="26"/>
      <c r="BY343" s="18" t="str">
        <f t="shared" si="105"/>
        <v>ETX</v>
      </c>
      <c r="BZ343" s="24" t="str">
        <f t="shared" si="100"/>
        <v>https://drive.google.com/open?id=1yCysJE9HqA6gOR_Gksf8BpMfUx7NVA2j</v>
      </c>
      <c r="CA343" s="24" t="str">
        <f t="shared" si="101"/>
        <v>https://drive.google.com/open?id=1UPJXJ7lXM58_lLCMTzsO73DsdAVcq4YA</v>
      </c>
      <c r="CB343" s="15" t="s">
        <v>2821</v>
      </c>
      <c r="CC343" s="15" t="s">
        <v>2821</v>
      </c>
      <c r="CD343" s="25" t="s">
        <v>2909</v>
      </c>
      <c r="CE343" s="18"/>
      <c r="CF343" s="18"/>
      <c r="CG343" s="18"/>
    </row>
    <row r="344" ht="18.75" hidden="1" customHeight="1">
      <c r="A344" s="14">
        <v>44735.53951673611</v>
      </c>
      <c r="B344" s="15" t="s">
        <v>2076</v>
      </c>
      <c r="C344" s="16" t="s">
        <v>10902</v>
      </c>
      <c r="D344" s="15" t="str">
        <f>IFERROR(__xludf.DUMMYFUNCTION("QUERY(TY_ALL_2023_Batch!$A$1:$E$824, ""SELECT E WHERE C='""&amp;B344&amp;""'"", 0)"),"ETX")</f>
        <v>ETX</v>
      </c>
      <c r="E344" s="15" t="s">
        <v>3141</v>
      </c>
      <c r="F344" s="15" t="s">
        <v>5456</v>
      </c>
      <c r="G344" s="15" t="s">
        <v>10903</v>
      </c>
      <c r="H344" s="15" t="s">
        <v>2826</v>
      </c>
      <c r="I344" s="17">
        <v>37070.0</v>
      </c>
      <c r="J344" s="15">
        <v>2019.0</v>
      </c>
      <c r="K344" s="15" t="s">
        <v>2786</v>
      </c>
      <c r="L344" s="15" t="s">
        <v>2787</v>
      </c>
      <c r="M344" s="18"/>
      <c r="N344" s="15" t="s">
        <v>10904</v>
      </c>
      <c r="O344" s="15" t="s">
        <v>2076</v>
      </c>
      <c r="P344" s="19" t="s">
        <v>10905</v>
      </c>
      <c r="Q344" s="15">
        <v>9.067740357E9</v>
      </c>
      <c r="R344" s="15">
        <v>9.067740357E9</v>
      </c>
      <c r="S344" s="15">
        <v>9.60460183E9</v>
      </c>
      <c r="T344" s="15" t="s">
        <v>10906</v>
      </c>
      <c r="U344" s="15" t="s">
        <v>10907</v>
      </c>
      <c r="V344" s="15" t="s">
        <v>10908</v>
      </c>
      <c r="W344" s="15" t="s">
        <v>10909</v>
      </c>
      <c r="X344" s="15">
        <v>88.66</v>
      </c>
      <c r="Y344" s="15" t="s">
        <v>2795</v>
      </c>
      <c r="Z344" s="15">
        <v>8.48</v>
      </c>
      <c r="AA344" s="15">
        <v>8.14</v>
      </c>
      <c r="AB344" s="15">
        <v>8.9</v>
      </c>
      <c r="AC344" s="15" t="s">
        <v>2796</v>
      </c>
      <c r="AD344" s="15" t="s">
        <v>2796</v>
      </c>
      <c r="AE344" s="15" t="s">
        <v>2796</v>
      </c>
      <c r="AF344" s="15">
        <v>7.47</v>
      </c>
      <c r="AG344" s="15">
        <v>7.62</v>
      </c>
      <c r="AH344" s="15">
        <v>81.54</v>
      </c>
      <c r="AI344" s="18"/>
      <c r="AJ344" s="15" t="s">
        <v>2787</v>
      </c>
      <c r="AK344" s="15" t="s">
        <v>2787</v>
      </c>
      <c r="AL344" s="18"/>
      <c r="AM344" s="18"/>
      <c r="AN344" s="15" t="s">
        <v>2787</v>
      </c>
      <c r="AO344" s="18"/>
      <c r="AP344" s="15" t="s">
        <v>10910</v>
      </c>
      <c r="AQ344" s="15" t="s">
        <v>10911</v>
      </c>
      <c r="AR344" s="18"/>
      <c r="AS344" s="15" t="s">
        <v>10912</v>
      </c>
      <c r="AT344" s="18"/>
      <c r="AU344" s="15" t="s">
        <v>10913</v>
      </c>
      <c r="AV344" s="15" t="s">
        <v>10914</v>
      </c>
      <c r="AW344" s="15" t="s">
        <v>10915</v>
      </c>
      <c r="AX344" s="18"/>
      <c r="AY344" s="15" t="s">
        <v>10916</v>
      </c>
      <c r="AZ344" s="15" t="s">
        <v>4670</v>
      </c>
      <c r="BA344" s="15" t="s">
        <v>5552</v>
      </c>
      <c r="BB344" s="15" t="s">
        <v>2807</v>
      </c>
      <c r="BC344" s="15" t="s">
        <v>4746</v>
      </c>
      <c r="BD344" s="15" t="s">
        <v>2807</v>
      </c>
      <c r="BE344" s="15" t="s">
        <v>10917</v>
      </c>
      <c r="BF344" s="15" t="s">
        <v>10918</v>
      </c>
      <c r="BG344" s="15" t="s">
        <v>10919</v>
      </c>
      <c r="BH344" s="18"/>
      <c r="BI344" s="15" t="s">
        <v>10920</v>
      </c>
      <c r="BJ344" s="19" t="s">
        <v>10921</v>
      </c>
      <c r="BK344" s="19" t="s">
        <v>10922</v>
      </c>
      <c r="BL344" s="19" t="s">
        <v>10923</v>
      </c>
      <c r="BM344" s="19" t="s">
        <v>10924</v>
      </c>
      <c r="BN344" s="18"/>
      <c r="BO344" s="19" t="s">
        <v>10925</v>
      </c>
      <c r="BP344" s="18"/>
      <c r="BQ344" s="15" t="s">
        <v>1248</v>
      </c>
      <c r="BR344" s="26"/>
      <c r="BS344" s="26"/>
      <c r="BT344" s="26"/>
      <c r="BU344" s="26"/>
      <c r="BV344" s="26"/>
      <c r="BW344" s="26"/>
      <c r="BX344" s="26"/>
      <c r="BY344" s="18" t="str">
        <f t="shared" si="105"/>
        <v>ETX</v>
      </c>
      <c r="BZ344" s="24" t="str">
        <f t="shared" si="100"/>
        <v>https://drive.google.com/open?id=1n6I7k-pwPQu9xxlZbCwc42qr6OYILi-W</v>
      </c>
      <c r="CA344" s="24" t="str">
        <f t="shared" si="101"/>
        <v>https://drive.google.com/open?id=1cjUvb1p5vRHt3pSkZPwMO9m0E6lKGbRM</v>
      </c>
      <c r="CB344" s="15" t="s">
        <v>2821</v>
      </c>
      <c r="CC344" s="15" t="s">
        <v>2821</v>
      </c>
      <c r="CD344" s="25" t="s">
        <v>2797</v>
      </c>
      <c r="CE344" s="18"/>
      <c r="CF344" s="18"/>
      <c r="CG344" s="18"/>
    </row>
    <row r="345" ht="18.75" hidden="1" customHeight="1">
      <c r="A345" s="14">
        <v>44742.91642637731</v>
      </c>
      <c r="B345" s="15" t="s">
        <v>2058</v>
      </c>
      <c r="C345" s="16" t="s">
        <v>10926</v>
      </c>
      <c r="D345" s="15" t="str">
        <f>IFERROR(__xludf.DUMMYFUNCTION("QUERY(TY_ALL_2023_Batch!$A$1:$E$824, ""SELECT E WHERE C='""&amp;B345&amp;""'"", 0)"),"ETX")</f>
        <v>ETX</v>
      </c>
      <c r="E345" s="15" t="s">
        <v>5324</v>
      </c>
      <c r="F345" s="15" t="s">
        <v>4935</v>
      </c>
      <c r="G345" s="15" t="s">
        <v>5325</v>
      </c>
      <c r="H345" s="15" t="s">
        <v>2826</v>
      </c>
      <c r="I345" s="17">
        <v>37586.0</v>
      </c>
      <c r="J345" s="15">
        <v>2019.0</v>
      </c>
      <c r="K345" s="15" t="s">
        <v>2786</v>
      </c>
      <c r="L345" s="15" t="s">
        <v>2787</v>
      </c>
      <c r="M345" s="18"/>
      <c r="N345" s="15" t="s">
        <v>10927</v>
      </c>
      <c r="O345" s="15" t="s">
        <v>2058</v>
      </c>
      <c r="P345" s="19" t="s">
        <v>10928</v>
      </c>
      <c r="Q345" s="15">
        <v>7.083733852E9</v>
      </c>
      <c r="R345" s="15">
        <v>7.083733852E9</v>
      </c>
      <c r="S345" s="18"/>
      <c r="T345" s="15" t="s">
        <v>4935</v>
      </c>
      <c r="U345" s="15" t="s">
        <v>5723</v>
      </c>
      <c r="V345" s="15" t="s">
        <v>10929</v>
      </c>
      <c r="W345" s="18"/>
      <c r="X345" s="15">
        <v>89.8</v>
      </c>
      <c r="Y345" s="15" t="s">
        <v>2795</v>
      </c>
      <c r="Z345" s="15">
        <v>7.38</v>
      </c>
      <c r="AA345" s="15">
        <v>7.81</v>
      </c>
      <c r="AB345" s="15" t="s">
        <v>2796</v>
      </c>
      <c r="AC345" s="15" t="s">
        <v>2796</v>
      </c>
      <c r="AD345" s="15" t="s">
        <v>2796</v>
      </c>
      <c r="AE345" s="15" t="s">
        <v>2796</v>
      </c>
      <c r="AF345" s="15">
        <v>6.68</v>
      </c>
      <c r="AG345" s="15">
        <v>7.81</v>
      </c>
      <c r="AH345" s="15">
        <v>75.69</v>
      </c>
      <c r="AI345" s="18"/>
      <c r="AJ345" s="15" t="s">
        <v>2787</v>
      </c>
      <c r="AK345" s="15" t="s">
        <v>2787</v>
      </c>
      <c r="AL345" s="15">
        <v>98.0</v>
      </c>
      <c r="AM345" s="15">
        <v>98.0</v>
      </c>
      <c r="AN345" s="15" t="s">
        <v>2787</v>
      </c>
      <c r="AO345" s="18"/>
      <c r="AP345" s="18"/>
      <c r="AQ345" s="15" t="s">
        <v>10930</v>
      </c>
      <c r="AR345" s="15" t="s">
        <v>10931</v>
      </c>
      <c r="AS345" s="15" t="s">
        <v>10932</v>
      </c>
      <c r="AT345" s="18"/>
      <c r="AU345" s="18"/>
      <c r="AV345" s="15" t="s">
        <v>10933</v>
      </c>
      <c r="AW345" s="15" t="s">
        <v>10934</v>
      </c>
      <c r="AX345" s="15" t="s">
        <v>10935</v>
      </c>
      <c r="AY345" s="15" t="s">
        <v>10936</v>
      </c>
      <c r="AZ345" s="15" t="s">
        <v>4670</v>
      </c>
      <c r="BA345" s="15" t="s">
        <v>4085</v>
      </c>
      <c r="BB345" s="15" t="s">
        <v>5753</v>
      </c>
      <c r="BC345" s="15" t="s">
        <v>4746</v>
      </c>
      <c r="BD345" s="15" t="s">
        <v>2807</v>
      </c>
      <c r="BE345" s="15" t="s">
        <v>2796</v>
      </c>
      <c r="BF345" s="18"/>
      <c r="BG345" s="18"/>
      <c r="BH345" s="15" t="s">
        <v>10937</v>
      </c>
      <c r="BI345" s="15" t="s">
        <v>10938</v>
      </c>
      <c r="BJ345" s="19" t="s">
        <v>10939</v>
      </c>
      <c r="BK345" s="19" t="s">
        <v>10940</v>
      </c>
      <c r="BL345" s="18"/>
      <c r="BM345" s="18"/>
      <c r="BN345" s="18"/>
      <c r="BO345" s="19" t="s">
        <v>10941</v>
      </c>
      <c r="BP345" s="19" t="s">
        <v>10942</v>
      </c>
      <c r="BQ345" s="15" t="s">
        <v>1248</v>
      </c>
      <c r="BR345" s="19" t="s">
        <v>10943</v>
      </c>
      <c r="BS345" s="26"/>
      <c r="BT345" s="26"/>
      <c r="BU345" s="26"/>
      <c r="BV345" s="26"/>
      <c r="BW345" s="15" t="s">
        <v>10944</v>
      </c>
      <c r="BX345" s="26"/>
      <c r="BY345" s="18" t="str">
        <f t="shared" si="105"/>
        <v>ETX</v>
      </c>
      <c r="BZ345" s="18" t="str">
        <f t="shared" si="100"/>
        <v/>
      </c>
      <c r="CA345" s="18" t="str">
        <f t="shared" si="101"/>
        <v/>
      </c>
      <c r="CB345" s="15" t="s">
        <v>2908</v>
      </c>
      <c r="CC345" s="15" t="s">
        <v>2908</v>
      </c>
      <c r="CD345" s="25" t="s">
        <v>2797</v>
      </c>
      <c r="CE345" s="18"/>
      <c r="CF345" s="18"/>
      <c r="CG345" s="18"/>
    </row>
    <row r="346" ht="18.75" hidden="1" customHeight="1">
      <c r="A346" s="14">
        <v>44742.919216435184</v>
      </c>
      <c r="B346" s="15" t="s">
        <v>2043</v>
      </c>
      <c r="C346" s="16" t="s">
        <v>10945</v>
      </c>
      <c r="D346" s="15" t="str">
        <f>IFERROR(__xludf.DUMMYFUNCTION("QUERY(TY_ALL_2023_Batch!$A$1:$E$824, ""SELECT E WHERE C='""&amp;B346&amp;""'"", 0)"),"ETX")</f>
        <v>ETX</v>
      </c>
      <c r="E346" s="15" t="s">
        <v>10946</v>
      </c>
      <c r="F346" s="15" t="s">
        <v>10947</v>
      </c>
      <c r="G346" s="15" t="s">
        <v>7179</v>
      </c>
      <c r="H346" s="15" t="s">
        <v>2826</v>
      </c>
      <c r="I346" s="17">
        <v>37141.0</v>
      </c>
      <c r="J346" s="15">
        <v>2019.0</v>
      </c>
      <c r="K346" s="15" t="s">
        <v>2786</v>
      </c>
      <c r="L346" s="15" t="s">
        <v>2787</v>
      </c>
      <c r="M346" s="18"/>
      <c r="N346" s="15" t="s">
        <v>10948</v>
      </c>
      <c r="O346" s="15" t="s">
        <v>2043</v>
      </c>
      <c r="P346" s="19" t="s">
        <v>10949</v>
      </c>
      <c r="Q346" s="15">
        <v>8.421736746E9</v>
      </c>
      <c r="R346" s="15">
        <v>8.421736746E9</v>
      </c>
      <c r="S346" s="18"/>
      <c r="T346" s="15" t="s">
        <v>10950</v>
      </c>
      <c r="U346" s="15" t="s">
        <v>10951</v>
      </c>
      <c r="V346" s="15" t="s">
        <v>10952</v>
      </c>
      <c r="W346" s="15" t="s">
        <v>10953</v>
      </c>
      <c r="X346" s="15">
        <v>73.2</v>
      </c>
      <c r="Y346" s="15" t="s">
        <v>2795</v>
      </c>
      <c r="Z346" s="15">
        <v>7.48</v>
      </c>
      <c r="AA346" s="15">
        <v>7.81</v>
      </c>
      <c r="AB346" s="15" t="s">
        <v>2796</v>
      </c>
      <c r="AC346" s="15" t="s">
        <v>2796</v>
      </c>
      <c r="AD346" s="15" t="s">
        <v>2796</v>
      </c>
      <c r="AE346" s="15" t="s">
        <v>2796</v>
      </c>
      <c r="AF346" s="15">
        <v>7.35</v>
      </c>
      <c r="AG346" s="15">
        <v>6.67</v>
      </c>
      <c r="AH346" s="15">
        <v>55.0</v>
      </c>
      <c r="AI346" s="18"/>
      <c r="AJ346" s="15" t="s">
        <v>2787</v>
      </c>
      <c r="AK346" s="15" t="s">
        <v>2787</v>
      </c>
      <c r="AL346" s="18"/>
      <c r="AM346" s="15">
        <v>88.0</v>
      </c>
      <c r="AN346" s="15" t="s">
        <v>2787</v>
      </c>
      <c r="AO346" s="18"/>
      <c r="AP346" s="15" t="s">
        <v>10954</v>
      </c>
      <c r="AQ346" s="15" t="s">
        <v>10827</v>
      </c>
      <c r="AR346" s="18"/>
      <c r="AS346" s="18"/>
      <c r="AT346" s="18"/>
      <c r="AU346" s="18"/>
      <c r="AV346" s="15" t="s">
        <v>10955</v>
      </c>
      <c r="AW346" s="15" t="s">
        <v>10956</v>
      </c>
      <c r="AX346" s="18"/>
      <c r="AY346" s="15" t="s">
        <v>10957</v>
      </c>
      <c r="AZ346" s="15" t="s">
        <v>4670</v>
      </c>
      <c r="BA346" s="15" t="s">
        <v>10958</v>
      </c>
      <c r="BB346" s="15" t="s">
        <v>2807</v>
      </c>
      <c r="BC346" s="15" t="s">
        <v>3893</v>
      </c>
      <c r="BD346" s="15" t="s">
        <v>2842</v>
      </c>
      <c r="BE346" s="15" t="s">
        <v>2796</v>
      </c>
      <c r="BF346" s="18"/>
      <c r="BG346" s="18"/>
      <c r="BH346" s="15" t="s">
        <v>10959</v>
      </c>
      <c r="BI346" s="15" t="s">
        <v>10960</v>
      </c>
      <c r="BJ346" s="19" t="s">
        <v>10961</v>
      </c>
      <c r="BK346" s="19" t="s">
        <v>10962</v>
      </c>
      <c r="BL346" s="18"/>
      <c r="BM346" s="18"/>
      <c r="BN346" s="18"/>
      <c r="BO346" s="19" t="s">
        <v>10963</v>
      </c>
      <c r="BP346" s="19" t="s">
        <v>10964</v>
      </c>
      <c r="BQ346" s="15" t="s">
        <v>1248</v>
      </c>
      <c r="BR346" s="19" t="s">
        <v>10965</v>
      </c>
      <c r="BS346" s="26"/>
      <c r="BT346" s="19" t="s">
        <v>10966</v>
      </c>
      <c r="BU346" s="26"/>
      <c r="BV346" s="26"/>
      <c r="BW346" s="15" t="s">
        <v>10967</v>
      </c>
      <c r="BX346" s="26"/>
      <c r="BY346" s="18" t="str">
        <f t="shared" si="105"/>
        <v>ETX</v>
      </c>
      <c r="BZ346" s="18" t="str">
        <f t="shared" si="100"/>
        <v/>
      </c>
      <c r="CA346" s="18" t="str">
        <f t="shared" si="101"/>
        <v/>
      </c>
      <c r="CB346" s="15" t="s">
        <v>2908</v>
      </c>
      <c r="CC346" s="15" t="s">
        <v>2908</v>
      </c>
      <c r="CD346" s="25" t="s">
        <v>2909</v>
      </c>
      <c r="CE346" s="18"/>
      <c r="CF346" s="18"/>
      <c r="CG346" s="18"/>
    </row>
    <row r="347" ht="18.75" hidden="1" customHeight="1">
      <c r="A347" s="14">
        <v>44755.15230802083</v>
      </c>
      <c r="B347" s="15" t="s">
        <v>2031</v>
      </c>
      <c r="C347" s="16" t="s">
        <v>10968</v>
      </c>
      <c r="D347" s="15" t="str">
        <f>IFERROR(__xludf.DUMMYFUNCTION("QUERY(TY_ALL_2023_Batch!$A$1:$E$824, ""SELECT E WHERE C='""&amp;B347&amp;""'"", 0)"),"ETX")</f>
        <v>ETX</v>
      </c>
      <c r="E347" s="15" t="s">
        <v>10969</v>
      </c>
      <c r="F347" s="18"/>
      <c r="G347" s="15" t="s">
        <v>10970</v>
      </c>
      <c r="H347" s="15" t="s">
        <v>2785</v>
      </c>
      <c r="I347" s="17">
        <v>37079.0</v>
      </c>
      <c r="J347" s="15">
        <v>2019.0</v>
      </c>
      <c r="K347" s="15" t="s">
        <v>2786</v>
      </c>
      <c r="L347" s="15" t="s">
        <v>2787</v>
      </c>
      <c r="M347" s="18"/>
      <c r="N347" s="15" t="s">
        <v>10971</v>
      </c>
      <c r="O347" s="15" t="s">
        <v>10972</v>
      </c>
      <c r="P347" s="19" t="s">
        <v>10973</v>
      </c>
      <c r="Q347" s="15">
        <v>7.877742248E9</v>
      </c>
      <c r="R347" s="15">
        <v>7.877742248E9</v>
      </c>
      <c r="S347" s="18"/>
      <c r="T347" s="15" t="s">
        <v>10974</v>
      </c>
      <c r="U347" s="15" t="s">
        <v>10975</v>
      </c>
      <c r="V347" s="15" t="s">
        <v>10976</v>
      </c>
      <c r="W347" s="15" t="s">
        <v>10977</v>
      </c>
      <c r="X347" s="15">
        <v>87.4</v>
      </c>
      <c r="Y347" s="15" t="s">
        <v>2795</v>
      </c>
      <c r="Z347" s="15">
        <v>7.81</v>
      </c>
      <c r="AA347" s="15">
        <v>9.14</v>
      </c>
      <c r="AB347" s="15" t="s">
        <v>2796</v>
      </c>
      <c r="AC347" s="15" t="s">
        <v>2796</v>
      </c>
      <c r="AD347" s="15" t="s">
        <v>2796</v>
      </c>
      <c r="AE347" s="15" t="s">
        <v>2796</v>
      </c>
      <c r="AF347" s="15">
        <v>8.0</v>
      </c>
      <c r="AG347" s="15">
        <v>8.0</v>
      </c>
      <c r="AH347" s="15">
        <v>71.08</v>
      </c>
      <c r="AI347" s="18"/>
      <c r="AJ347" s="15" t="s">
        <v>2787</v>
      </c>
      <c r="AK347" s="15" t="s">
        <v>2787</v>
      </c>
      <c r="AL347" s="15">
        <v>88.33</v>
      </c>
      <c r="AM347" s="15">
        <v>96.66</v>
      </c>
      <c r="AN347" s="15" t="s">
        <v>2797</v>
      </c>
      <c r="AO347" s="18"/>
      <c r="AP347" s="18"/>
      <c r="AQ347" s="15" t="s">
        <v>10978</v>
      </c>
      <c r="AR347" s="15" t="s">
        <v>10979</v>
      </c>
      <c r="AS347" s="18"/>
      <c r="AT347" s="18"/>
      <c r="AU347" s="18"/>
      <c r="AV347" s="18"/>
      <c r="AW347" s="15" t="s">
        <v>10980</v>
      </c>
      <c r="AX347" s="18"/>
      <c r="AY347" s="15" t="s">
        <v>10601</v>
      </c>
      <c r="AZ347" s="15" t="s">
        <v>5260</v>
      </c>
      <c r="BA347" s="15" t="s">
        <v>10958</v>
      </c>
      <c r="BB347" s="15" t="s">
        <v>5673</v>
      </c>
      <c r="BC347" s="15" t="s">
        <v>4746</v>
      </c>
      <c r="BD347" s="15" t="s">
        <v>3393</v>
      </c>
      <c r="BE347" s="15" t="s">
        <v>10981</v>
      </c>
      <c r="BF347" s="18"/>
      <c r="BG347" s="18"/>
      <c r="BH347" s="15" t="s">
        <v>10982</v>
      </c>
      <c r="BI347" s="15" t="s">
        <v>10983</v>
      </c>
      <c r="BJ347" s="19" t="s">
        <v>10984</v>
      </c>
      <c r="BK347" s="19" t="s">
        <v>10985</v>
      </c>
      <c r="BL347" s="19" t="s">
        <v>10986</v>
      </c>
      <c r="BM347" s="19" t="s">
        <v>10987</v>
      </c>
      <c r="BN347" s="19" t="s">
        <v>10988</v>
      </c>
      <c r="BO347" s="19" t="s">
        <v>10989</v>
      </c>
      <c r="BP347" s="18"/>
      <c r="BQ347" s="15" t="s">
        <v>1248</v>
      </c>
      <c r="BR347" s="26"/>
      <c r="BS347" s="26"/>
      <c r="BT347" s="26"/>
      <c r="BU347" s="26"/>
      <c r="BV347" s="26"/>
      <c r="BW347" s="15" t="s">
        <v>10990</v>
      </c>
      <c r="BX347" s="26"/>
      <c r="BY347" s="18" t="str">
        <f t="shared" si="105"/>
        <v>ETX</v>
      </c>
      <c r="BZ347" s="24" t="str">
        <f t="shared" si="100"/>
        <v>https://drive.google.com/open?id=1evMnkbP6sUnOJrzM90ioADSuZmg1YDsj</v>
      </c>
      <c r="CA347" s="24" t="str">
        <f t="shared" si="101"/>
        <v>https://drive.google.com/open?id=1PYqdhQGoHPCM0fcuoi38qmfoZK2NIboU</v>
      </c>
      <c r="CB347" s="15" t="s">
        <v>2821</v>
      </c>
      <c r="CC347" s="15" t="s">
        <v>2821</v>
      </c>
      <c r="CD347" s="25" t="s">
        <v>2797</v>
      </c>
      <c r="CE347" s="18"/>
      <c r="CF347" s="18"/>
      <c r="CG347" s="18"/>
    </row>
    <row r="348" ht="18.75" hidden="1" customHeight="1">
      <c r="A348" s="14">
        <v>44736.68277079861</v>
      </c>
      <c r="B348" s="15" t="s">
        <v>1246</v>
      </c>
      <c r="C348" s="16" t="s">
        <v>10991</v>
      </c>
      <c r="D348" s="15" t="str">
        <f>IFERROR(__xludf.DUMMYFUNCTION("QUERY(TY_ALL_2023_Batch!$A$1:$E$824, ""SELECT E WHERE C='""&amp;B348&amp;""'"", 0)"),"ETX")</f>
        <v>ETX</v>
      </c>
      <c r="E348" s="15" t="s">
        <v>10441</v>
      </c>
      <c r="F348" s="15" t="s">
        <v>10992</v>
      </c>
      <c r="G348" s="15" t="s">
        <v>9634</v>
      </c>
      <c r="H348" s="15" t="s">
        <v>2785</v>
      </c>
      <c r="I348" s="17">
        <v>36819.0</v>
      </c>
      <c r="J348" s="15">
        <v>2020.0</v>
      </c>
      <c r="K348" s="15" t="s">
        <v>2941</v>
      </c>
      <c r="L348" s="15" t="s">
        <v>2787</v>
      </c>
      <c r="M348" s="18"/>
      <c r="N348" s="15" t="s">
        <v>10993</v>
      </c>
      <c r="O348" s="15" t="s">
        <v>1246</v>
      </c>
      <c r="P348" s="19" t="s">
        <v>10994</v>
      </c>
      <c r="Q348" s="15">
        <v>8.010102669E9</v>
      </c>
      <c r="R348" s="15">
        <v>8.010102669E9</v>
      </c>
      <c r="S348" s="15">
        <v>9.370680778E9</v>
      </c>
      <c r="T348" s="15" t="s">
        <v>10992</v>
      </c>
      <c r="U348" s="15" t="s">
        <v>10995</v>
      </c>
      <c r="V348" s="15" t="s">
        <v>10996</v>
      </c>
      <c r="W348" s="15" t="s">
        <v>10997</v>
      </c>
      <c r="X348" s="15">
        <v>71.6</v>
      </c>
      <c r="Y348" s="15" t="s">
        <v>2948</v>
      </c>
      <c r="Z348" s="15">
        <v>5.62</v>
      </c>
      <c r="AA348" s="15">
        <v>7.05</v>
      </c>
      <c r="AB348" s="15" t="s">
        <v>3006</v>
      </c>
      <c r="AC348" s="15" t="s">
        <v>2796</v>
      </c>
      <c r="AD348" s="15" t="s">
        <v>2796</v>
      </c>
      <c r="AE348" s="15" t="s">
        <v>2796</v>
      </c>
      <c r="AF348" s="18"/>
      <c r="AG348" s="18"/>
      <c r="AH348" s="18"/>
      <c r="AI348" s="15">
        <v>72.88</v>
      </c>
      <c r="AJ348" s="15" t="s">
        <v>2787</v>
      </c>
      <c r="AK348" s="15" t="s">
        <v>2787</v>
      </c>
      <c r="AL348" s="15">
        <v>521.0</v>
      </c>
      <c r="AM348" s="15">
        <v>560.0</v>
      </c>
      <c r="AN348" s="15" t="s">
        <v>2797</v>
      </c>
      <c r="AO348" s="18"/>
      <c r="AP348" s="18"/>
      <c r="AQ348" s="15" t="s">
        <v>10998</v>
      </c>
      <c r="AR348" s="15" t="s">
        <v>10999</v>
      </c>
      <c r="AS348" s="18"/>
      <c r="AT348" s="18"/>
      <c r="AU348" s="18"/>
      <c r="AV348" s="18"/>
      <c r="AW348" s="15" t="s">
        <v>11000</v>
      </c>
      <c r="AX348" s="18"/>
      <c r="AY348" s="15" t="s">
        <v>11001</v>
      </c>
      <c r="AZ348" s="15" t="s">
        <v>8440</v>
      </c>
      <c r="BA348" s="15" t="s">
        <v>8441</v>
      </c>
      <c r="BB348" s="15" t="s">
        <v>2807</v>
      </c>
      <c r="BC348" s="15" t="s">
        <v>8336</v>
      </c>
      <c r="BD348" s="15" t="s">
        <v>2807</v>
      </c>
      <c r="BE348" s="15" t="s">
        <v>11002</v>
      </c>
      <c r="BF348" s="18"/>
      <c r="BG348" s="18"/>
      <c r="BH348" s="18"/>
      <c r="BI348" s="18"/>
      <c r="BJ348" s="19" t="s">
        <v>11003</v>
      </c>
      <c r="BK348" s="19" t="s">
        <v>11004</v>
      </c>
      <c r="BL348" s="18"/>
      <c r="BM348" s="19" t="s">
        <v>11005</v>
      </c>
      <c r="BN348" s="19" t="s">
        <v>11006</v>
      </c>
      <c r="BO348" s="19" t="s">
        <v>11007</v>
      </c>
      <c r="BP348" s="19" t="s">
        <v>11008</v>
      </c>
      <c r="BQ348" s="15" t="s">
        <v>1248</v>
      </c>
      <c r="BR348" s="26"/>
      <c r="BS348" s="26"/>
      <c r="BT348" s="19" t="s">
        <v>11009</v>
      </c>
      <c r="BU348" s="19" t="s">
        <v>11010</v>
      </c>
      <c r="BV348" s="19" t="s">
        <v>11011</v>
      </c>
      <c r="BW348" s="15" t="s">
        <v>11012</v>
      </c>
      <c r="BX348" s="26"/>
      <c r="BY348" s="18" t="str">
        <f t="shared" si="105"/>
        <v>ETX</v>
      </c>
      <c r="BZ348" s="24" t="str">
        <f t="shared" si="100"/>
        <v>https://drive.google.com/open?id=1xtRYmtujm2wy4oP9F7Hu0BZms8dtZhRj</v>
      </c>
      <c r="CA348" s="24" t="str">
        <f t="shared" si="101"/>
        <v>https://drive.google.com/open?id=1oQbHkaeQQTntiZApocRSa9qHWmOyZGpL</v>
      </c>
      <c r="CB348" s="15" t="s">
        <v>2908</v>
      </c>
      <c r="CC348" s="15" t="s">
        <v>2821</v>
      </c>
      <c r="CD348" s="25" t="s">
        <v>2787</v>
      </c>
      <c r="CE348" s="18"/>
      <c r="CF348" s="18"/>
      <c r="CG348" s="18"/>
    </row>
    <row r="349" ht="18.75" hidden="1" customHeight="1">
      <c r="A349" s="14">
        <v>44742.78381504629</v>
      </c>
      <c r="B349" s="15" t="s">
        <v>2061</v>
      </c>
      <c r="C349" s="16" t="s">
        <v>11013</v>
      </c>
      <c r="D349" s="15" t="str">
        <f>IFERROR(__xludf.DUMMYFUNCTION("QUERY(TY_ALL_2023_Batch!$A$1:$E$824, ""SELECT E WHERE C='""&amp;B349&amp;""'"", 0)"),"ETX")</f>
        <v>ETX</v>
      </c>
      <c r="E349" s="15" t="s">
        <v>11014</v>
      </c>
      <c r="F349" s="15" t="s">
        <v>11015</v>
      </c>
      <c r="G349" s="15" t="s">
        <v>11016</v>
      </c>
      <c r="H349" s="15" t="s">
        <v>2785</v>
      </c>
      <c r="I349" s="17">
        <v>36575.0</v>
      </c>
      <c r="J349" s="15">
        <v>2019.0</v>
      </c>
      <c r="K349" s="15" t="s">
        <v>2786</v>
      </c>
      <c r="L349" s="15" t="s">
        <v>2787</v>
      </c>
      <c r="M349" s="18"/>
      <c r="N349" s="15" t="s">
        <v>11017</v>
      </c>
      <c r="O349" s="15" t="s">
        <v>2061</v>
      </c>
      <c r="P349" s="19" t="s">
        <v>11018</v>
      </c>
      <c r="Q349" s="15">
        <v>9.17210242E9</v>
      </c>
      <c r="R349" s="15">
        <v>9.17210242E9</v>
      </c>
      <c r="S349" s="15">
        <v>9.112018813E9</v>
      </c>
      <c r="T349" s="15" t="s">
        <v>11019</v>
      </c>
      <c r="U349" s="15" t="s">
        <v>11020</v>
      </c>
      <c r="V349" s="15" t="s">
        <v>11021</v>
      </c>
      <c r="W349" s="15" t="s">
        <v>11021</v>
      </c>
      <c r="X349" s="15">
        <v>88.0</v>
      </c>
      <c r="Y349" s="15" t="s">
        <v>2795</v>
      </c>
      <c r="Z349" s="15">
        <v>8.2</v>
      </c>
      <c r="AA349" s="15">
        <v>8.86</v>
      </c>
      <c r="AB349" s="15" t="s">
        <v>2796</v>
      </c>
      <c r="AC349" s="15" t="s">
        <v>2796</v>
      </c>
      <c r="AD349" s="15" t="s">
        <v>2796</v>
      </c>
      <c r="AE349" s="15" t="s">
        <v>2796</v>
      </c>
      <c r="AF349" s="15">
        <v>6.95</v>
      </c>
      <c r="AG349" s="15">
        <v>7.0</v>
      </c>
      <c r="AH349" s="15">
        <v>65.0</v>
      </c>
      <c r="AI349" s="18"/>
      <c r="AJ349" s="15" t="s">
        <v>2787</v>
      </c>
      <c r="AK349" s="15" t="s">
        <v>2787</v>
      </c>
      <c r="AL349" s="15">
        <v>415.0</v>
      </c>
      <c r="AM349" s="15">
        <v>163.0</v>
      </c>
      <c r="AN349" s="15" t="s">
        <v>2797</v>
      </c>
      <c r="AO349" s="18"/>
      <c r="AP349" s="18"/>
      <c r="AQ349" s="15" t="s">
        <v>11022</v>
      </c>
      <c r="AR349" s="15" t="s">
        <v>8767</v>
      </c>
      <c r="AS349" s="15" t="s">
        <v>11023</v>
      </c>
      <c r="AT349" s="18"/>
      <c r="AU349" s="15" t="s">
        <v>11024</v>
      </c>
      <c r="AV349" s="15" t="s">
        <v>11025</v>
      </c>
      <c r="AW349" s="15" t="s">
        <v>11026</v>
      </c>
      <c r="AX349" s="18"/>
      <c r="AY349" s="15" t="s">
        <v>11026</v>
      </c>
      <c r="AZ349" s="15" t="s">
        <v>5625</v>
      </c>
      <c r="BA349" s="15" t="s">
        <v>2839</v>
      </c>
      <c r="BB349" s="15" t="s">
        <v>2807</v>
      </c>
      <c r="BC349" s="15" t="s">
        <v>4746</v>
      </c>
      <c r="BD349" s="15" t="s">
        <v>2807</v>
      </c>
      <c r="BE349" s="15" t="s">
        <v>2796</v>
      </c>
      <c r="BF349" s="18"/>
      <c r="BG349" s="18"/>
      <c r="BH349" s="18"/>
      <c r="BI349" s="15" t="s">
        <v>11027</v>
      </c>
      <c r="BJ349" s="19" t="s">
        <v>11028</v>
      </c>
      <c r="BK349" s="19" t="s">
        <v>11029</v>
      </c>
      <c r="BL349" s="19" t="s">
        <v>11030</v>
      </c>
      <c r="BM349" s="19" t="s">
        <v>11031</v>
      </c>
      <c r="BN349" s="18"/>
      <c r="BO349" s="19" t="s">
        <v>11032</v>
      </c>
      <c r="BP349" s="19" t="s">
        <v>11033</v>
      </c>
      <c r="BQ349" s="15" t="s">
        <v>1248</v>
      </c>
      <c r="BR349" s="26"/>
      <c r="BS349" s="26"/>
      <c r="BT349" s="26"/>
      <c r="BU349" s="26"/>
      <c r="BV349" s="26"/>
      <c r="BW349" s="15" t="s">
        <v>11034</v>
      </c>
      <c r="BX349" s="26"/>
      <c r="BY349" s="18" t="str">
        <f t="shared" si="105"/>
        <v>ETX</v>
      </c>
      <c r="BZ349" s="24" t="str">
        <f t="shared" si="100"/>
        <v>https://drive.google.com/open?id=1MPv3nP9tLi14yCRRAlD2yJfpdrAVEe20</v>
      </c>
      <c r="CA349" s="24" t="str">
        <f t="shared" si="101"/>
        <v>https://drive.google.com/open?id=1a2FUtQBgzYgbdnZ__1VZVZ3Bjn7qhWsB</v>
      </c>
      <c r="CB349" s="15" t="s">
        <v>2821</v>
      </c>
      <c r="CC349" s="15" t="s">
        <v>2821</v>
      </c>
      <c r="CD349" s="25" t="s">
        <v>2797</v>
      </c>
      <c r="CE349" s="18"/>
      <c r="CF349" s="18"/>
      <c r="CG349" s="18"/>
    </row>
    <row r="350" ht="18.75" hidden="1" customHeight="1">
      <c r="A350" s="14">
        <v>44739.49915387732</v>
      </c>
      <c r="B350" s="15" t="s">
        <v>2037</v>
      </c>
      <c r="C350" s="16" t="s">
        <v>11035</v>
      </c>
      <c r="D350" s="15" t="str">
        <f>IFERROR(__xludf.DUMMYFUNCTION("QUERY(TY_ALL_2023_Batch!$A$1:$E$824, ""SELECT E WHERE C='""&amp;B350&amp;""'"", 0)"),"ETX")</f>
        <v>ETX</v>
      </c>
      <c r="E350" s="15" t="s">
        <v>11036</v>
      </c>
      <c r="F350" s="15" t="s">
        <v>5639</v>
      </c>
      <c r="G350" s="15" t="s">
        <v>10112</v>
      </c>
      <c r="H350" s="15" t="s">
        <v>2785</v>
      </c>
      <c r="I350" s="17">
        <v>37104.0</v>
      </c>
      <c r="J350" s="15">
        <v>2019.0</v>
      </c>
      <c r="K350" s="15" t="s">
        <v>2786</v>
      </c>
      <c r="L350" s="15" t="s">
        <v>2787</v>
      </c>
      <c r="M350" s="18"/>
      <c r="N350" s="15" t="s">
        <v>11037</v>
      </c>
      <c r="O350" s="15" t="s">
        <v>2037</v>
      </c>
      <c r="P350" s="19" t="s">
        <v>11038</v>
      </c>
      <c r="Q350" s="15">
        <v>9.503508503E9</v>
      </c>
      <c r="R350" s="15">
        <v>9.503508503E9</v>
      </c>
      <c r="S350" s="15">
        <v>7.350423485E9</v>
      </c>
      <c r="T350" s="15" t="s">
        <v>5639</v>
      </c>
      <c r="U350" s="15" t="s">
        <v>11039</v>
      </c>
      <c r="V350" s="15" t="s">
        <v>11040</v>
      </c>
      <c r="W350" s="15" t="s">
        <v>11041</v>
      </c>
      <c r="X350" s="15">
        <v>66.2</v>
      </c>
      <c r="Y350" s="15" t="s">
        <v>2795</v>
      </c>
      <c r="Z350" s="15">
        <v>6.81</v>
      </c>
      <c r="AA350" s="15">
        <v>4.86</v>
      </c>
      <c r="AB350" s="15" t="s">
        <v>2796</v>
      </c>
      <c r="AC350" s="15" t="s">
        <v>2796</v>
      </c>
      <c r="AD350" s="15" t="s">
        <v>2796</v>
      </c>
      <c r="AE350" s="15" t="s">
        <v>2796</v>
      </c>
      <c r="AF350" s="15">
        <v>7.26</v>
      </c>
      <c r="AG350" s="15">
        <v>7.76</v>
      </c>
      <c r="AH350" s="15">
        <v>72.0</v>
      </c>
      <c r="AI350" s="18"/>
      <c r="AJ350" s="15" t="s">
        <v>2797</v>
      </c>
      <c r="AK350" s="15" t="s">
        <v>2787</v>
      </c>
      <c r="AL350" s="15" t="s">
        <v>2796</v>
      </c>
      <c r="AM350" s="15">
        <v>71.33</v>
      </c>
      <c r="AN350" s="15" t="s">
        <v>2787</v>
      </c>
      <c r="AO350" s="15" t="s">
        <v>11042</v>
      </c>
      <c r="AP350" s="15" t="s">
        <v>11043</v>
      </c>
      <c r="AQ350" s="15" t="s">
        <v>11044</v>
      </c>
      <c r="AR350" s="15" t="s">
        <v>11045</v>
      </c>
      <c r="AS350" s="15" t="s">
        <v>11046</v>
      </c>
      <c r="AT350" s="15" t="s">
        <v>2908</v>
      </c>
      <c r="AU350" s="15" t="s">
        <v>2796</v>
      </c>
      <c r="AV350" s="15" t="s">
        <v>2796</v>
      </c>
      <c r="AW350" s="15" t="s">
        <v>11047</v>
      </c>
      <c r="AX350" s="18"/>
      <c r="AY350" s="15" t="s">
        <v>2796</v>
      </c>
      <c r="AZ350" s="15" t="s">
        <v>5625</v>
      </c>
      <c r="BA350" s="15" t="s">
        <v>5552</v>
      </c>
      <c r="BB350" s="15" t="s">
        <v>2807</v>
      </c>
      <c r="BC350" s="15" t="s">
        <v>4746</v>
      </c>
      <c r="BD350" s="15" t="s">
        <v>2807</v>
      </c>
      <c r="BE350" s="15" t="s">
        <v>2796</v>
      </c>
      <c r="BF350" s="15" t="s">
        <v>2796</v>
      </c>
      <c r="BG350" s="15" t="s">
        <v>11048</v>
      </c>
      <c r="BH350" s="18"/>
      <c r="BI350" s="15" t="s">
        <v>11049</v>
      </c>
      <c r="BJ350" s="19" t="s">
        <v>11050</v>
      </c>
      <c r="BK350" s="19" t="s">
        <v>11051</v>
      </c>
      <c r="BL350" s="18"/>
      <c r="BM350" s="20" t="s">
        <v>11052</v>
      </c>
      <c r="BN350" s="19" t="s">
        <v>11053</v>
      </c>
      <c r="BO350" s="19" t="s">
        <v>11054</v>
      </c>
      <c r="BP350" s="18"/>
      <c r="BQ350" s="15" t="s">
        <v>1248</v>
      </c>
      <c r="BR350" s="26"/>
      <c r="BS350" s="19" t="s">
        <v>11055</v>
      </c>
      <c r="BT350" s="19" t="s">
        <v>11056</v>
      </c>
      <c r="BU350" s="26"/>
      <c r="BV350" s="19" t="s">
        <v>11057</v>
      </c>
      <c r="BW350" s="15" t="s">
        <v>11058</v>
      </c>
      <c r="BX350" s="26"/>
      <c r="BY350" s="18" t="str">
        <f t="shared" si="105"/>
        <v>ETX</v>
      </c>
      <c r="BZ350" s="18" t="str">
        <f t="shared" si="100"/>
        <v/>
      </c>
      <c r="CA350" s="24" t="str">
        <f t="shared" si="101"/>
        <v>https://drive.google.com/open?id=1NJEPvGvkSWks4MrWSh0L3uN2zmSz8r6O</v>
      </c>
      <c r="CB350" s="15" t="s">
        <v>2908</v>
      </c>
      <c r="CC350" s="15" t="s">
        <v>2821</v>
      </c>
      <c r="CD350" s="25" t="s">
        <v>2787</v>
      </c>
      <c r="CE350" s="18"/>
      <c r="CF350" s="18"/>
      <c r="CG350" s="18"/>
    </row>
    <row r="351" ht="18.75" hidden="1" customHeight="1">
      <c r="A351" s="14">
        <v>44742.69409302084</v>
      </c>
      <c r="B351" s="15" t="s">
        <v>2097</v>
      </c>
      <c r="C351" s="16" t="s">
        <v>11059</v>
      </c>
      <c r="D351" s="15" t="str">
        <f>IFERROR(__xludf.DUMMYFUNCTION("QUERY(TY_ALL_2023_Batch!$A$1:$E$824, ""SELECT E WHERE C='""&amp;B351&amp;""'"", 0)"),"ETX")</f>
        <v>ETX</v>
      </c>
      <c r="E351" s="15" t="s">
        <v>11060</v>
      </c>
      <c r="F351" s="18"/>
      <c r="G351" s="15" t="s">
        <v>11061</v>
      </c>
      <c r="H351" s="15" t="s">
        <v>2785</v>
      </c>
      <c r="I351" s="17">
        <v>36942.0</v>
      </c>
      <c r="J351" s="15">
        <v>2019.0</v>
      </c>
      <c r="K351" s="15" t="s">
        <v>2786</v>
      </c>
      <c r="L351" s="15" t="s">
        <v>2787</v>
      </c>
      <c r="M351" s="18"/>
      <c r="N351" s="15" t="s">
        <v>11062</v>
      </c>
      <c r="O351" s="15" t="s">
        <v>11063</v>
      </c>
      <c r="P351" s="19" t="s">
        <v>11064</v>
      </c>
      <c r="Q351" s="15">
        <v>8.983615771E9</v>
      </c>
      <c r="R351" s="15">
        <v>8.983615771E9</v>
      </c>
      <c r="S351" s="18"/>
      <c r="T351" s="15" t="s">
        <v>11065</v>
      </c>
      <c r="U351" s="15" t="s">
        <v>11066</v>
      </c>
      <c r="V351" s="15" t="s">
        <v>11067</v>
      </c>
      <c r="W351" s="18"/>
      <c r="X351" s="15">
        <v>86.4</v>
      </c>
      <c r="Y351" s="15" t="s">
        <v>2795</v>
      </c>
      <c r="Z351" s="15">
        <v>3.67</v>
      </c>
      <c r="AA351" s="15">
        <v>6.38</v>
      </c>
      <c r="AB351" s="15" t="s">
        <v>2796</v>
      </c>
      <c r="AC351" s="15" t="s">
        <v>3005</v>
      </c>
      <c r="AD351" s="15" t="s">
        <v>2796</v>
      </c>
      <c r="AE351" s="15" t="s">
        <v>2796</v>
      </c>
      <c r="AF351" s="15">
        <v>5.0</v>
      </c>
      <c r="AG351" s="15">
        <v>5.67</v>
      </c>
      <c r="AH351" s="15">
        <v>86.4</v>
      </c>
      <c r="AI351" s="18"/>
      <c r="AJ351" s="15" t="s">
        <v>2797</v>
      </c>
      <c r="AK351" s="15" t="s">
        <v>2797</v>
      </c>
      <c r="AL351" s="18"/>
      <c r="AM351" s="18"/>
      <c r="AN351" s="15" t="s">
        <v>2787</v>
      </c>
      <c r="AO351" s="18"/>
      <c r="AP351" s="18"/>
      <c r="AQ351" s="15" t="s">
        <v>4353</v>
      </c>
      <c r="AR351" s="18"/>
      <c r="AS351" s="15" t="s">
        <v>11068</v>
      </c>
      <c r="AT351" s="18"/>
      <c r="AU351" s="15" t="s">
        <v>11069</v>
      </c>
      <c r="AV351" s="15" t="s">
        <v>11070</v>
      </c>
      <c r="AW351" s="15" t="s">
        <v>11071</v>
      </c>
      <c r="AX351" s="18"/>
      <c r="AY351" s="15" t="s">
        <v>11072</v>
      </c>
      <c r="AZ351" s="15" t="s">
        <v>4670</v>
      </c>
      <c r="BA351" s="15" t="s">
        <v>2839</v>
      </c>
      <c r="BB351" s="15" t="s">
        <v>5673</v>
      </c>
      <c r="BC351" s="15" t="s">
        <v>4746</v>
      </c>
      <c r="BD351" s="15" t="s">
        <v>3393</v>
      </c>
      <c r="BE351" s="15" t="s">
        <v>2796</v>
      </c>
      <c r="BF351" s="18"/>
      <c r="BG351" s="18"/>
      <c r="BH351" s="18"/>
      <c r="BI351" s="18"/>
      <c r="BJ351" s="46" t="s">
        <v>3063</v>
      </c>
      <c r="BK351" s="19" t="s">
        <v>11073</v>
      </c>
      <c r="BL351" s="18"/>
      <c r="BM351" s="18"/>
      <c r="BN351" s="19" t="s">
        <v>11074</v>
      </c>
      <c r="BO351" s="19" t="s">
        <v>11075</v>
      </c>
      <c r="BP351" s="19" t="s">
        <v>11076</v>
      </c>
      <c r="BQ351" s="15" t="s">
        <v>1248</v>
      </c>
      <c r="BR351" s="18"/>
      <c r="BS351" s="19" t="s">
        <v>11077</v>
      </c>
      <c r="BT351" s="18"/>
      <c r="BU351" s="18"/>
      <c r="BV351" s="18"/>
      <c r="BW351" s="15" t="s">
        <v>11078</v>
      </c>
      <c r="BX351" s="18"/>
      <c r="BY351" s="18" t="str">
        <f t="shared" si="105"/>
        <v>ETX</v>
      </c>
      <c r="BZ351" s="18" t="str">
        <f t="shared" si="100"/>
        <v/>
      </c>
      <c r="CA351" s="18" t="str">
        <f t="shared" si="101"/>
        <v/>
      </c>
      <c r="CB351" s="15" t="s">
        <v>2908</v>
      </c>
      <c r="CC351" s="15" t="s">
        <v>2908</v>
      </c>
      <c r="CD351" s="25" t="s">
        <v>2797</v>
      </c>
      <c r="CE351" s="18"/>
      <c r="CF351" s="18"/>
      <c r="CG351" s="18"/>
    </row>
    <row r="352" ht="18.75" hidden="1" customHeight="1">
      <c r="A352" s="14">
        <v>44742.98451572917</v>
      </c>
      <c r="B352" s="15" t="s">
        <v>2091</v>
      </c>
      <c r="C352" s="16" t="s">
        <v>11079</v>
      </c>
      <c r="D352" s="15" t="str">
        <f>IFERROR(__xludf.DUMMYFUNCTION("QUERY(TY_ALL_2023_Batch!$A$1:$E$824, ""SELECT E WHERE C='""&amp;B352&amp;""'"", 0)"),"ETX")</f>
        <v>ETX</v>
      </c>
      <c r="E352" s="15" t="s">
        <v>11080</v>
      </c>
      <c r="F352" s="15" t="s">
        <v>11081</v>
      </c>
      <c r="G352" s="15" t="s">
        <v>11082</v>
      </c>
      <c r="H352" s="15" t="s">
        <v>2826</v>
      </c>
      <c r="I352" s="17">
        <v>37436.0</v>
      </c>
      <c r="J352" s="15">
        <v>2019.0</v>
      </c>
      <c r="K352" s="15" t="s">
        <v>2786</v>
      </c>
      <c r="L352" s="15" t="s">
        <v>2787</v>
      </c>
      <c r="M352" s="18"/>
      <c r="N352" s="15" t="s">
        <v>11083</v>
      </c>
      <c r="O352" s="15" t="s">
        <v>2091</v>
      </c>
      <c r="P352" s="19" t="s">
        <v>11084</v>
      </c>
      <c r="Q352" s="15">
        <v>8.482890115E9</v>
      </c>
      <c r="R352" s="15">
        <v>8.482890115E9</v>
      </c>
      <c r="S352" s="15">
        <v>9.518977037E9</v>
      </c>
      <c r="T352" s="15" t="s">
        <v>3526</v>
      </c>
      <c r="U352" s="15" t="s">
        <v>11085</v>
      </c>
      <c r="V352" s="15" t="s">
        <v>11086</v>
      </c>
      <c r="W352" s="15" t="s">
        <v>11087</v>
      </c>
      <c r="X352" s="15">
        <v>86.0</v>
      </c>
      <c r="Y352" s="15" t="s">
        <v>2795</v>
      </c>
      <c r="Z352" s="15">
        <v>7.14</v>
      </c>
      <c r="AA352" s="15">
        <v>8.43</v>
      </c>
      <c r="AB352" s="15" t="s">
        <v>2796</v>
      </c>
      <c r="AC352" s="15" t="s">
        <v>2796</v>
      </c>
      <c r="AD352" s="15" t="s">
        <v>2796</v>
      </c>
      <c r="AE352" s="15" t="s">
        <v>2796</v>
      </c>
      <c r="AF352" s="15">
        <v>7.89</v>
      </c>
      <c r="AG352" s="15">
        <v>6.57</v>
      </c>
      <c r="AH352" s="15">
        <v>63.0</v>
      </c>
      <c r="AI352" s="18"/>
      <c r="AJ352" s="15" t="s">
        <v>2787</v>
      </c>
      <c r="AK352" s="15" t="s">
        <v>2787</v>
      </c>
      <c r="AL352" s="15">
        <v>53.0</v>
      </c>
      <c r="AM352" s="15">
        <v>73.0</v>
      </c>
      <c r="AN352" s="15" t="s">
        <v>2797</v>
      </c>
      <c r="AO352" s="18"/>
      <c r="AP352" s="15" t="s">
        <v>11088</v>
      </c>
      <c r="AQ352" s="15" t="s">
        <v>11089</v>
      </c>
      <c r="AR352" s="15" t="s">
        <v>11090</v>
      </c>
      <c r="AS352" s="15" t="s">
        <v>11091</v>
      </c>
      <c r="AT352" s="15" t="s">
        <v>2796</v>
      </c>
      <c r="AU352" s="15" t="s">
        <v>2796</v>
      </c>
      <c r="AV352" s="15" t="s">
        <v>11092</v>
      </c>
      <c r="AW352" s="15" t="s">
        <v>11093</v>
      </c>
      <c r="AX352" s="15" t="s">
        <v>2796</v>
      </c>
      <c r="AY352" s="15" t="s">
        <v>11094</v>
      </c>
      <c r="AZ352" s="15" t="s">
        <v>4670</v>
      </c>
      <c r="BA352" s="15" t="s">
        <v>2899</v>
      </c>
      <c r="BB352" s="15" t="s">
        <v>4484</v>
      </c>
      <c r="BC352" s="15" t="s">
        <v>4746</v>
      </c>
      <c r="BD352" s="15" t="s">
        <v>5578</v>
      </c>
      <c r="BE352" s="15" t="s">
        <v>11095</v>
      </c>
      <c r="BF352" s="18"/>
      <c r="BG352" s="18"/>
      <c r="BH352" s="18"/>
      <c r="BI352" s="15" t="s">
        <v>11096</v>
      </c>
      <c r="BJ352" s="19" t="s">
        <v>11097</v>
      </c>
      <c r="BK352" s="19" t="s">
        <v>11098</v>
      </c>
      <c r="BL352" s="19" t="s">
        <v>11099</v>
      </c>
      <c r="BM352" s="19" t="s">
        <v>11100</v>
      </c>
      <c r="BN352" s="18"/>
      <c r="BO352" s="19" t="s">
        <v>11101</v>
      </c>
      <c r="BP352" s="19" t="s">
        <v>11102</v>
      </c>
      <c r="BQ352" s="15" t="s">
        <v>1248</v>
      </c>
      <c r="BR352" s="19" t="s">
        <v>11103</v>
      </c>
      <c r="BS352" s="26"/>
      <c r="BT352" s="19" t="s">
        <v>11104</v>
      </c>
      <c r="BU352" s="26"/>
      <c r="BV352" s="26"/>
      <c r="BW352" s="15" t="s">
        <v>11105</v>
      </c>
      <c r="BX352" s="26"/>
      <c r="BY352" s="18" t="str">
        <f t="shared" si="105"/>
        <v>ETX</v>
      </c>
      <c r="BZ352" s="24" t="str">
        <f t="shared" si="100"/>
        <v>https://drive.google.com/open?id=1bvBMK9hY_zHoTPKjfgafFtB9cTuiCx8X</v>
      </c>
      <c r="CA352" s="24" t="str">
        <f t="shared" si="101"/>
        <v>https://drive.google.com/open?id=1BRVaMIyWABxZbdompnvw4kbdWq0ppmEb</v>
      </c>
      <c r="CB352" s="15" t="s">
        <v>2821</v>
      </c>
      <c r="CC352" s="15" t="s">
        <v>2908</v>
      </c>
      <c r="CD352" s="25" t="s">
        <v>11106</v>
      </c>
      <c r="CE352" s="18"/>
      <c r="CF352" s="18"/>
      <c r="CG352" s="18"/>
    </row>
    <row r="353" ht="18.75" hidden="1" customHeight="1">
      <c r="A353" s="14">
        <v>44742.69263744213</v>
      </c>
      <c r="B353" s="15" t="s">
        <v>11107</v>
      </c>
      <c r="C353" s="16" t="s">
        <v>11108</v>
      </c>
      <c r="D353" s="15" t="str">
        <f>IFERROR(__xludf.DUMMYFUNCTION("QUERY(TY_ALL_2023_Batch!$A$1:$E$824, ""SELECT E WHERE C='""&amp;B353&amp;""'"", 0)"),"#N/A")</f>
        <v>#N/A</v>
      </c>
      <c r="E353" s="15" t="s">
        <v>11109</v>
      </c>
      <c r="F353" s="15" t="s">
        <v>2939</v>
      </c>
      <c r="G353" s="15" t="s">
        <v>11110</v>
      </c>
      <c r="H353" s="15" t="s">
        <v>2785</v>
      </c>
      <c r="I353" s="17">
        <v>36480.0</v>
      </c>
      <c r="J353" s="15">
        <v>2020.0</v>
      </c>
      <c r="K353" s="15" t="s">
        <v>2941</v>
      </c>
      <c r="L353" s="15" t="s">
        <v>2787</v>
      </c>
      <c r="M353" s="18"/>
      <c r="N353" s="15" t="s">
        <v>1253</v>
      </c>
      <c r="O353" s="15" t="s">
        <v>11107</v>
      </c>
      <c r="P353" s="19" t="s">
        <v>11111</v>
      </c>
      <c r="Q353" s="15">
        <v>8.888522098E9</v>
      </c>
      <c r="R353" s="15">
        <v>8.888522098E9</v>
      </c>
      <c r="S353" s="15">
        <v>8.483925246E9</v>
      </c>
      <c r="T353" s="15" t="s">
        <v>11112</v>
      </c>
      <c r="U353" s="15" t="s">
        <v>11113</v>
      </c>
      <c r="V353" s="15" t="s">
        <v>11114</v>
      </c>
      <c r="W353" s="15" t="s">
        <v>11115</v>
      </c>
      <c r="X353" s="15">
        <v>79.6</v>
      </c>
      <c r="Y353" s="15" t="s">
        <v>2948</v>
      </c>
      <c r="Z353" s="15">
        <v>8.0</v>
      </c>
      <c r="AA353" s="15">
        <v>8.81</v>
      </c>
      <c r="AB353" s="15" t="s">
        <v>2796</v>
      </c>
      <c r="AC353" s="15" t="s">
        <v>2796</v>
      </c>
      <c r="AD353" s="15" t="s">
        <v>2796</v>
      </c>
      <c r="AE353" s="15" t="s">
        <v>2796</v>
      </c>
      <c r="AF353" s="18"/>
      <c r="AG353" s="18"/>
      <c r="AH353" s="18"/>
      <c r="AI353" s="15">
        <v>64.0</v>
      </c>
      <c r="AJ353" s="15" t="s">
        <v>2787</v>
      </c>
      <c r="AK353" s="15" t="s">
        <v>2787</v>
      </c>
      <c r="AL353" s="15">
        <v>565.0</v>
      </c>
      <c r="AM353" s="15">
        <v>632.0</v>
      </c>
      <c r="AN353" s="15" t="s">
        <v>2797</v>
      </c>
      <c r="AO353" s="15">
        <v>0.0</v>
      </c>
      <c r="AP353" s="15">
        <v>0.0</v>
      </c>
      <c r="AQ353" s="15" t="s">
        <v>8867</v>
      </c>
      <c r="AR353" s="18"/>
      <c r="AS353" s="18"/>
      <c r="AT353" s="18"/>
      <c r="AU353" s="18"/>
      <c r="AV353" s="15" t="s">
        <v>11116</v>
      </c>
      <c r="AW353" s="15" t="s">
        <v>11117</v>
      </c>
      <c r="AX353" s="18"/>
      <c r="AY353" s="15" t="s">
        <v>11118</v>
      </c>
      <c r="AZ353" s="15" t="s">
        <v>5260</v>
      </c>
      <c r="BA353" s="15" t="s">
        <v>2839</v>
      </c>
      <c r="BB353" s="15" t="s">
        <v>2807</v>
      </c>
      <c r="BC353" s="15" t="s">
        <v>11119</v>
      </c>
      <c r="BD353" s="15" t="s">
        <v>2842</v>
      </c>
      <c r="BE353" s="15" t="s">
        <v>11120</v>
      </c>
      <c r="BF353" s="18"/>
      <c r="BG353" s="18"/>
      <c r="BH353" s="15" t="s">
        <v>11121</v>
      </c>
      <c r="BI353" s="18"/>
      <c r="BJ353" s="19" t="s">
        <v>11122</v>
      </c>
      <c r="BK353" s="19" t="s">
        <v>11123</v>
      </c>
      <c r="BL353" s="19" t="s">
        <v>11124</v>
      </c>
      <c r="BM353" s="19" t="s">
        <v>11125</v>
      </c>
      <c r="BN353" s="19" t="s">
        <v>11126</v>
      </c>
      <c r="BO353" s="19" t="s">
        <v>11127</v>
      </c>
      <c r="BP353" s="19" t="s">
        <v>11128</v>
      </c>
      <c r="BQ353" s="15" t="s">
        <v>1248</v>
      </c>
      <c r="BR353" s="19" t="s">
        <v>11129</v>
      </c>
      <c r="BS353" s="19" t="s">
        <v>11130</v>
      </c>
      <c r="BT353" s="19" t="s">
        <v>11131</v>
      </c>
      <c r="BU353" s="26"/>
      <c r="BV353" s="26"/>
      <c r="BW353" s="15" t="s">
        <v>11132</v>
      </c>
      <c r="BX353" s="26"/>
      <c r="BY353" s="18" t="str">
        <f t="shared" si="105"/>
        <v>ETX</v>
      </c>
      <c r="BZ353" s="24" t="str">
        <f t="shared" si="100"/>
        <v>https://drive.google.com/open?id=1ZG1Y0hQOT14XC4humiTbHRHypwQ1wEVM</v>
      </c>
      <c r="CA353" s="24" t="str">
        <f t="shared" si="101"/>
        <v>https://drive.google.com/open?id=1cMmFkBVJW1_kQIqtzNinRh2L8k-3pOto</v>
      </c>
      <c r="CB353" s="15" t="s">
        <v>2821</v>
      </c>
      <c r="CC353" s="15" t="s">
        <v>2821</v>
      </c>
      <c r="CD353" s="25" t="s">
        <v>2909</v>
      </c>
      <c r="CE353" s="18"/>
      <c r="CF353" s="18"/>
      <c r="CG353" s="18"/>
    </row>
    <row r="354" ht="18.75" hidden="1" customHeight="1">
      <c r="A354" s="14">
        <v>44735.66449481482</v>
      </c>
      <c r="B354" s="15" t="s">
        <v>11133</v>
      </c>
      <c r="C354" s="16" t="s">
        <v>11134</v>
      </c>
      <c r="D354" s="15" t="str">
        <f>IFERROR(__xludf.DUMMYFUNCTION("QUERY(TY_ALL_2023_Batch!$A$1:$E$824, ""SELECT E WHERE C='""&amp;B354&amp;""'"", 0)"),"#N/A")</f>
        <v>#N/A</v>
      </c>
      <c r="E354" s="15" t="s">
        <v>3404</v>
      </c>
      <c r="F354" s="15" t="s">
        <v>11135</v>
      </c>
      <c r="G354" s="15" t="s">
        <v>11136</v>
      </c>
      <c r="H354" s="15" t="s">
        <v>2785</v>
      </c>
      <c r="I354" s="17">
        <v>36872.0</v>
      </c>
      <c r="J354" s="15">
        <v>2020.0</v>
      </c>
      <c r="K354" s="15" t="s">
        <v>2941</v>
      </c>
      <c r="L354" s="15" t="s">
        <v>2787</v>
      </c>
      <c r="M354" s="18"/>
      <c r="N354" s="15" t="s">
        <v>1277</v>
      </c>
      <c r="O354" s="15" t="s">
        <v>11133</v>
      </c>
      <c r="P354" s="19" t="s">
        <v>11137</v>
      </c>
      <c r="Q354" s="15">
        <v>9.04909939E9</v>
      </c>
      <c r="R354" s="15">
        <v>9.04909939E9</v>
      </c>
      <c r="S354" s="18"/>
      <c r="T354" s="15" t="s">
        <v>11135</v>
      </c>
      <c r="U354" s="15" t="s">
        <v>2891</v>
      </c>
      <c r="V354" s="15" t="s">
        <v>11138</v>
      </c>
      <c r="W354" s="15" t="s">
        <v>11139</v>
      </c>
      <c r="X354" s="15">
        <v>76.0</v>
      </c>
      <c r="Y354" s="15" t="s">
        <v>2948</v>
      </c>
      <c r="Z354" s="15">
        <v>7.4</v>
      </c>
      <c r="AA354" s="15">
        <v>8.89</v>
      </c>
      <c r="AB354" s="15" t="s">
        <v>3005</v>
      </c>
      <c r="AC354" s="15" t="s">
        <v>3005</v>
      </c>
      <c r="AD354" s="15" t="s">
        <v>3005</v>
      </c>
      <c r="AE354" s="15" t="s">
        <v>3005</v>
      </c>
      <c r="AF354" s="18"/>
      <c r="AG354" s="18"/>
      <c r="AH354" s="18"/>
      <c r="AI354" s="15">
        <v>60.0</v>
      </c>
      <c r="AJ354" s="15" t="s">
        <v>2797</v>
      </c>
      <c r="AK354" s="15" t="s">
        <v>2787</v>
      </c>
      <c r="AL354" s="18"/>
      <c r="AM354" s="18"/>
      <c r="AN354" s="15" t="s">
        <v>2787</v>
      </c>
      <c r="AO354" s="15" t="s">
        <v>11140</v>
      </c>
      <c r="AP354" s="18"/>
      <c r="AQ354" s="15" t="s">
        <v>10930</v>
      </c>
      <c r="AR354" s="18"/>
      <c r="AS354" s="18"/>
      <c r="AT354" s="18"/>
      <c r="AU354" s="18"/>
      <c r="AV354" s="18"/>
      <c r="AW354" s="15" t="s">
        <v>11141</v>
      </c>
      <c r="AX354" s="18"/>
      <c r="AY354" s="15" t="s">
        <v>11142</v>
      </c>
      <c r="AZ354" s="15" t="s">
        <v>4670</v>
      </c>
      <c r="BA354" s="15" t="s">
        <v>5468</v>
      </c>
      <c r="BB354" s="15" t="s">
        <v>3109</v>
      </c>
      <c r="BC354" s="15" t="s">
        <v>11143</v>
      </c>
      <c r="BD354" s="15" t="s">
        <v>2842</v>
      </c>
      <c r="BE354" s="15" t="s">
        <v>3005</v>
      </c>
      <c r="BF354" s="18"/>
      <c r="BG354" s="18"/>
      <c r="BH354" s="15" t="s">
        <v>11144</v>
      </c>
      <c r="BI354" s="18"/>
      <c r="BJ354" s="19" t="s">
        <v>11145</v>
      </c>
      <c r="BK354" s="19" t="s">
        <v>11146</v>
      </c>
      <c r="BL354" s="18"/>
      <c r="BM354" s="18"/>
      <c r="BN354" s="18"/>
      <c r="BO354" s="19" t="s">
        <v>11147</v>
      </c>
      <c r="BP354" s="18"/>
      <c r="BQ354" s="15" t="s">
        <v>1248</v>
      </c>
      <c r="BR354" s="26"/>
      <c r="BS354" s="26"/>
      <c r="BT354" s="26"/>
      <c r="BU354" s="26"/>
      <c r="BV354" s="26"/>
      <c r="BW354" s="26"/>
      <c r="BX354" s="26"/>
      <c r="BY354" s="18" t="str">
        <f t="shared" si="105"/>
        <v>ETX</v>
      </c>
      <c r="BZ354" s="18" t="str">
        <f t="shared" si="100"/>
        <v/>
      </c>
      <c r="CA354" s="18" t="str">
        <f t="shared" si="101"/>
        <v/>
      </c>
      <c r="CB354" s="15" t="s">
        <v>2908</v>
      </c>
      <c r="CC354" s="15" t="s">
        <v>2908</v>
      </c>
      <c r="CD354" s="25" t="s">
        <v>2797</v>
      </c>
      <c r="CE354" s="18"/>
      <c r="CF354" s="18"/>
      <c r="CG354" s="18"/>
    </row>
    <row r="355" ht="18.75" hidden="1" customHeight="1">
      <c r="A355" s="14">
        <v>44735.695471747684</v>
      </c>
      <c r="B355" s="15" t="s">
        <v>11148</v>
      </c>
      <c r="C355" s="16" t="s">
        <v>11149</v>
      </c>
      <c r="D355" s="15" t="str">
        <f>IFERROR(__xludf.DUMMYFUNCTION("QUERY(TY_ALL_2023_Batch!$A$1:$E$824, ""SELECT E WHERE C='""&amp;B355&amp;""'"", 0)"),"#N/A")</f>
        <v>#N/A</v>
      </c>
      <c r="E355" s="15" t="s">
        <v>11150</v>
      </c>
      <c r="F355" s="15" t="s">
        <v>11151</v>
      </c>
      <c r="G355" s="15" t="s">
        <v>11152</v>
      </c>
      <c r="H355" s="15" t="s">
        <v>2826</v>
      </c>
      <c r="I355" s="17">
        <v>36954.0</v>
      </c>
      <c r="J355" s="15">
        <v>2020.0</v>
      </c>
      <c r="K355" s="15" t="s">
        <v>2941</v>
      </c>
      <c r="L355" s="15" t="s">
        <v>2787</v>
      </c>
      <c r="M355" s="18"/>
      <c r="N355" s="15" t="s">
        <v>1280</v>
      </c>
      <c r="O355" s="15" t="s">
        <v>11148</v>
      </c>
      <c r="P355" s="19" t="s">
        <v>11153</v>
      </c>
      <c r="Q355" s="15">
        <v>7.499395112E9</v>
      </c>
      <c r="R355" s="15">
        <v>7.499395112E9</v>
      </c>
      <c r="S355" s="18"/>
      <c r="T355" s="15" t="s">
        <v>11154</v>
      </c>
      <c r="U355" s="15" t="s">
        <v>11155</v>
      </c>
      <c r="V355" s="15" t="s">
        <v>11156</v>
      </c>
      <c r="W355" s="15" t="s">
        <v>11157</v>
      </c>
      <c r="X355" s="15">
        <v>90.4</v>
      </c>
      <c r="Y355" s="15" t="s">
        <v>2948</v>
      </c>
      <c r="Z355" s="15">
        <v>8.9</v>
      </c>
      <c r="AA355" s="15">
        <v>8.71</v>
      </c>
      <c r="AB355" s="15" t="s">
        <v>2796</v>
      </c>
      <c r="AC355" s="15" t="s">
        <v>2796</v>
      </c>
      <c r="AD355" s="15" t="s">
        <v>2796</v>
      </c>
      <c r="AE355" s="15" t="s">
        <v>2796</v>
      </c>
      <c r="AF355" s="18"/>
      <c r="AG355" s="18"/>
      <c r="AH355" s="18"/>
      <c r="AI355" s="15">
        <v>82.41</v>
      </c>
      <c r="AJ355" s="15" t="s">
        <v>2797</v>
      </c>
      <c r="AK355" s="15" t="s">
        <v>2787</v>
      </c>
      <c r="AL355" s="18"/>
      <c r="AM355" s="15">
        <v>600.0</v>
      </c>
      <c r="AN355" s="15" t="s">
        <v>2797</v>
      </c>
      <c r="AO355" s="18"/>
      <c r="AP355" s="18"/>
      <c r="AQ355" s="15" t="s">
        <v>11158</v>
      </c>
      <c r="AR355" s="18"/>
      <c r="AS355" s="15" t="s">
        <v>11159</v>
      </c>
      <c r="AT355" s="18"/>
      <c r="AU355" s="18"/>
      <c r="AV355" s="18"/>
      <c r="AW355" s="15" t="s">
        <v>2796</v>
      </c>
      <c r="AX355" s="18"/>
      <c r="AY355" s="15" t="s">
        <v>11160</v>
      </c>
      <c r="AZ355" s="15" t="s">
        <v>5287</v>
      </c>
      <c r="BA355" s="15" t="s">
        <v>2839</v>
      </c>
      <c r="BB355" s="15" t="s">
        <v>2807</v>
      </c>
      <c r="BC355" s="15" t="s">
        <v>8336</v>
      </c>
      <c r="BD355" s="15" t="s">
        <v>2807</v>
      </c>
      <c r="BE355" s="15" t="s">
        <v>11161</v>
      </c>
      <c r="BF355" s="18"/>
      <c r="BG355" s="18"/>
      <c r="BH355" s="18"/>
      <c r="BI355" s="18"/>
      <c r="BJ355" s="19" t="s">
        <v>11162</v>
      </c>
      <c r="BK355" s="19" t="s">
        <v>11163</v>
      </c>
      <c r="BL355" s="18"/>
      <c r="BM355" s="18"/>
      <c r="BN355" s="19" t="s">
        <v>11164</v>
      </c>
      <c r="BO355" s="19" t="s">
        <v>11165</v>
      </c>
      <c r="BP355" s="19" t="s">
        <v>11166</v>
      </c>
      <c r="BQ355" s="15" t="s">
        <v>1248</v>
      </c>
      <c r="BR355" s="26"/>
      <c r="BS355" s="26"/>
      <c r="BT355" s="26"/>
      <c r="BU355" s="26"/>
      <c r="BV355" s="26"/>
      <c r="BW355" s="26"/>
      <c r="BX355" s="26"/>
      <c r="BY355" s="18" t="str">
        <f t="shared" si="105"/>
        <v>ETX</v>
      </c>
      <c r="BZ355" s="18" t="str">
        <f t="shared" si="100"/>
        <v/>
      </c>
      <c r="CA355" s="18" t="str">
        <f t="shared" si="101"/>
        <v/>
      </c>
      <c r="CB355" s="15" t="s">
        <v>2908</v>
      </c>
      <c r="CC355" s="15" t="s">
        <v>2908</v>
      </c>
      <c r="CD355" s="25" t="s">
        <v>2797</v>
      </c>
      <c r="CE355" s="18"/>
      <c r="CF355" s="18"/>
      <c r="CG355" s="18"/>
    </row>
    <row r="356" ht="18.75" hidden="1" customHeight="1">
      <c r="A356" s="14">
        <v>44735.69801371528</v>
      </c>
      <c r="B356" s="15" t="s">
        <v>11167</v>
      </c>
      <c r="C356" s="16" t="s">
        <v>11168</v>
      </c>
      <c r="D356" s="15" t="str">
        <f>IFERROR(__xludf.DUMMYFUNCTION("QUERY(TY_ALL_2023_Batch!$A$1:$E$824, ""SELECT E WHERE C='""&amp;B356&amp;""'"", 0)"),"#N/A")</f>
        <v>#N/A</v>
      </c>
      <c r="E356" s="15" t="s">
        <v>11169</v>
      </c>
      <c r="F356" s="15" t="s">
        <v>5719</v>
      </c>
      <c r="G356" s="15" t="s">
        <v>11170</v>
      </c>
      <c r="H356" s="15" t="s">
        <v>2826</v>
      </c>
      <c r="I356" s="17">
        <v>37040.0</v>
      </c>
      <c r="J356" s="15">
        <v>2020.0</v>
      </c>
      <c r="K356" s="15" t="s">
        <v>2941</v>
      </c>
      <c r="L356" s="15" t="s">
        <v>2787</v>
      </c>
      <c r="M356" s="18"/>
      <c r="N356" s="15" t="s">
        <v>1259</v>
      </c>
      <c r="O356" s="15" t="s">
        <v>11167</v>
      </c>
      <c r="P356" s="19" t="s">
        <v>11171</v>
      </c>
      <c r="Q356" s="15">
        <v>9.175856148E9</v>
      </c>
      <c r="R356" s="15">
        <v>9.175856148E9</v>
      </c>
      <c r="S356" s="15">
        <v>9.175856148E9</v>
      </c>
      <c r="T356" s="15" t="s">
        <v>11172</v>
      </c>
      <c r="U356" s="15" t="s">
        <v>11173</v>
      </c>
      <c r="V356" s="15" t="s">
        <v>11174</v>
      </c>
      <c r="W356" s="15" t="s">
        <v>11175</v>
      </c>
      <c r="X356" s="15">
        <v>88.2</v>
      </c>
      <c r="Y356" s="15" t="s">
        <v>2948</v>
      </c>
      <c r="Z356" s="15">
        <v>7.76</v>
      </c>
      <c r="AA356" s="15">
        <v>7.76</v>
      </c>
      <c r="AB356" s="15" t="s">
        <v>2796</v>
      </c>
      <c r="AC356" s="15" t="s">
        <v>2796</v>
      </c>
      <c r="AD356" s="15" t="s">
        <v>2796</v>
      </c>
      <c r="AE356" s="15" t="s">
        <v>2796</v>
      </c>
      <c r="AF356" s="18"/>
      <c r="AG356" s="18"/>
      <c r="AH356" s="18"/>
      <c r="AI356" s="15">
        <v>81.29</v>
      </c>
      <c r="AJ356" s="15" t="s">
        <v>2787</v>
      </c>
      <c r="AK356" s="15" t="s">
        <v>2787</v>
      </c>
      <c r="AL356" s="15" t="s">
        <v>2796</v>
      </c>
      <c r="AM356" s="15">
        <v>568.0</v>
      </c>
      <c r="AN356" s="15" t="s">
        <v>2797</v>
      </c>
      <c r="AO356" s="15" t="s">
        <v>2796</v>
      </c>
      <c r="AP356" s="15" t="s">
        <v>2796</v>
      </c>
      <c r="AQ356" s="15" t="s">
        <v>11176</v>
      </c>
      <c r="AR356" s="15" t="s">
        <v>11177</v>
      </c>
      <c r="AS356" s="15" t="s">
        <v>11178</v>
      </c>
      <c r="AT356" s="15" t="s">
        <v>2796</v>
      </c>
      <c r="AU356" s="15" t="s">
        <v>2796</v>
      </c>
      <c r="AV356" s="18"/>
      <c r="AW356" s="15" t="s">
        <v>2796</v>
      </c>
      <c r="AX356" s="15" t="s">
        <v>2796</v>
      </c>
      <c r="AY356" s="15" t="s">
        <v>11179</v>
      </c>
      <c r="AZ356" s="15" t="s">
        <v>5625</v>
      </c>
      <c r="BA356" s="15" t="s">
        <v>5552</v>
      </c>
      <c r="BB356" s="15" t="s">
        <v>2807</v>
      </c>
      <c r="BC356" s="15" t="s">
        <v>8295</v>
      </c>
      <c r="BD356" s="15" t="s">
        <v>2807</v>
      </c>
      <c r="BE356" s="15" t="s">
        <v>11180</v>
      </c>
      <c r="BF356" s="18"/>
      <c r="BG356" s="15" t="s">
        <v>2796</v>
      </c>
      <c r="BH356" s="15" t="s">
        <v>2796</v>
      </c>
      <c r="BI356" s="15" t="s">
        <v>2796</v>
      </c>
      <c r="BJ356" s="19" t="s">
        <v>11162</v>
      </c>
      <c r="BK356" s="19" t="s">
        <v>11181</v>
      </c>
      <c r="BL356" s="18"/>
      <c r="BM356" s="18"/>
      <c r="BN356" s="19" t="s">
        <v>11182</v>
      </c>
      <c r="BO356" s="19" t="s">
        <v>11183</v>
      </c>
      <c r="BP356" s="19" t="s">
        <v>11184</v>
      </c>
      <c r="BQ356" s="15" t="s">
        <v>1248</v>
      </c>
      <c r="BR356" s="26"/>
      <c r="BS356" s="26"/>
      <c r="BT356" s="26"/>
      <c r="BU356" s="26"/>
      <c r="BV356" s="26"/>
      <c r="BW356" s="26"/>
      <c r="BX356" s="26"/>
      <c r="BY356" s="18" t="str">
        <f t="shared" si="105"/>
        <v>ETX</v>
      </c>
      <c r="BZ356" s="18" t="str">
        <f t="shared" si="100"/>
        <v/>
      </c>
      <c r="CA356" s="18" t="str">
        <f t="shared" si="101"/>
        <v/>
      </c>
      <c r="CB356" s="15" t="s">
        <v>2908</v>
      </c>
      <c r="CC356" s="15" t="s">
        <v>2908</v>
      </c>
      <c r="CD356" s="25" t="s">
        <v>2797</v>
      </c>
      <c r="CE356" s="18"/>
      <c r="CF356" s="18"/>
      <c r="CG356" s="18"/>
    </row>
    <row r="357" ht="18.75" hidden="1" customHeight="1">
      <c r="A357" s="14">
        <v>44743.48819991898</v>
      </c>
      <c r="B357" s="15" t="s">
        <v>11185</v>
      </c>
      <c r="C357" s="16" t="s">
        <v>11186</v>
      </c>
      <c r="D357" s="15" t="str">
        <f>IFERROR(__xludf.DUMMYFUNCTION("QUERY(TY_ALL_2023_Batch!$A$1:$E$824, ""SELECT E WHERE C='""&amp;B357&amp;""'"", 0)"),"#N/A")</f>
        <v>#N/A</v>
      </c>
      <c r="E357" s="15" t="s">
        <v>11187</v>
      </c>
      <c r="F357" s="15" t="s">
        <v>11188</v>
      </c>
      <c r="G357" s="15" t="s">
        <v>11189</v>
      </c>
      <c r="H357" s="15" t="s">
        <v>2826</v>
      </c>
      <c r="I357" s="17">
        <v>37261.0</v>
      </c>
      <c r="J357" s="15">
        <v>2020.0</v>
      </c>
      <c r="K357" s="15" t="s">
        <v>2941</v>
      </c>
      <c r="L357" s="15" t="s">
        <v>2787</v>
      </c>
      <c r="M357" s="18"/>
      <c r="N357" s="15" t="s">
        <v>1262</v>
      </c>
      <c r="O357" s="15" t="s">
        <v>11185</v>
      </c>
      <c r="P357" s="19" t="s">
        <v>11190</v>
      </c>
      <c r="Q357" s="15">
        <v>9.284091616E9</v>
      </c>
      <c r="R357" s="15">
        <v>9.284092616E9</v>
      </c>
      <c r="S357" s="15">
        <v>9.405161683E9</v>
      </c>
      <c r="T357" s="15" t="s">
        <v>11188</v>
      </c>
      <c r="U357" s="15" t="s">
        <v>11191</v>
      </c>
      <c r="V357" s="15" t="s">
        <v>11192</v>
      </c>
      <c r="W357" s="15" t="s">
        <v>11193</v>
      </c>
      <c r="X357" s="15">
        <v>84.4</v>
      </c>
      <c r="Y357" s="15" t="s">
        <v>2948</v>
      </c>
      <c r="Z357" s="15">
        <v>7.67</v>
      </c>
      <c r="AA357" s="15">
        <v>7.62</v>
      </c>
      <c r="AB357" s="15" t="s">
        <v>2796</v>
      </c>
      <c r="AC357" s="15" t="s">
        <v>2796</v>
      </c>
      <c r="AD357" s="15" t="s">
        <v>2796</v>
      </c>
      <c r="AE357" s="15" t="s">
        <v>2796</v>
      </c>
      <c r="AF357" s="18"/>
      <c r="AG357" s="18"/>
      <c r="AH357" s="18"/>
      <c r="AI357" s="15">
        <v>82.12</v>
      </c>
      <c r="AJ357" s="15" t="s">
        <v>2787</v>
      </c>
      <c r="AK357" s="15" t="s">
        <v>2787</v>
      </c>
      <c r="AL357" s="18"/>
      <c r="AM357" s="15">
        <v>543.33</v>
      </c>
      <c r="AN357" s="15" t="s">
        <v>2797</v>
      </c>
      <c r="AO357" s="15" t="s">
        <v>11194</v>
      </c>
      <c r="AP357" s="18"/>
      <c r="AQ357" s="15" t="s">
        <v>11195</v>
      </c>
      <c r="AR357" s="15" t="s">
        <v>11196</v>
      </c>
      <c r="AS357" s="15" t="s">
        <v>10934</v>
      </c>
      <c r="AT357" s="18"/>
      <c r="AU357" s="15" t="s">
        <v>2796</v>
      </c>
      <c r="AV357" s="15" t="s">
        <v>11197</v>
      </c>
      <c r="AW357" s="15" t="s">
        <v>11198</v>
      </c>
      <c r="AX357" s="15" t="s">
        <v>2796</v>
      </c>
      <c r="AY357" s="15" t="s">
        <v>11199</v>
      </c>
      <c r="AZ357" s="15" t="s">
        <v>5625</v>
      </c>
      <c r="BA357" s="15" t="s">
        <v>5552</v>
      </c>
      <c r="BB357" s="15" t="s">
        <v>2807</v>
      </c>
      <c r="BC357" s="15" t="s">
        <v>8336</v>
      </c>
      <c r="BD357" s="15" t="s">
        <v>2807</v>
      </c>
      <c r="BE357" s="15" t="s">
        <v>11200</v>
      </c>
      <c r="BF357" s="15" t="s">
        <v>2796</v>
      </c>
      <c r="BG357" s="15" t="s">
        <v>2796</v>
      </c>
      <c r="BH357" s="15" t="s">
        <v>11201</v>
      </c>
      <c r="BI357" s="15" t="s">
        <v>2796</v>
      </c>
      <c r="BJ357" s="19" t="s">
        <v>11202</v>
      </c>
      <c r="BK357" s="19" t="s">
        <v>11203</v>
      </c>
      <c r="BL357" s="18"/>
      <c r="BM357" s="18"/>
      <c r="BN357" s="19" t="s">
        <v>11204</v>
      </c>
      <c r="BO357" s="19" t="s">
        <v>11205</v>
      </c>
      <c r="BP357" s="19" t="s">
        <v>11206</v>
      </c>
      <c r="BQ357" s="15" t="s">
        <v>1248</v>
      </c>
      <c r="BR357" s="26"/>
      <c r="BS357" s="26"/>
      <c r="BT357" s="26"/>
      <c r="BU357" s="26"/>
      <c r="BV357" s="26"/>
      <c r="BW357" s="15" t="s">
        <v>4724</v>
      </c>
      <c r="BX357" s="26"/>
      <c r="BY357" s="18" t="str">
        <f t="shared" si="105"/>
        <v>ETX</v>
      </c>
      <c r="BZ357" s="18" t="str">
        <f t="shared" si="100"/>
        <v/>
      </c>
      <c r="CA357" s="18" t="str">
        <f t="shared" si="101"/>
        <v/>
      </c>
      <c r="CB357" s="15" t="s">
        <v>2908</v>
      </c>
      <c r="CC357" s="15" t="s">
        <v>2908</v>
      </c>
      <c r="CD357" s="25" t="s">
        <v>2797</v>
      </c>
      <c r="CE357" s="18"/>
      <c r="CF357" s="18"/>
      <c r="CG357" s="18"/>
    </row>
    <row r="358" ht="18.75" hidden="1" customHeight="1">
      <c r="A358" s="30">
        <v>44742.9152658449</v>
      </c>
      <c r="B358" s="5" t="s">
        <v>11207</v>
      </c>
      <c r="C358" s="31" t="s">
        <v>11208</v>
      </c>
      <c r="E358" s="5" t="s">
        <v>3404</v>
      </c>
      <c r="F358" s="5" t="s">
        <v>11209</v>
      </c>
      <c r="G358" s="5" t="s">
        <v>11210</v>
      </c>
      <c r="H358" s="5" t="s">
        <v>2785</v>
      </c>
      <c r="I358" s="32">
        <v>36738.0</v>
      </c>
      <c r="J358" s="5">
        <v>2020.0</v>
      </c>
      <c r="K358" s="5" t="s">
        <v>2941</v>
      </c>
      <c r="L358" s="5" t="s">
        <v>2787</v>
      </c>
      <c r="N358" s="5" t="s">
        <v>11211</v>
      </c>
      <c r="O358" s="5" t="s">
        <v>11207</v>
      </c>
      <c r="P358" s="33" t="s">
        <v>11212</v>
      </c>
      <c r="Q358" s="5">
        <v>7.620832721E9</v>
      </c>
      <c r="R358" s="5">
        <v>7.620832721E9</v>
      </c>
      <c r="T358" s="5" t="s">
        <v>11209</v>
      </c>
      <c r="U358" s="5" t="s">
        <v>11213</v>
      </c>
      <c r="V358" s="5" t="s">
        <v>11214</v>
      </c>
      <c r="W358" s="5" t="s">
        <v>11215</v>
      </c>
      <c r="X358" s="5">
        <v>59.2</v>
      </c>
      <c r="Y358" s="5" t="s">
        <v>2948</v>
      </c>
      <c r="Z358" s="5">
        <v>8.55</v>
      </c>
      <c r="AA358" s="5">
        <v>8.52</v>
      </c>
      <c r="AB358" s="5" t="s">
        <v>5798</v>
      </c>
      <c r="AC358" s="5" t="s">
        <v>5798</v>
      </c>
      <c r="AD358" s="5" t="s">
        <v>5798</v>
      </c>
      <c r="AE358" s="5" t="s">
        <v>5798</v>
      </c>
      <c r="AI358" s="5">
        <v>65.06</v>
      </c>
      <c r="AJ358" s="5" t="s">
        <v>2787</v>
      </c>
      <c r="AK358" s="5" t="s">
        <v>2787</v>
      </c>
      <c r="AN358" s="5" t="s">
        <v>2797</v>
      </c>
      <c r="AO358" s="5">
        <v>0.0</v>
      </c>
      <c r="AP358" s="5">
        <v>0.0</v>
      </c>
      <c r="AQ358" s="5" t="s">
        <v>8867</v>
      </c>
      <c r="AV358" s="5" t="s">
        <v>11216</v>
      </c>
      <c r="AW358" s="5" t="s">
        <v>11217</v>
      </c>
      <c r="AY358" s="5" t="s">
        <v>11218</v>
      </c>
      <c r="AZ358" s="5" t="s">
        <v>5335</v>
      </c>
      <c r="BA358" s="5" t="s">
        <v>5552</v>
      </c>
      <c r="BB358" s="5" t="s">
        <v>2807</v>
      </c>
      <c r="BC358" s="5" t="s">
        <v>11219</v>
      </c>
      <c r="BD358" s="5" t="s">
        <v>2807</v>
      </c>
      <c r="BE358" s="5" t="s">
        <v>11220</v>
      </c>
      <c r="BJ358" s="33" t="s">
        <v>11221</v>
      </c>
      <c r="BK358" s="33" t="s">
        <v>11222</v>
      </c>
      <c r="BO358" s="33" t="s">
        <v>11223</v>
      </c>
      <c r="BQ358" s="5" t="s">
        <v>1248</v>
      </c>
      <c r="BW358" s="5" t="s">
        <v>11224</v>
      </c>
      <c r="BZ358" s="18" t="str">
        <f t="shared" si="100"/>
        <v/>
      </c>
      <c r="CA358" s="18" t="str">
        <f t="shared" si="101"/>
        <v/>
      </c>
      <c r="CB358" s="5" t="s">
        <v>2908</v>
      </c>
      <c r="CC358" s="5" t="s">
        <v>2908</v>
      </c>
      <c r="CD358" s="34" t="s">
        <v>2797</v>
      </c>
      <c r="CG358" s="18"/>
    </row>
    <row r="359" ht="18.75" hidden="1" customHeight="1">
      <c r="A359" s="14">
        <v>44741.74404065972</v>
      </c>
      <c r="B359" s="15" t="s">
        <v>2223</v>
      </c>
      <c r="C359" s="15">
        <v>1.20190219E8</v>
      </c>
      <c r="D359" s="15" t="str">
        <f>IFERROR(__xludf.DUMMYFUNCTION("QUERY(TY_ALL_2023_Batch!$A$1:$E$824, ""SELECT E WHERE C='""&amp;B359&amp;""'"", 0)"),"IT")</f>
        <v>IT</v>
      </c>
      <c r="E359" s="15" t="s">
        <v>11225</v>
      </c>
      <c r="F359" s="18"/>
      <c r="G359" s="15" t="s">
        <v>11226</v>
      </c>
      <c r="H359" s="15" t="s">
        <v>2785</v>
      </c>
      <c r="I359" s="17">
        <v>37227.0</v>
      </c>
      <c r="J359" s="15">
        <v>2019.0</v>
      </c>
      <c r="K359" s="15" t="s">
        <v>2786</v>
      </c>
      <c r="L359" s="15" t="s">
        <v>2787</v>
      </c>
      <c r="M359" s="18"/>
      <c r="N359" s="15" t="s">
        <v>11227</v>
      </c>
      <c r="O359" s="15" t="s">
        <v>2223</v>
      </c>
      <c r="P359" s="19" t="s">
        <v>11228</v>
      </c>
      <c r="Q359" s="15">
        <v>7.804903627E9</v>
      </c>
      <c r="R359" s="15">
        <v>7.354723076E9</v>
      </c>
      <c r="S359" s="15">
        <v>7.804903627E9</v>
      </c>
      <c r="T359" s="15" t="s">
        <v>11229</v>
      </c>
      <c r="U359" s="15" t="s">
        <v>11230</v>
      </c>
      <c r="V359" s="15" t="s">
        <v>11231</v>
      </c>
      <c r="W359" s="15" t="s">
        <v>11232</v>
      </c>
      <c r="X359" s="15">
        <v>96.0</v>
      </c>
      <c r="Y359" s="15" t="s">
        <v>2795</v>
      </c>
      <c r="Z359" s="15">
        <v>9.1</v>
      </c>
      <c r="AA359" s="15">
        <v>9.25</v>
      </c>
      <c r="AB359" s="15" t="s">
        <v>2796</v>
      </c>
      <c r="AC359" s="15" t="s">
        <v>2796</v>
      </c>
      <c r="AD359" s="15" t="s">
        <v>2796</v>
      </c>
      <c r="AE359" s="15" t="s">
        <v>2796</v>
      </c>
      <c r="AF359" s="15">
        <v>9.29</v>
      </c>
      <c r="AG359" s="15">
        <v>9.25</v>
      </c>
      <c r="AH359" s="15">
        <v>88.0</v>
      </c>
      <c r="AI359" s="18"/>
      <c r="AJ359" s="15" t="s">
        <v>2787</v>
      </c>
      <c r="AK359" s="15" t="s">
        <v>2787</v>
      </c>
      <c r="AL359" s="15">
        <v>650.0</v>
      </c>
      <c r="AM359" s="15">
        <v>679.0</v>
      </c>
      <c r="AN359" s="15" t="s">
        <v>2787</v>
      </c>
      <c r="AO359" s="18"/>
      <c r="AP359" s="15" t="s">
        <v>11233</v>
      </c>
      <c r="AQ359" s="15" t="s">
        <v>11234</v>
      </c>
      <c r="AR359" s="15" t="s">
        <v>11235</v>
      </c>
      <c r="AS359" s="15" t="s">
        <v>11236</v>
      </c>
      <c r="AT359" s="18"/>
      <c r="AU359" s="15" t="s">
        <v>11237</v>
      </c>
      <c r="AV359" s="15" t="s">
        <v>11238</v>
      </c>
      <c r="AW359" s="15" t="s">
        <v>11239</v>
      </c>
      <c r="AX359" s="18"/>
      <c r="AY359" s="15" t="s">
        <v>11240</v>
      </c>
      <c r="AZ359" s="15" t="s">
        <v>5260</v>
      </c>
      <c r="BA359" s="15" t="s">
        <v>2806</v>
      </c>
      <c r="BB359" s="15" t="s">
        <v>3514</v>
      </c>
      <c r="BC359" s="15" t="s">
        <v>4644</v>
      </c>
      <c r="BD359" s="15" t="s">
        <v>2807</v>
      </c>
      <c r="BE359" s="15" t="s">
        <v>11241</v>
      </c>
      <c r="BF359" s="18"/>
      <c r="BG359" s="18"/>
      <c r="BH359" s="15" t="s">
        <v>11242</v>
      </c>
      <c r="BI359" s="15" t="s">
        <v>11243</v>
      </c>
      <c r="BJ359" s="19" t="s">
        <v>11244</v>
      </c>
      <c r="BK359" s="19" t="s">
        <v>11245</v>
      </c>
      <c r="BL359" s="19" t="s">
        <v>11246</v>
      </c>
      <c r="BM359" s="19" t="s">
        <v>11247</v>
      </c>
      <c r="BN359" s="19" t="s">
        <v>11248</v>
      </c>
      <c r="BO359" s="19" t="s">
        <v>11249</v>
      </c>
      <c r="BP359" s="19" t="s">
        <v>11250</v>
      </c>
      <c r="BQ359" s="15" t="s">
        <v>166</v>
      </c>
      <c r="BR359" s="26"/>
      <c r="BS359" s="26"/>
      <c r="BT359" s="26"/>
      <c r="BU359" s="19" t="s">
        <v>11251</v>
      </c>
      <c r="BV359" s="19" t="s">
        <v>11252</v>
      </c>
      <c r="BW359" s="15" t="s">
        <v>11253</v>
      </c>
      <c r="BX359" s="26"/>
      <c r="BY359" s="18" t="str">
        <f t="shared" ref="BY359:BY419" si="106">IF(NOT(ISBLANK(BQ359)), BQ359, D359)</f>
        <v>IT</v>
      </c>
      <c r="BZ359" s="24" t="str">
        <f t="shared" si="100"/>
        <v>https://drive.google.com/open?id=1xgyCVAk_GS9VyBILAsl3OQrM-5nYwu7f</v>
      </c>
      <c r="CA359" s="24" t="str">
        <f t="shared" si="101"/>
        <v>https://drive.google.com/open?id=1t9RXbJAc9ywnCH_P92BxXa149vpWwDJB</v>
      </c>
      <c r="CB359" s="15" t="s">
        <v>2821</v>
      </c>
      <c r="CC359" s="15" t="s">
        <v>2821</v>
      </c>
      <c r="CD359" s="25" t="s">
        <v>2787</v>
      </c>
      <c r="CE359" s="18"/>
      <c r="CF359" s="18"/>
      <c r="CG359" s="18"/>
    </row>
    <row r="360" ht="18.75" hidden="1" customHeight="1">
      <c r="A360" s="14">
        <v>44735.88362386574</v>
      </c>
      <c r="B360" s="15" t="s">
        <v>2160</v>
      </c>
      <c r="C360" s="16" t="s">
        <v>11254</v>
      </c>
      <c r="D360" s="15" t="str">
        <f>IFERROR(__xludf.DUMMYFUNCTION("QUERY(TY_ALL_2023_Batch!$A$1:$E$824, ""SELECT E WHERE C='""&amp;B360&amp;""'"", 0)"),"IT")</f>
        <v>IT</v>
      </c>
      <c r="E360" s="15" t="s">
        <v>2824</v>
      </c>
      <c r="F360" s="15" t="s">
        <v>7521</v>
      </c>
      <c r="G360" s="15" t="s">
        <v>5691</v>
      </c>
      <c r="H360" s="15" t="s">
        <v>2785</v>
      </c>
      <c r="I360" s="17">
        <v>36588.0</v>
      </c>
      <c r="J360" s="15">
        <v>2019.0</v>
      </c>
      <c r="K360" s="15" t="s">
        <v>2786</v>
      </c>
      <c r="L360" s="15" t="s">
        <v>2787</v>
      </c>
      <c r="M360" s="18"/>
      <c r="N360" s="15" t="s">
        <v>11255</v>
      </c>
      <c r="O360" s="15" t="s">
        <v>2160</v>
      </c>
      <c r="P360" s="19" t="s">
        <v>11256</v>
      </c>
      <c r="Q360" s="15">
        <v>7.769818735E9</v>
      </c>
      <c r="R360" s="15">
        <v>7.769818735E9</v>
      </c>
      <c r="S360" s="15">
        <v>7.744829565E9</v>
      </c>
      <c r="T360" s="15" t="s">
        <v>11257</v>
      </c>
      <c r="U360" s="15" t="s">
        <v>11258</v>
      </c>
      <c r="V360" s="15" t="s">
        <v>11259</v>
      </c>
      <c r="W360" s="18"/>
      <c r="X360" s="15">
        <v>80.4</v>
      </c>
      <c r="Y360" s="15" t="s">
        <v>2795</v>
      </c>
      <c r="Z360" s="15">
        <v>8.29</v>
      </c>
      <c r="AA360" s="15">
        <v>7.81</v>
      </c>
      <c r="AB360" s="15" t="s">
        <v>2796</v>
      </c>
      <c r="AC360" s="15" t="s">
        <v>2796</v>
      </c>
      <c r="AD360" s="15" t="s">
        <v>2796</v>
      </c>
      <c r="AE360" s="15" t="s">
        <v>2796</v>
      </c>
      <c r="AF360" s="15">
        <v>6.63</v>
      </c>
      <c r="AG360" s="15">
        <v>7.9</v>
      </c>
      <c r="AH360" s="15">
        <v>53.54</v>
      </c>
      <c r="AI360" s="18"/>
      <c r="AJ360" s="15" t="s">
        <v>2787</v>
      </c>
      <c r="AK360" s="15" t="s">
        <v>2787</v>
      </c>
      <c r="AL360" s="15" t="s">
        <v>2796</v>
      </c>
      <c r="AM360" s="15" t="s">
        <v>2796</v>
      </c>
      <c r="AN360" s="15" t="s">
        <v>2797</v>
      </c>
      <c r="AO360" s="18"/>
      <c r="AP360" s="18"/>
      <c r="AQ360" s="15" t="s">
        <v>11260</v>
      </c>
      <c r="AR360" s="18"/>
      <c r="AS360" s="18"/>
      <c r="AT360" s="18"/>
      <c r="AU360" s="18"/>
      <c r="AV360" s="15" t="s">
        <v>11261</v>
      </c>
      <c r="AW360" s="15" t="s">
        <v>11262</v>
      </c>
      <c r="AX360" s="18"/>
      <c r="AY360" s="15" t="s">
        <v>11263</v>
      </c>
      <c r="AZ360" s="15" t="s">
        <v>5287</v>
      </c>
      <c r="BA360" s="15" t="s">
        <v>5929</v>
      </c>
      <c r="BB360" s="15" t="s">
        <v>11264</v>
      </c>
      <c r="BC360" s="15" t="s">
        <v>11265</v>
      </c>
      <c r="BD360" s="15" t="s">
        <v>2807</v>
      </c>
      <c r="BE360" s="15" t="s">
        <v>2796</v>
      </c>
      <c r="BF360" s="18"/>
      <c r="BG360" s="18"/>
      <c r="BH360" s="18"/>
      <c r="BI360" s="18"/>
      <c r="BJ360" s="19" t="s">
        <v>11266</v>
      </c>
      <c r="BK360" s="19" t="s">
        <v>11267</v>
      </c>
      <c r="BL360" s="18"/>
      <c r="BM360" s="18"/>
      <c r="BN360" s="19" t="s">
        <v>11268</v>
      </c>
      <c r="BO360" s="19" t="s">
        <v>11269</v>
      </c>
      <c r="BP360" s="19" t="s">
        <v>11270</v>
      </c>
      <c r="BQ360" s="15" t="s">
        <v>166</v>
      </c>
      <c r="BR360" s="26"/>
      <c r="BS360" s="26"/>
      <c r="BT360" s="26"/>
      <c r="BU360" s="26"/>
      <c r="BV360" s="26"/>
      <c r="BW360" s="26"/>
      <c r="BX360" s="26"/>
      <c r="BY360" s="18" t="str">
        <f t="shared" si="106"/>
        <v>IT</v>
      </c>
      <c r="BZ360" s="18" t="str">
        <f t="shared" si="100"/>
        <v/>
      </c>
      <c r="CA360" s="18" t="str">
        <f t="shared" si="101"/>
        <v/>
      </c>
      <c r="CB360" s="15" t="s">
        <v>2908</v>
      </c>
      <c r="CC360" s="15" t="s">
        <v>2908</v>
      </c>
      <c r="CD360" s="25" t="s">
        <v>2787</v>
      </c>
      <c r="CE360" s="18"/>
      <c r="CF360" s="18"/>
      <c r="CG360" s="18"/>
    </row>
    <row r="361" ht="18.75" hidden="1" customHeight="1">
      <c r="A361" s="14">
        <v>44735.968904548616</v>
      </c>
      <c r="B361" s="15" t="s">
        <v>2136</v>
      </c>
      <c r="C361" s="16" t="s">
        <v>11271</v>
      </c>
      <c r="D361" s="15" t="str">
        <f>IFERROR(__xludf.DUMMYFUNCTION("QUERY(TY_ALL_2023_Batch!$A$1:$E$824, ""SELECT E WHERE C='""&amp;B361&amp;""'"", 0)"),"IT")</f>
        <v>IT</v>
      </c>
      <c r="E361" s="15" t="s">
        <v>11272</v>
      </c>
      <c r="F361" s="18"/>
      <c r="G361" s="15" t="s">
        <v>5816</v>
      </c>
      <c r="H361" s="15" t="s">
        <v>2785</v>
      </c>
      <c r="I361" s="17">
        <v>36922.0</v>
      </c>
      <c r="J361" s="15">
        <v>2019.0</v>
      </c>
      <c r="K361" s="15" t="s">
        <v>2786</v>
      </c>
      <c r="L361" s="15" t="s">
        <v>2787</v>
      </c>
      <c r="M361" s="18"/>
      <c r="N361" s="15" t="s">
        <v>11273</v>
      </c>
      <c r="O361" s="15" t="s">
        <v>2136</v>
      </c>
      <c r="P361" s="19" t="s">
        <v>11274</v>
      </c>
      <c r="Q361" s="15">
        <v>7.006194941E9</v>
      </c>
      <c r="R361" s="15">
        <v>7.006194941E9</v>
      </c>
      <c r="S361" s="15">
        <v>7.006743429E9</v>
      </c>
      <c r="T361" s="15" t="s">
        <v>11275</v>
      </c>
      <c r="U361" s="15" t="s">
        <v>11276</v>
      </c>
      <c r="V361" s="15" t="s">
        <v>11277</v>
      </c>
      <c r="W361" s="15" t="s">
        <v>6235</v>
      </c>
      <c r="X361" s="15">
        <v>93.0</v>
      </c>
      <c r="Y361" s="15" t="s">
        <v>2795</v>
      </c>
      <c r="Z361" s="15">
        <v>9.76</v>
      </c>
      <c r="AA361" s="15">
        <v>9.33</v>
      </c>
      <c r="AB361" s="15" t="s">
        <v>2796</v>
      </c>
      <c r="AC361" s="15" t="s">
        <v>2796</v>
      </c>
      <c r="AD361" s="15" t="s">
        <v>2796</v>
      </c>
      <c r="AE361" s="15" t="s">
        <v>2796</v>
      </c>
      <c r="AF361" s="15">
        <v>9.0</v>
      </c>
      <c r="AG361" s="15">
        <v>9.24</v>
      </c>
      <c r="AH361" s="15">
        <v>71.0</v>
      </c>
      <c r="AI361" s="18"/>
      <c r="AJ361" s="15" t="s">
        <v>2787</v>
      </c>
      <c r="AK361" s="15" t="s">
        <v>2787</v>
      </c>
      <c r="AL361" s="15">
        <v>627.0</v>
      </c>
      <c r="AM361" s="15">
        <v>655.0</v>
      </c>
      <c r="AN361" s="15" t="s">
        <v>2797</v>
      </c>
      <c r="AO361" s="18"/>
      <c r="AP361" s="18"/>
      <c r="AQ361" s="15" t="s">
        <v>11278</v>
      </c>
      <c r="AR361" s="18"/>
      <c r="AS361" s="15" t="s">
        <v>11279</v>
      </c>
      <c r="AT361" s="18"/>
      <c r="AU361" s="18"/>
      <c r="AV361" s="15" t="s">
        <v>11280</v>
      </c>
      <c r="AW361" s="15" t="s">
        <v>11281</v>
      </c>
      <c r="AX361" s="18"/>
      <c r="AY361" s="15" t="s">
        <v>11282</v>
      </c>
      <c r="AZ361" s="15" t="s">
        <v>5260</v>
      </c>
      <c r="BA361" s="15" t="s">
        <v>8546</v>
      </c>
      <c r="BB361" s="15" t="s">
        <v>5673</v>
      </c>
      <c r="BC361" s="15" t="s">
        <v>5604</v>
      </c>
      <c r="BD361" s="15" t="s">
        <v>2807</v>
      </c>
      <c r="BE361" s="15" t="s">
        <v>2796</v>
      </c>
      <c r="BF361" s="18"/>
      <c r="BG361" s="18"/>
      <c r="BH361" s="18"/>
      <c r="BI361" s="18"/>
      <c r="BJ361" s="19" t="s">
        <v>11283</v>
      </c>
      <c r="BK361" s="19" t="s">
        <v>11284</v>
      </c>
      <c r="BL361" s="18"/>
      <c r="BM361" s="18"/>
      <c r="BN361" s="28" t="s">
        <v>2931</v>
      </c>
      <c r="BO361" s="19" t="s">
        <v>11285</v>
      </c>
      <c r="BP361" s="18"/>
      <c r="BQ361" s="15" t="s">
        <v>166</v>
      </c>
      <c r="BR361" s="26"/>
      <c r="BS361" s="26"/>
      <c r="BT361" s="26"/>
      <c r="BU361" s="26"/>
      <c r="BV361" s="26"/>
      <c r="BW361" s="26"/>
      <c r="BX361" s="26"/>
      <c r="BY361" s="18" t="str">
        <f t="shared" si="106"/>
        <v>IT</v>
      </c>
      <c r="BZ361" s="18" t="str">
        <f t="shared" si="100"/>
        <v/>
      </c>
      <c r="CA361" s="18" t="str">
        <f t="shared" si="101"/>
        <v/>
      </c>
      <c r="CB361" s="15" t="s">
        <v>2908</v>
      </c>
      <c r="CC361" s="15" t="s">
        <v>2908</v>
      </c>
      <c r="CD361" s="25" t="s">
        <v>2797</v>
      </c>
      <c r="CE361" s="18"/>
      <c r="CF361" s="18"/>
      <c r="CG361" s="18"/>
    </row>
    <row r="362" ht="18.75" hidden="1" customHeight="1">
      <c r="A362" s="14">
        <v>44734.92251719907</v>
      </c>
      <c r="B362" s="15" t="s">
        <v>2298</v>
      </c>
      <c r="C362" s="16" t="s">
        <v>11286</v>
      </c>
      <c r="D362" s="15" t="str">
        <f>IFERROR(__xludf.DUMMYFUNCTION("QUERY(TY_ALL_2023_Batch!$A$1:$E$824, ""SELECT E WHERE C='""&amp;B362&amp;""'"", 0)"),"IT")</f>
        <v>IT</v>
      </c>
      <c r="E362" s="15" t="s">
        <v>11287</v>
      </c>
      <c r="F362" s="15" t="s">
        <v>11288</v>
      </c>
      <c r="G362" s="15" t="s">
        <v>11289</v>
      </c>
      <c r="H362" s="15" t="s">
        <v>2785</v>
      </c>
      <c r="I362" s="17">
        <v>36865.0</v>
      </c>
      <c r="J362" s="15">
        <v>2019.0</v>
      </c>
      <c r="K362" s="15" t="s">
        <v>2786</v>
      </c>
      <c r="L362" s="15" t="s">
        <v>2787</v>
      </c>
      <c r="M362" s="18"/>
      <c r="N362" s="15" t="s">
        <v>11290</v>
      </c>
      <c r="O362" s="15" t="s">
        <v>2298</v>
      </c>
      <c r="P362" s="19" t="s">
        <v>11291</v>
      </c>
      <c r="Q362" s="15">
        <v>9.172888082E9</v>
      </c>
      <c r="R362" s="15">
        <v>9.172888082E9</v>
      </c>
      <c r="S362" s="15">
        <v>8.275550224E9</v>
      </c>
      <c r="T362" s="15" t="s">
        <v>11292</v>
      </c>
      <c r="U362" s="15" t="s">
        <v>11293</v>
      </c>
      <c r="V362" s="15" t="s">
        <v>11294</v>
      </c>
      <c r="W362" s="18"/>
      <c r="X362" s="15">
        <v>93.6</v>
      </c>
      <c r="Y362" s="15" t="s">
        <v>2795</v>
      </c>
      <c r="Z362" s="15">
        <v>8.29</v>
      </c>
      <c r="AA362" s="15">
        <v>7.71</v>
      </c>
      <c r="AB362" s="15" t="s">
        <v>2796</v>
      </c>
      <c r="AC362" s="15" t="s">
        <v>2796</v>
      </c>
      <c r="AD362" s="15" t="s">
        <v>2796</v>
      </c>
      <c r="AE362" s="15" t="s">
        <v>2796</v>
      </c>
      <c r="AF362" s="15">
        <v>7.89</v>
      </c>
      <c r="AG362" s="15">
        <v>8.24</v>
      </c>
      <c r="AH362" s="15">
        <v>62.77</v>
      </c>
      <c r="AI362" s="18"/>
      <c r="AJ362" s="15" t="s">
        <v>2787</v>
      </c>
      <c r="AK362" s="15" t="s">
        <v>2787</v>
      </c>
      <c r="AL362" s="18"/>
      <c r="AM362" s="18"/>
      <c r="AN362" s="15" t="s">
        <v>2787</v>
      </c>
      <c r="AO362" s="15" t="s">
        <v>11295</v>
      </c>
      <c r="AP362" s="15" t="s">
        <v>11296</v>
      </c>
      <c r="AQ362" s="15" t="s">
        <v>11297</v>
      </c>
      <c r="AR362" s="15" t="s">
        <v>11298</v>
      </c>
      <c r="AS362" s="15" t="s">
        <v>11299</v>
      </c>
      <c r="AT362" s="18"/>
      <c r="AU362" s="15" t="s">
        <v>11300</v>
      </c>
      <c r="AV362" s="15" t="s">
        <v>11301</v>
      </c>
      <c r="AW362" s="15" t="s">
        <v>11302</v>
      </c>
      <c r="AX362" s="15"/>
      <c r="AY362" s="15" t="s">
        <v>2796</v>
      </c>
      <c r="AZ362" s="15" t="s">
        <v>5335</v>
      </c>
      <c r="BA362" s="15" t="s">
        <v>2806</v>
      </c>
      <c r="BB362" s="15" t="s">
        <v>5523</v>
      </c>
      <c r="BC362" s="15" t="s">
        <v>3686</v>
      </c>
      <c r="BD362" s="15" t="s">
        <v>2807</v>
      </c>
      <c r="BE362" s="15" t="s">
        <v>2796</v>
      </c>
      <c r="BF362" s="18"/>
      <c r="BG362" s="18"/>
      <c r="BH362" s="15" t="s">
        <v>11303</v>
      </c>
      <c r="BI362" s="15" t="s">
        <v>11304</v>
      </c>
      <c r="BJ362" s="19" t="s">
        <v>11305</v>
      </c>
      <c r="BK362" s="19" t="s">
        <v>11306</v>
      </c>
      <c r="BL362" s="19" t="s">
        <v>11307</v>
      </c>
      <c r="BM362" s="19" t="s">
        <v>11308</v>
      </c>
      <c r="BN362" s="19" t="s">
        <v>11309</v>
      </c>
      <c r="BO362" s="19" t="s">
        <v>11310</v>
      </c>
      <c r="BP362" s="19" t="s">
        <v>11311</v>
      </c>
      <c r="BQ362" s="15" t="s">
        <v>166</v>
      </c>
      <c r="BR362" s="26"/>
      <c r="BS362" s="26"/>
      <c r="BT362" s="26"/>
      <c r="BU362" s="26"/>
      <c r="BV362" s="26"/>
      <c r="BW362" s="26"/>
      <c r="BX362" s="26"/>
      <c r="BY362" s="18" t="str">
        <f t="shared" si="106"/>
        <v>IT</v>
      </c>
      <c r="BZ362" s="24" t="str">
        <f t="shared" si="100"/>
        <v>https://drive.google.com/open?id=1zaZ6AhxkaFGXqTHkEeTLhZJEaZ1g_yPN</v>
      </c>
      <c r="CA362" s="24" t="str">
        <f t="shared" si="101"/>
        <v>https://drive.google.com/open?id=1s1GokcihHTh1T2YLIcOXKths4Kl6Y6ze</v>
      </c>
      <c r="CB362" s="15" t="s">
        <v>2821</v>
      </c>
      <c r="CC362" s="15" t="s">
        <v>2821</v>
      </c>
      <c r="CD362" s="25" t="s">
        <v>2797</v>
      </c>
      <c r="CE362" s="18"/>
      <c r="CF362" s="18"/>
      <c r="CG362" s="18"/>
    </row>
    <row r="363" ht="18.75" hidden="1" customHeight="1">
      <c r="A363" s="14">
        <v>44820.97709204861</v>
      </c>
      <c r="B363" s="15" t="s">
        <v>2148</v>
      </c>
      <c r="C363" s="16" t="s">
        <v>11312</v>
      </c>
      <c r="D363" s="15" t="str">
        <f>IFERROR(__xludf.DUMMYFUNCTION("QUERY(TY_ALL_2023_Batch!$A$1:$E$824, ""SELECT E WHERE C='""&amp;B363&amp;""'"", 0)"),"IT")</f>
        <v>IT</v>
      </c>
      <c r="E363" s="15" t="s">
        <v>5324</v>
      </c>
      <c r="F363" s="15" t="s">
        <v>8952</v>
      </c>
      <c r="G363" s="15" t="s">
        <v>11313</v>
      </c>
      <c r="H363" s="15" t="s">
        <v>2826</v>
      </c>
      <c r="I363" s="17">
        <v>37097.0</v>
      </c>
      <c r="J363" s="15">
        <v>2019.0</v>
      </c>
      <c r="K363" s="15" t="s">
        <v>2786</v>
      </c>
      <c r="L363" s="15" t="s">
        <v>2787</v>
      </c>
      <c r="M363" s="18"/>
      <c r="N363" s="15" t="s">
        <v>11314</v>
      </c>
      <c r="O363" s="15" t="s">
        <v>2148</v>
      </c>
      <c r="P363" s="19" t="s">
        <v>11315</v>
      </c>
      <c r="Q363" s="15">
        <v>8.308932669E9</v>
      </c>
      <c r="R363" s="15">
        <v>8.308932669E9</v>
      </c>
      <c r="S363" s="15">
        <v>9.689970448E9</v>
      </c>
      <c r="T363" s="15" t="s">
        <v>11316</v>
      </c>
      <c r="U363" s="15" t="s">
        <v>11317</v>
      </c>
      <c r="V363" s="15" t="s">
        <v>11318</v>
      </c>
      <c r="W363" s="18"/>
      <c r="X363" s="15">
        <v>93.0</v>
      </c>
      <c r="Y363" s="15" t="s">
        <v>2795</v>
      </c>
      <c r="Z363" s="15">
        <v>8.97</v>
      </c>
      <c r="AA363" s="15">
        <v>8.81</v>
      </c>
      <c r="AB363" s="15">
        <v>7.48</v>
      </c>
      <c r="AC363" s="15">
        <v>7.71</v>
      </c>
      <c r="AD363" s="15" t="s">
        <v>2796</v>
      </c>
      <c r="AE363" s="15" t="s">
        <v>2796</v>
      </c>
      <c r="AF363" s="15">
        <v>8.16</v>
      </c>
      <c r="AG363" s="15">
        <v>8.1</v>
      </c>
      <c r="AH363" s="15">
        <v>63.85</v>
      </c>
      <c r="AI363" s="18"/>
      <c r="AJ363" s="15" t="s">
        <v>2787</v>
      </c>
      <c r="AK363" s="15" t="s">
        <v>2787</v>
      </c>
      <c r="AL363" s="15">
        <v>635.0</v>
      </c>
      <c r="AM363" s="15">
        <v>593.33</v>
      </c>
      <c r="AN363" s="15" t="s">
        <v>2787</v>
      </c>
      <c r="AO363" s="18"/>
      <c r="AP363" s="15" t="s">
        <v>3275</v>
      </c>
      <c r="AQ363" s="15" t="s">
        <v>11319</v>
      </c>
      <c r="AR363" s="15" t="s">
        <v>11320</v>
      </c>
      <c r="AS363" s="15" t="s">
        <v>6143</v>
      </c>
      <c r="AT363" s="18"/>
      <c r="AU363" s="15" t="s">
        <v>11321</v>
      </c>
      <c r="AV363" s="15" t="s">
        <v>11322</v>
      </c>
      <c r="AW363" s="15" t="s">
        <v>11323</v>
      </c>
      <c r="AX363" s="18"/>
      <c r="AY363" s="15" t="s">
        <v>11324</v>
      </c>
      <c r="AZ363" s="15" t="s">
        <v>5287</v>
      </c>
      <c r="BA363" s="15" t="s">
        <v>5552</v>
      </c>
      <c r="BB363" s="15" t="s">
        <v>7462</v>
      </c>
      <c r="BC363" s="15" t="s">
        <v>11325</v>
      </c>
      <c r="BD363" s="15" t="s">
        <v>2807</v>
      </c>
      <c r="BE363" s="15" t="s">
        <v>11326</v>
      </c>
      <c r="BF363" s="18"/>
      <c r="BG363" s="18"/>
      <c r="BH363" s="15" t="s">
        <v>11327</v>
      </c>
      <c r="BI363" s="15" t="s">
        <v>11328</v>
      </c>
      <c r="BJ363" s="19" t="s">
        <v>11329</v>
      </c>
      <c r="BK363" s="19" t="s">
        <v>11330</v>
      </c>
      <c r="BL363" s="19" t="s">
        <v>11331</v>
      </c>
      <c r="BM363" s="19" t="s">
        <v>11332</v>
      </c>
      <c r="BN363" s="19" t="s">
        <v>11333</v>
      </c>
      <c r="BO363" s="19" t="s">
        <v>11334</v>
      </c>
      <c r="BP363" s="19" t="s">
        <v>11335</v>
      </c>
      <c r="BQ363" s="15" t="s">
        <v>166</v>
      </c>
      <c r="BR363" s="19" t="s">
        <v>11336</v>
      </c>
      <c r="BS363" s="26"/>
      <c r="BT363" s="19" t="s">
        <v>11337</v>
      </c>
      <c r="BU363" s="26"/>
      <c r="BV363" s="19" t="s">
        <v>11338</v>
      </c>
      <c r="BW363" s="15" t="s">
        <v>11339</v>
      </c>
      <c r="BX363" s="26"/>
      <c r="BY363" s="18" t="str">
        <f t="shared" si="106"/>
        <v>IT</v>
      </c>
      <c r="BZ363" s="24" t="str">
        <f t="shared" si="100"/>
        <v>https://drive.google.com/open?id=13Amy0uXnAPYnnR7euNdfKletoXmUOGnj</v>
      </c>
      <c r="CA363" s="24" t="str">
        <f t="shared" si="101"/>
        <v>https://drive.google.com/open?id=1lOWWDHUpZUG6phpoVZeXH6aA6SyDpvcg</v>
      </c>
      <c r="CB363" s="15" t="s">
        <v>2821</v>
      </c>
      <c r="CC363" s="15" t="s">
        <v>2821</v>
      </c>
      <c r="CD363" s="25" t="s">
        <v>2797</v>
      </c>
      <c r="CE363" s="18"/>
      <c r="CF363" s="18"/>
      <c r="CG363" s="18"/>
    </row>
    <row r="364" ht="18.75" hidden="1" customHeight="1">
      <c r="A364" s="14">
        <v>44735.886878634265</v>
      </c>
      <c r="B364" s="15" t="s">
        <v>2145</v>
      </c>
      <c r="C364" s="16" t="s">
        <v>11340</v>
      </c>
      <c r="D364" s="15" t="str">
        <f>IFERROR(__xludf.DUMMYFUNCTION("QUERY(TY_ALL_2023_Batch!$A$1:$E$824, ""SELECT E WHERE C='""&amp;B364&amp;""'"", 0)"),"IT")</f>
        <v>IT</v>
      </c>
      <c r="E364" s="15" t="s">
        <v>11341</v>
      </c>
      <c r="F364" s="15" t="s">
        <v>11342</v>
      </c>
      <c r="G364" s="15" t="s">
        <v>11343</v>
      </c>
      <c r="H364" s="15" t="s">
        <v>2826</v>
      </c>
      <c r="I364" s="17">
        <v>37210.0</v>
      </c>
      <c r="J364" s="15">
        <v>2019.0</v>
      </c>
      <c r="K364" s="15" t="s">
        <v>2786</v>
      </c>
      <c r="L364" s="15" t="s">
        <v>2787</v>
      </c>
      <c r="M364" s="18"/>
      <c r="N364" s="15" t="s">
        <v>11344</v>
      </c>
      <c r="O364" s="15" t="s">
        <v>2145</v>
      </c>
      <c r="P364" s="19" t="s">
        <v>11345</v>
      </c>
      <c r="Q364" s="15">
        <v>9.067588212E9</v>
      </c>
      <c r="R364" s="15">
        <v>9.067588212E9</v>
      </c>
      <c r="S364" s="15">
        <v>9.922564066E9</v>
      </c>
      <c r="T364" s="15" t="s">
        <v>11346</v>
      </c>
      <c r="U364" s="15" t="s">
        <v>11347</v>
      </c>
      <c r="V364" s="15" t="s">
        <v>11348</v>
      </c>
      <c r="W364" s="15" t="s">
        <v>11349</v>
      </c>
      <c r="X364" s="15">
        <v>83.0</v>
      </c>
      <c r="Y364" s="15" t="s">
        <v>2795</v>
      </c>
      <c r="Z364" s="15">
        <v>9.48</v>
      </c>
      <c r="AA364" s="15">
        <v>9.57</v>
      </c>
      <c r="AB364" s="15" t="s">
        <v>2796</v>
      </c>
      <c r="AC364" s="15" t="s">
        <v>2796</v>
      </c>
      <c r="AD364" s="15" t="s">
        <v>2796</v>
      </c>
      <c r="AE364" s="15" t="s">
        <v>2796</v>
      </c>
      <c r="AF364" s="15">
        <v>8.11</v>
      </c>
      <c r="AG364" s="15">
        <v>8.9</v>
      </c>
      <c r="AH364" s="15">
        <v>67.23</v>
      </c>
      <c r="AI364" s="18"/>
      <c r="AJ364" s="15" t="s">
        <v>2787</v>
      </c>
      <c r="AK364" s="15" t="s">
        <v>2787</v>
      </c>
      <c r="AL364" s="15">
        <v>641.66</v>
      </c>
      <c r="AM364" s="15">
        <v>668.3</v>
      </c>
      <c r="AN364" s="15" t="s">
        <v>2787</v>
      </c>
      <c r="AO364" s="18"/>
      <c r="AP364" s="15" t="s">
        <v>3385</v>
      </c>
      <c r="AQ364" s="15" t="s">
        <v>5356</v>
      </c>
      <c r="AR364" s="15" t="s">
        <v>11350</v>
      </c>
      <c r="AS364" s="15" t="s">
        <v>11351</v>
      </c>
      <c r="AT364" s="18"/>
      <c r="AU364" s="15" t="s">
        <v>11352</v>
      </c>
      <c r="AV364" s="15" t="s">
        <v>11353</v>
      </c>
      <c r="AW364" s="15" t="s">
        <v>11354</v>
      </c>
      <c r="AX364" s="18"/>
      <c r="AY364" s="15" t="s">
        <v>11355</v>
      </c>
      <c r="AZ364" s="15" t="s">
        <v>5287</v>
      </c>
      <c r="BA364" s="15" t="s">
        <v>11356</v>
      </c>
      <c r="BB364" s="15" t="s">
        <v>5603</v>
      </c>
      <c r="BC364" s="15" t="s">
        <v>11357</v>
      </c>
      <c r="BD364" s="15" t="s">
        <v>11358</v>
      </c>
      <c r="BE364" s="15" t="s">
        <v>11359</v>
      </c>
      <c r="BF364" s="18"/>
      <c r="BG364" s="18"/>
      <c r="BH364" s="18"/>
      <c r="BI364" s="18"/>
      <c r="BJ364" s="19" t="s">
        <v>11360</v>
      </c>
      <c r="BK364" s="19" t="s">
        <v>11361</v>
      </c>
      <c r="BL364" s="19" t="s">
        <v>11362</v>
      </c>
      <c r="BM364" s="19" t="s">
        <v>11363</v>
      </c>
      <c r="BN364" s="19" t="s">
        <v>11364</v>
      </c>
      <c r="BO364" s="19" t="s">
        <v>11365</v>
      </c>
      <c r="BP364" s="19" t="s">
        <v>11366</v>
      </c>
      <c r="BQ364" s="15" t="s">
        <v>166</v>
      </c>
      <c r="BR364" s="26"/>
      <c r="BS364" s="26"/>
      <c r="BT364" s="26"/>
      <c r="BU364" s="26"/>
      <c r="BV364" s="26"/>
      <c r="BW364" s="26"/>
      <c r="BX364" s="26"/>
      <c r="BY364" s="18" t="str">
        <f t="shared" si="106"/>
        <v>IT</v>
      </c>
      <c r="BZ364" s="24" t="str">
        <f t="shared" si="100"/>
        <v>https://drive.google.com/open?id=1W13jwKGGJMCeTeubHfHr9Q_R7eLlQfi3</v>
      </c>
      <c r="CA364" s="24" t="str">
        <f t="shared" si="101"/>
        <v>https://drive.google.com/open?id=1JajwLbDgf13G7fEVU3EDEUnK0VUWx2Ce</v>
      </c>
      <c r="CB364" s="15" t="s">
        <v>2821</v>
      </c>
      <c r="CC364" s="15" t="s">
        <v>2821</v>
      </c>
      <c r="CD364" s="25" t="s">
        <v>2797</v>
      </c>
      <c r="CE364" s="18"/>
      <c r="CF364" s="18"/>
      <c r="CG364" s="18"/>
    </row>
    <row r="365" ht="18.75" hidden="1" customHeight="1">
      <c r="A365" s="14">
        <v>44736.66332202546</v>
      </c>
      <c r="B365" s="15" t="s">
        <v>2217</v>
      </c>
      <c r="C365" s="16" t="s">
        <v>11367</v>
      </c>
      <c r="D365" s="15" t="str">
        <f>IFERROR(__xludf.DUMMYFUNCTION("QUERY(TY_ALL_2023_Batch!$A$1:$E$824, ""SELECT E WHERE C='""&amp;B365&amp;""'"", 0)"),"IT")</f>
        <v>IT</v>
      </c>
      <c r="E365" s="15" t="s">
        <v>5378</v>
      </c>
      <c r="F365" s="15" t="s">
        <v>11368</v>
      </c>
      <c r="G365" s="15" t="s">
        <v>11369</v>
      </c>
      <c r="H365" s="15" t="s">
        <v>2785</v>
      </c>
      <c r="I365" s="17">
        <v>36873.0</v>
      </c>
      <c r="J365" s="15">
        <v>2019.0</v>
      </c>
      <c r="K365" s="15" t="s">
        <v>2786</v>
      </c>
      <c r="L365" s="15" t="s">
        <v>2787</v>
      </c>
      <c r="M365" s="18"/>
      <c r="N365" s="15" t="s">
        <v>11370</v>
      </c>
      <c r="O365" s="15" t="s">
        <v>2217</v>
      </c>
      <c r="P365" s="19" t="s">
        <v>11371</v>
      </c>
      <c r="Q365" s="15">
        <v>7.507610921E9</v>
      </c>
      <c r="R365" s="15">
        <v>7.507610921E9</v>
      </c>
      <c r="S365" s="18"/>
      <c r="T365" s="15" t="s">
        <v>11372</v>
      </c>
      <c r="U365" s="15" t="s">
        <v>11373</v>
      </c>
      <c r="V365" s="15" t="s">
        <v>11374</v>
      </c>
      <c r="W365" s="15" t="s">
        <v>11375</v>
      </c>
      <c r="X365" s="15">
        <v>84.4</v>
      </c>
      <c r="Y365" s="15" t="s">
        <v>2795</v>
      </c>
      <c r="Z365" s="15">
        <v>8.52</v>
      </c>
      <c r="AA365" s="15">
        <v>8.52</v>
      </c>
      <c r="AB365" s="15" t="s">
        <v>2796</v>
      </c>
      <c r="AC365" s="15" t="s">
        <v>2796</v>
      </c>
      <c r="AD365" s="15" t="s">
        <v>2796</v>
      </c>
      <c r="AE365" s="15" t="s">
        <v>2796</v>
      </c>
      <c r="AF365" s="15">
        <v>7.86</v>
      </c>
      <c r="AG365" s="15">
        <v>7.86</v>
      </c>
      <c r="AH365" s="15">
        <v>65.69</v>
      </c>
      <c r="AI365" s="18"/>
      <c r="AJ365" s="15" t="s">
        <v>2787</v>
      </c>
      <c r="AK365" s="15" t="s">
        <v>2787</v>
      </c>
      <c r="AL365" s="15">
        <v>536.66</v>
      </c>
      <c r="AM365" s="15">
        <v>648.33</v>
      </c>
      <c r="AN365" s="15" t="s">
        <v>2797</v>
      </c>
      <c r="AO365" s="18"/>
      <c r="AP365" s="18"/>
      <c r="AQ365" s="15" t="s">
        <v>5356</v>
      </c>
      <c r="AR365" s="15" t="s">
        <v>11376</v>
      </c>
      <c r="AS365" s="15" t="s">
        <v>5256</v>
      </c>
      <c r="AT365" s="18"/>
      <c r="AU365" s="18"/>
      <c r="AV365" s="15" t="s">
        <v>11377</v>
      </c>
      <c r="AW365" s="15" t="s">
        <v>11378</v>
      </c>
      <c r="AX365" s="18"/>
      <c r="AY365" s="15" t="s">
        <v>11379</v>
      </c>
      <c r="AZ365" s="15" t="s">
        <v>5335</v>
      </c>
      <c r="BA365" s="15" t="s">
        <v>11380</v>
      </c>
      <c r="BB365" s="15" t="s">
        <v>7000</v>
      </c>
      <c r="BC365" s="15" t="s">
        <v>6333</v>
      </c>
      <c r="BD365" s="15" t="s">
        <v>3393</v>
      </c>
      <c r="BE365" s="15" t="s">
        <v>11381</v>
      </c>
      <c r="BF365" s="18"/>
      <c r="BG365" s="18"/>
      <c r="BH365" s="15" t="s">
        <v>11382</v>
      </c>
      <c r="BI365" s="15" t="s">
        <v>11383</v>
      </c>
      <c r="BJ365" s="19" t="s">
        <v>11384</v>
      </c>
      <c r="BK365" s="19" t="s">
        <v>11385</v>
      </c>
      <c r="BL365" s="19" t="s">
        <v>11386</v>
      </c>
      <c r="BM365" s="19" t="s">
        <v>11387</v>
      </c>
      <c r="BN365" s="19" t="s">
        <v>11388</v>
      </c>
      <c r="BO365" s="19" t="s">
        <v>11389</v>
      </c>
      <c r="BP365" s="19" t="s">
        <v>11390</v>
      </c>
      <c r="BQ365" s="15" t="s">
        <v>166</v>
      </c>
      <c r="BR365" s="26"/>
      <c r="BS365" s="26"/>
      <c r="BT365" s="26"/>
      <c r="BU365" s="19" t="s">
        <v>11391</v>
      </c>
      <c r="BV365" s="19" t="s">
        <v>11392</v>
      </c>
      <c r="BW365" s="15" t="s">
        <v>11393</v>
      </c>
      <c r="BX365" s="26"/>
      <c r="BY365" s="18" t="str">
        <f t="shared" si="106"/>
        <v>IT</v>
      </c>
      <c r="BZ365" s="24" t="str">
        <f t="shared" si="100"/>
        <v>https://drive.google.com/open?id=1BUG9oACrwqBrTgVVj91A_PojX2XqIA7J</v>
      </c>
      <c r="CA365" s="24" t="str">
        <f t="shared" si="101"/>
        <v>https://drive.google.com/open?id=1dtuJwrlQnogiTOuuNYNPwBATnpXGEfnh</v>
      </c>
      <c r="CB365" s="15" t="s">
        <v>2821</v>
      </c>
      <c r="CC365" s="15" t="s">
        <v>2821</v>
      </c>
      <c r="CD365" s="25" t="s">
        <v>2797</v>
      </c>
      <c r="CE365" s="18"/>
      <c r="CF365" s="18"/>
      <c r="CG365" s="18"/>
    </row>
    <row r="366" ht="18.75" hidden="1" customHeight="1">
      <c r="A366" s="14">
        <v>44742.93762413194</v>
      </c>
      <c r="B366" s="15" t="s">
        <v>2175</v>
      </c>
      <c r="C366" s="16" t="s">
        <v>11394</v>
      </c>
      <c r="D366" s="15" t="str">
        <f>IFERROR(__xludf.DUMMYFUNCTION("QUERY(TY_ALL_2023_Batch!$A$1:$E$824, ""SELECT E WHERE C='""&amp;B366&amp;""'"", 0)"),"IT")</f>
        <v>IT</v>
      </c>
      <c r="E366" s="15" t="s">
        <v>11395</v>
      </c>
      <c r="F366" s="15" t="s">
        <v>3806</v>
      </c>
      <c r="G366" s="15" t="s">
        <v>5457</v>
      </c>
      <c r="H366" s="15" t="s">
        <v>2785</v>
      </c>
      <c r="I366" s="17">
        <v>37063.0</v>
      </c>
      <c r="J366" s="15">
        <v>2019.0</v>
      </c>
      <c r="K366" s="15" t="s">
        <v>2786</v>
      </c>
      <c r="L366" s="15" t="s">
        <v>2787</v>
      </c>
      <c r="M366" s="18"/>
      <c r="N366" s="15" t="s">
        <v>11396</v>
      </c>
      <c r="O366" s="15" t="s">
        <v>11396</v>
      </c>
      <c r="P366" s="19" t="s">
        <v>11397</v>
      </c>
      <c r="Q366" s="15">
        <v>9.075978234E9</v>
      </c>
      <c r="R366" s="15">
        <v>9.075978234E9</v>
      </c>
      <c r="S366" s="15">
        <v>9.545972683E9</v>
      </c>
      <c r="T366" s="15" t="s">
        <v>3806</v>
      </c>
      <c r="U366" s="15" t="s">
        <v>4299</v>
      </c>
      <c r="V366" s="15" t="s">
        <v>11398</v>
      </c>
      <c r="W366" s="18"/>
      <c r="X366" s="15">
        <v>86.2</v>
      </c>
      <c r="Y366" s="15" t="s">
        <v>2795</v>
      </c>
      <c r="Z366" s="15">
        <v>8.42</v>
      </c>
      <c r="AA366" s="15">
        <v>8.95</v>
      </c>
      <c r="AB366" s="15" t="s">
        <v>2796</v>
      </c>
      <c r="AC366" s="15" t="s">
        <v>2796</v>
      </c>
      <c r="AD366" s="15" t="s">
        <v>2796</v>
      </c>
      <c r="AE366" s="15" t="s">
        <v>2796</v>
      </c>
      <c r="AF366" s="15">
        <v>8.15</v>
      </c>
      <c r="AG366" s="15">
        <v>9.38</v>
      </c>
      <c r="AH366" s="15">
        <v>70.77</v>
      </c>
      <c r="AI366" s="18"/>
      <c r="AJ366" s="15" t="s">
        <v>2787</v>
      </c>
      <c r="AK366" s="15" t="s">
        <v>2787</v>
      </c>
      <c r="AL366" s="15">
        <v>611.66</v>
      </c>
      <c r="AM366" s="15">
        <v>608.33</v>
      </c>
      <c r="AN366" s="15" t="s">
        <v>2797</v>
      </c>
      <c r="AO366" s="15" t="s">
        <v>2796</v>
      </c>
      <c r="AP366" s="15" t="s">
        <v>2796</v>
      </c>
      <c r="AQ366" s="15" t="s">
        <v>9389</v>
      </c>
      <c r="AR366" s="15" t="s">
        <v>11399</v>
      </c>
      <c r="AS366" s="18"/>
      <c r="AT366" s="18"/>
      <c r="AU366" s="18"/>
      <c r="AV366" s="15" t="s">
        <v>11400</v>
      </c>
      <c r="AW366" s="15" t="s">
        <v>11401</v>
      </c>
      <c r="AX366" s="18"/>
      <c r="AY366" s="15" t="s">
        <v>11402</v>
      </c>
      <c r="AZ366" s="15" t="s">
        <v>5335</v>
      </c>
      <c r="BA366" s="15" t="s">
        <v>5951</v>
      </c>
      <c r="BB366" s="15" t="s">
        <v>4554</v>
      </c>
      <c r="BC366" s="15" t="s">
        <v>3686</v>
      </c>
      <c r="BD366" s="15" t="s">
        <v>2807</v>
      </c>
      <c r="BE366" s="15" t="s">
        <v>2796</v>
      </c>
      <c r="BF366" s="18"/>
      <c r="BG366" s="18"/>
      <c r="BH366" s="18"/>
      <c r="BI366" s="15" t="s">
        <v>11403</v>
      </c>
      <c r="BJ366" s="19" t="s">
        <v>11404</v>
      </c>
      <c r="BK366" s="19" t="s">
        <v>11405</v>
      </c>
      <c r="BL366" s="19" t="s">
        <v>11406</v>
      </c>
      <c r="BM366" s="19" t="s">
        <v>11407</v>
      </c>
      <c r="BN366" s="18"/>
      <c r="BO366" s="19" t="s">
        <v>11408</v>
      </c>
      <c r="BP366" s="18"/>
      <c r="BQ366" s="15" t="s">
        <v>166</v>
      </c>
      <c r="BR366" s="26"/>
      <c r="BS366" s="26"/>
      <c r="BT366" s="19" t="s">
        <v>11409</v>
      </c>
      <c r="BU366" s="26"/>
      <c r="BV366" s="26"/>
      <c r="BW366" s="15" t="s">
        <v>11410</v>
      </c>
      <c r="BX366" s="26"/>
      <c r="BY366" s="18" t="str">
        <f t="shared" si="106"/>
        <v>IT</v>
      </c>
      <c r="BZ366" s="24" t="str">
        <f t="shared" si="100"/>
        <v>https://drive.google.com/open?id=1vXUoaoy6BPxHyCfODyLaoFMdeu3TKbs-</v>
      </c>
      <c r="CA366" s="24" t="str">
        <f t="shared" si="101"/>
        <v>https://drive.google.com/open?id=1Yf3jezDIzBv9CB0PSYQYC9X2G4LISFUl</v>
      </c>
      <c r="CB366" s="15" t="s">
        <v>2821</v>
      </c>
      <c r="CC366" s="15" t="s">
        <v>2821</v>
      </c>
      <c r="CD366" s="25" t="s">
        <v>2909</v>
      </c>
      <c r="CE366" s="18"/>
      <c r="CF366" s="18"/>
      <c r="CG366" s="18"/>
    </row>
    <row r="367" ht="18.75" hidden="1" customHeight="1">
      <c r="A367" s="14">
        <v>44739.94422965278</v>
      </c>
      <c r="B367" s="15" t="s">
        <v>2283</v>
      </c>
      <c r="C367" s="16" t="s">
        <v>11411</v>
      </c>
      <c r="D367" s="15" t="str">
        <f>IFERROR(__xludf.DUMMYFUNCTION("QUERY(TY_ALL_2023_Batch!$A$1:$E$824, ""SELECT E WHERE C='""&amp;B367&amp;""'"", 0)"),"IT")</f>
        <v>IT</v>
      </c>
      <c r="E367" s="15" t="s">
        <v>4616</v>
      </c>
      <c r="F367" s="18"/>
      <c r="G367" s="15" t="s">
        <v>11412</v>
      </c>
      <c r="H367" s="15" t="s">
        <v>2826</v>
      </c>
      <c r="I367" s="17">
        <v>37122.0</v>
      </c>
      <c r="J367" s="15">
        <v>2019.0</v>
      </c>
      <c r="K367" s="15" t="s">
        <v>2786</v>
      </c>
      <c r="L367" s="15" t="s">
        <v>2787</v>
      </c>
      <c r="M367" s="18"/>
      <c r="N367" s="15" t="s">
        <v>11413</v>
      </c>
      <c r="O367" s="15" t="s">
        <v>2283</v>
      </c>
      <c r="P367" s="19" t="s">
        <v>11414</v>
      </c>
      <c r="Q367" s="15">
        <v>9.413687626E9</v>
      </c>
      <c r="R367" s="15">
        <v>9.413687626E9</v>
      </c>
      <c r="S367" s="15">
        <v>8.209464804E9</v>
      </c>
      <c r="T367" s="15" t="s">
        <v>11415</v>
      </c>
      <c r="U367" s="15" t="s">
        <v>11416</v>
      </c>
      <c r="V367" s="15" t="s">
        <v>11417</v>
      </c>
      <c r="W367" s="18"/>
      <c r="X367" s="15">
        <v>81.7</v>
      </c>
      <c r="Y367" s="15" t="s">
        <v>2795</v>
      </c>
      <c r="Z367" s="15">
        <v>9.1</v>
      </c>
      <c r="AA367" s="15">
        <v>8.52</v>
      </c>
      <c r="AB367" s="15" t="s">
        <v>2796</v>
      </c>
      <c r="AC367" s="15" t="s">
        <v>2796</v>
      </c>
      <c r="AD367" s="15" t="s">
        <v>2796</v>
      </c>
      <c r="AE367" s="15" t="s">
        <v>2796</v>
      </c>
      <c r="AF367" s="15">
        <v>7.16</v>
      </c>
      <c r="AG367" s="15">
        <v>8.29</v>
      </c>
      <c r="AH367" s="15">
        <v>64.4</v>
      </c>
      <c r="AI367" s="18"/>
      <c r="AJ367" s="15" t="s">
        <v>2787</v>
      </c>
      <c r="AK367" s="15" t="s">
        <v>2787</v>
      </c>
      <c r="AL367" s="18"/>
      <c r="AM367" s="18"/>
      <c r="AN367" s="15" t="s">
        <v>2797</v>
      </c>
      <c r="AO367" s="18"/>
      <c r="AP367" s="18"/>
      <c r="AQ367" s="15" t="s">
        <v>5282</v>
      </c>
      <c r="AR367" s="15" t="s">
        <v>11418</v>
      </c>
      <c r="AS367" s="18"/>
      <c r="AT367" s="15" t="s">
        <v>11419</v>
      </c>
      <c r="AU367" s="18"/>
      <c r="AV367" s="15" t="s">
        <v>11420</v>
      </c>
      <c r="AW367" s="15" t="s">
        <v>11421</v>
      </c>
      <c r="AX367" s="18"/>
      <c r="AY367" s="15" t="s">
        <v>11422</v>
      </c>
      <c r="AZ367" s="15" t="s">
        <v>5287</v>
      </c>
      <c r="BA367" s="15" t="s">
        <v>6216</v>
      </c>
      <c r="BB367" s="15" t="s">
        <v>3514</v>
      </c>
      <c r="BC367" s="15" t="s">
        <v>11423</v>
      </c>
      <c r="BD367" s="15" t="s">
        <v>3393</v>
      </c>
      <c r="BE367" s="15" t="s">
        <v>11424</v>
      </c>
      <c r="BF367" s="18"/>
      <c r="BG367" s="18"/>
      <c r="BH367" s="15" t="s">
        <v>11425</v>
      </c>
      <c r="BI367" s="15" t="s">
        <v>11426</v>
      </c>
      <c r="BJ367" s="19" t="s">
        <v>11427</v>
      </c>
      <c r="BK367" s="19" t="s">
        <v>11428</v>
      </c>
      <c r="BL367" s="19" t="s">
        <v>11429</v>
      </c>
      <c r="BM367" s="19" t="s">
        <v>11430</v>
      </c>
      <c r="BN367" s="19" t="s">
        <v>11431</v>
      </c>
      <c r="BO367" s="19" t="s">
        <v>11432</v>
      </c>
      <c r="BP367" s="18"/>
      <c r="BQ367" s="15" t="s">
        <v>166</v>
      </c>
      <c r="BR367" s="18"/>
      <c r="BS367" s="18"/>
      <c r="BT367" s="18"/>
      <c r="BU367" s="18"/>
      <c r="BV367" s="18"/>
      <c r="BW367" s="15" t="s">
        <v>2796</v>
      </c>
      <c r="BX367" s="18"/>
      <c r="BY367" s="18" t="str">
        <f t="shared" si="106"/>
        <v>IT</v>
      </c>
      <c r="BZ367" s="24" t="str">
        <f t="shared" si="100"/>
        <v>https://drive.google.com/open?id=1Fsiki8KGWPehrxobl2QSGVq5ljbdSF0Y</v>
      </c>
      <c r="CA367" s="24" t="str">
        <f t="shared" si="101"/>
        <v>https://drive.google.com/open?id=1-iRK_k7ZDi1RBpp_vGRUZR5mhPcriExg</v>
      </c>
      <c r="CB367" s="15" t="s">
        <v>2821</v>
      </c>
      <c r="CC367" s="15" t="s">
        <v>2821</v>
      </c>
      <c r="CD367" s="25" t="s">
        <v>2797</v>
      </c>
      <c r="CE367" s="18"/>
      <c r="CF367" s="18"/>
      <c r="CG367" s="18"/>
    </row>
    <row r="368" ht="18.75" hidden="1" customHeight="1">
      <c r="A368" s="14">
        <v>44736.03213565973</v>
      </c>
      <c r="B368" s="15" t="s">
        <v>2112</v>
      </c>
      <c r="C368" s="16" t="s">
        <v>11433</v>
      </c>
      <c r="D368" s="15" t="str">
        <f>IFERROR(__xludf.DUMMYFUNCTION("QUERY(TY_ALL_2023_Batch!$A$1:$E$824, ""SELECT E WHERE C='""&amp;B368&amp;""'"", 0)"),"IT")</f>
        <v>IT</v>
      </c>
      <c r="E368" s="15" t="s">
        <v>8859</v>
      </c>
      <c r="F368" s="18"/>
      <c r="G368" s="15" t="s">
        <v>5816</v>
      </c>
      <c r="H368" s="15" t="s">
        <v>2785</v>
      </c>
      <c r="I368" s="17">
        <v>37082.0</v>
      </c>
      <c r="J368" s="15">
        <v>2019.0</v>
      </c>
      <c r="K368" s="15" t="s">
        <v>2786</v>
      </c>
      <c r="L368" s="15" t="s">
        <v>2787</v>
      </c>
      <c r="M368" s="18"/>
      <c r="N368" s="15" t="s">
        <v>11434</v>
      </c>
      <c r="O368" s="15" t="s">
        <v>2112</v>
      </c>
      <c r="P368" s="19" t="s">
        <v>11435</v>
      </c>
      <c r="Q368" s="15">
        <v>6.006021486E9</v>
      </c>
      <c r="R368" s="15">
        <v>6.006021486E9</v>
      </c>
      <c r="S368" s="15">
        <v>7.780936693E9</v>
      </c>
      <c r="T368" s="15" t="s">
        <v>11436</v>
      </c>
      <c r="U368" s="15" t="s">
        <v>11437</v>
      </c>
      <c r="V368" s="15" t="s">
        <v>11438</v>
      </c>
      <c r="W368" s="15" t="s">
        <v>11439</v>
      </c>
      <c r="X368" s="15">
        <v>82.0</v>
      </c>
      <c r="Y368" s="15" t="s">
        <v>2795</v>
      </c>
      <c r="Z368" s="15">
        <v>9.62</v>
      </c>
      <c r="AA368" s="15">
        <v>9.1</v>
      </c>
      <c r="AB368" s="15" t="s">
        <v>2796</v>
      </c>
      <c r="AC368" s="15" t="s">
        <v>2796</v>
      </c>
      <c r="AD368" s="15" t="s">
        <v>2796</v>
      </c>
      <c r="AE368" s="15" t="s">
        <v>2796</v>
      </c>
      <c r="AF368" s="15">
        <v>8.42</v>
      </c>
      <c r="AG368" s="15">
        <v>8.71</v>
      </c>
      <c r="AH368" s="15">
        <v>84.0</v>
      </c>
      <c r="AI368" s="18"/>
      <c r="AJ368" s="15" t="s">
        <v>2787</v>
      </c>
      <c r="AK368" s="15" t="s">
        <v>2787</v>
      </c>
      <c r="AL368" s="15">
        <v>89.66</v>
      </c>
      <c r="AM368" s="15">
        <v>95.0</v>
      </c>
      <c r="AN368" s="15" t="s">
        <v>2797</v>
      </c>
      <c r="AO368" s="18"/>
      <c r="AP368" s="18"/>
      <c r="AQ368" s="15" t="s">
        <v>5387</v>
      </c>
      <c r="AR368" s="15" t="s">
        <v>11440</v>
      </c>
      <c r="AS368" s="15" t="s">
        <v>11441</v>
      </c>
      <c r="AT368" s="18"/>
      <c r="AU368" s="15" t="s">
        <v>11442</v>
      </c>
      <c r="AV368" s="15" t="s">
        <v>11443</v>
      </c>
      <c r="AW368" s="15" t="s">
        <v>11444</v>
      </c>
      <c r="AX368" s="15" t="s">
        <v>6951</v>
      </c>
      <c r="AY368" s="15" t="s">
        <v>11445</v>
      </c>
      <c r="AZ368" s="15" t="s">
        <v>5287</v>
      </c>
      <c r="BA368" s="15" t="s">
        <v>11356</v>
      </c>
      <c r="BB368" s="15" t="s">
        <v>11446</v>
      </c>
      <c r="BC368" s="15" t="s">
        <v>11447</v>
      </c>
      <c r="BD368" s="15" t="s">
        <v>2807</v>
      </c>
      <c r="BE368" s="15" t="s">
        <v>11448</v>
      </c>
      <c r="BF368" s="15" t="s">
        <v>11449</v>
      </c>
      <c r="BG368" s="18"/>
      <c r="BH368" s="15" t="s">
        <v>11450</v>
      </c>
      <c r="BI368" s="15" t="s">
        <v>11451</v>
      </c>
      <c r="BJ368" s="19" t="s">
        <v>11452</v>
      </c>
      <c r="BK368" s="19" t="s">
        <v>11453</v>
      </c>
      <c r="BL368" s="18"/>
      <c r="BM368" s="18"/>
      <c r="BN368" s="19" t="s">
        <v>11454</v>
      </c>
      <c r="BO368" s="19" t="s">
        <v>11455</v>
      </c>
      <c r="BP368" s="19" t="s">
        <v>11456</v>
      </c>
      <c r="BQ368" s="15" t="s">
        <v>166</v>
      </c>
      <c r="BR368" s="26"/>
      <c r="BS368" s="26"/>
      <c r="BT368" s="26"/>
      <c r="BU368" s="26"/>
      <c r="BV368" s="26"/>
      <c r="BW368" s="26"/>
      <c r="BX368" s="26"/>
      <c r="BY368" s="18" t="str">
        <f t="shared" si="106"/>
        <v>IT</v>
      </c>
      <c r="BZ368" s="18" t="str">
        <f t="shared" si="100"/>
        <v/>
      </c>
      <c r="CA368" s="18" t="str">
        <f t="shared" si="101"/>
        <v/>
      </c>
      <c r="CB368" s="15" t="s">
        <v>2908</v>
      </c>
      <c r="CC368" s="15" t="s">
        <v>2908</v>
      </c>
      <c r="CD368" s="25" t="s">
        <v>2797</v>
      </c>
      <c r="CE368" s="18"/>
      <c r="CF368" s="18"/>
      <c r="CG368" s="18"/>
    </row>
    <row r="369" ht="18.75" hidden="1" customHeight="1">
      <c r="A369" s="14">
        <v>44739.89366085648</v>
      </c>
      <c r="B369" s="15" t="s">
        <v>2244</v>
      </c>
      <c r="C369" s="16" t="s">
        <v>11457</v>
      </c>
      <c r="D369" s="15" t="str">
        <f>IFERROR(__xludf.DUMMYFUNCTION("QUERY(TY_ALL_2023_Batch!$A$1:$E$824, ""SELECT E WHERE C='""&amp;B369&amp;""'"", 0)"),"IT")</f>
        <v>IT</v>
      </c>
      <c r="E369" s="15" t="s">
        <v>11458</v>
      </c>
      <c r="F369" s="18"/>
      <c r="G369" s="15" t="s">
        <v>4418</v>
      </c>
      <c r="H369" s="15" t="s">
        <v>2826</v>
      </c>
      <c r="I369" s="17">
        <v>36780.0</v>
      </c>
      <c r="J369" s="15">
        <v>2019.0</v>
      </c>
      <c r="K369" s="15" t="s">
        <v>2786</v>
      </c>
      <c r="L369" s="15" t="s">
        <v>2787</v>
      </c>
      <c r="M369" s="18"/>
      <c r="N369" s="15" t="s">
        <v>11459</v>
      </c>
      <c r="O369" s="15" t="s">
        <v>2244</v>
      </c>
      <c r="P369" s="19" t="s">
        <v>11460</v>
      </c>
      <c r="Q369" s="15">
        <v>9.506186497E9</v>
      </c>
      <c r="R369" s="15">
        <v>9.506186497E9</v>
      </c>
      <c r="S369" s="15">
        <v>9.660804662E9</v>
      </c>
      <c r="T369" s="15" t="s">
        <v>11461</v>
      </c>
      <c r="U369" s="15" t="s">
        <v>11462</v>
      </c>
      <c r="V369" s="15" t="s">
        <v>11463</v>
      </c>
      <c r="W369" s="18"/>
      <c r="X369" s="15">
        <v>87.6</v>
      </c>
      <c r="Y369" s="15" t="s">
        <v>2795</v>
      </c>
      <c r="Z369" s="15">
        <v>9.62</v>
      </c>
      <c r="AA369" s="15">
        <v>9.14</v>
      </c>
      <c r="AB369" s="15" t="s">
        <v>2796</v>
      </c>
      <c r="AC369" s="15" t="s">
        <v>2796</v>
      </c>
      <c r="AD369" s="15" t="s">
        <v>2796</v>
      </c>
      <c r="AE369" s="15" t="s">
        <v>2796</v>
      </c>
      <c r="AF369" s="15">
        <v>8.84</v>
      </c>
      <c r="AG369" s="15">
        <v>8.67</v>
      </c>
      <c r="AH369" s="15">
        <v>79.6</v>
      </c>
      <c r="AI369" s="18"/>
      <c r="AJ369" s="15" t="s">
        <v>2787</v>
      </c>
      <c r="AK369" s="15" t="s">
        <v>2787</v>
      </c>
      <c r="AL369" s="15">
        <v>92.0</v>
      </c>
      <c r="AM369" s="15">
        <v>79.0</v>
      </c>
      <c r="AN369" s="15" t="s">
        <v>2787</v>
      </c>
      <c r="AO369" s="15">
        <v>0.0</v>
      </c>
      <c r="AP369" s="15" t="s">
        <v>11464</v>
      </c>
      <c r="AQ369" s="15" t="s">
        <v>11465</v>
      </c>
      <c r="AR369" s="15" t="s">
        <v>11466</v>
      </c>
      <c r="AS369" s="15" t="s">
        <v>11467</v>
      </c>
      <c r="AT369" s="18"/>
      <c r="AU369" s="18"/>
      <c r="AV369" s="15" t="s">
        <v>11468</v>
      </c>
      <c r="AW369" s="15" t="s">
        <v>11469</v>
      </c>
      <c r="AX369" s="18"/>
      <c r="AY369" s="15" t="s">
        <v>11470</v>
      </c>
      <c r="AZ369" s="15" t="s">
        <v>5287</v>
      </c>
      <c r="BA369" s="15" t="s">
        <v>5552</v>
      </c>
      <c r="BB369" s="15" t="s">
        <v>7462</v>
      </c>
      <c r="BC369" s="15" t="s">
        <v>5394</v>
      </c>
      <c r="BD369" s="15" t="s">
        <v>2807</v>
      </c>
      <c r="BE369" s="15" t="s">
        <v>11471</v>
      </c>
      <c r="BF369" s="18"/>
      <c r="BG369" s="18"/>
      <c r="BH369" s="18"/>
      <c r="BI369" s="18"/>
      <c r="BJ369" s="19" t="s">
        <v>11472</v>
      </c>
      <c r="BK369" s="19" t="s">
        <v>11473</v>
      </c>
      <c r="BL369" s="19" t="s">
        <v>11474</v>
      </c>
      <c r="BM369" s="19" t="s">
        <v>11475</v>
      </c>
      <c r="BN369" s="19" t="s">
        <v>11476</v>
      </c>
      <c r="BO369" s="19" t="s">
        <v>11477</v>
      </c>
      <c r="BP369" s="19" t="s">
        <v>11478</v>
      </c>
      <c r="BQ369" s="15" t="s">
        <v>166</v>
      </c>
      <c r="BR369" s="26"/>
      <c r="BS369" s="26"/>
      <c r="BT369" s="19" t="s">
        <v>11479</v>
      </c>
      <c r="BU369" s="19" t="s">
        <v>11480</v>
      </c>
      <c r="BV369" s="19" t="s">
        <v>11481</v>
      </c>
      <c r="BW369" s="15" t="s">
        <v>11482</v>
      </c>
      <c r="BX369" s="26"/>
      <c r="BY369" s="18" t="str">
        <f t="shared" si="106"/>
        <v>IT</v>
      </c>
      <c r="BZ369" s="24" t="str">
        <f t="shared" si="100"/>
        <v>https://drive.google.com/open?id=1vv8hEbHArh2gxo4FIMIYRFA_GazWyK0-</v>
      </c>
      <c r="CA369" s="24" t="str">
        <f t="shared" si="101"/>
        <v>https://drive.google.com/open?id=1nBpwyVHCBSDbBk12kkvDguyBlQsk7Mcc</v>
      </c>
      <c r="CB369" s="15" t="s">
        <v>2821</v>
      </c>
      <c r="CC369" s="15" t="s">
        <v>2821</v>
      </c>
      <c r="CD369" s="25" t="s">
        <v>2909</v>
      </c>
      <c r="CE369" s="18"/>
      <c r="CF369" s="18"/>
      <c r="CG369" s="18"/>
    </row>
    <row r="370" ht="18.75" hidden="1" customHeight="1">
      <c r="A370" s="14">
        <v>44736.45973605324</v>
      </c>
      <c r="B370" s="15" t="s">
        <v>2154</v>
      </c>
      <c r="C370" s="16" t="s">
        <v>11483</v>
      </c>
      <c r="D370" s="15" t="str">
        <f>IFERROR(__xludf.DUMMYFUNCTION("QUERY(TY_ALL_2023_Batch!$A$1:$E$824, ""SELECT E WHERE C='""&amp;B370&amp;""'"", 0)"),"IT")</f>
        <v>IT</v>
      </c>
      <c r="E370" s="15" t="s">
        <v>11484</v>
      </c>
      <c r="F370" s="18"/>
      <c r="G370" s="15" t="s">
        <v>11485</v>
      </c>
      <c r="H370" s="15" t="s">
        <v>2826</v>
      </c>
      <c r="I370" s="17">
        <v>37181.0</v>
      </c>
      <c r="J370" s="15">
        <v>2019.0</v>
      </c>
      <c r="K370" s="15" t="s">
        <v>2786</v>
      </c>
      <c r="L370" s="15" t="s">
        <v>2787</v>
      </c>
      <c r="M370" s="18"/>
      <c r="N370" s="15" t="s">
        <v>11486</v>
      </c>
      <c r="O370" s="15" t="s">
        <v>2154</v>
      </c>
      <c r="P370" s="19" t="s">
        <v>11487</v>
      </c>
      <c r="Q370" s="15">
        <v>9.906608979E9</v>
      </c>
      <c r="R370" s="15">
        <v>9.906608979E9</v>
      </c>
      <c r="S370" s="15">
        <v>6.005452639E9</v>
      </c>
      <c r="T370" s="15" t="s">
        <v>11488</v>
      </c>
      <c r="U370" s="15" t="s">
        <v>11489</v>
      </c>
      <c r="V370" s="15" t="s">
        <v>11490</v>
      </c>
      <c r="W370" s="15" t="s">
        <v>11491</v>
      </c>
      <c r="X370" s="15">
        <v>91.8</v>
      </c>
      <c r="Y370" s="15" t="s">
        <v>2795</v>
      </c>
      <c r="Z370" s="15">
        <v>8.81</v>
      </c>
      <c r="AA370" s="15">
        <v>8.81</v>
      </c>
      <c r="AB370" s="15" t="s">
        <v>2796</v>
      </c>
      <c r="AC370" s="15" t="s">
        <v>2796</v>
      </c>
      <c r="AD370" s="15" t="s">
        <v>2796</v>
      </c>
      <c r="AE370" s="15" t="s">
        <v>2796</v>
      </c>
      <c r="AF370" s="15">
        <v>7.61</v>
      </c>
      <c r="AG370" s="15">
        <v>7.12</v>
      </c>
      <c r="AH370" s="15">
        <v>87.0</v>
      </c>
      <c r="AI370" s="18"/>
      <c r="AJ370" s="15" t="s">
        <v>2787</v>
      </c>
      <c r="AK370" s="15" t="s">
        <v>2787</v>
      </c>
      <c r="AL370" s="15" t="s">
        <v>11492</v>
      </c>
      <c r="AM370" s="15" t="s">
        <v>11493</v>
      </c>
      <c r="AN370" s="15" t="s">
        <v>2787</v>
      </c>
      <c r="AO370" s="15" t="s">
        <v>2796</v>
      </c>
      <c r="AP370" s="15" t="s">
        <v>11494</v>
      </c>
      <c r="AQ370" s="15" t="s">
        <v>11495</v>
      </c>
      <c r="AR370" s="15" t="s">
        <v>11496</v>
      </c>
      <c r="AS370" s="15" t="s">
        <v>11497</v>
      </c>
      <c r="AT370" s="15" t="s">
        <v>2796</v>
      </c>
      <c r="AU370" s="15" t="s">
        <v>2796</v>
      </c>
      <c r="AV370" s="15" t="s">
        <v>11498</v>
      </c>
      <c r="AW370" s="15" t="s">
        <v>11499</v>
      </c>
      <c r="AX370" s="15" t="s">
        <v>2796</v>
      </c>
      <c r="AY370" s="15" t="s">
        <v>11500</v>
      </c>
      <c r="AZ370" s="15" t="s">
        <v>5287</v>
      </c>
      <c r="BA370" s="15" t="s">
        <v>2806</v>
      </c>
      <c r="BB370" s="15" t="s">
        <v>3514</v>
      </c>
      <c r="BC370" s="15" t="s">
        <v>3686</v>
      </c>
      <c r="BD370" s="15" t="s">
        <v>2807</v>
      </c>
      <c r="BE370" s="15" t="s">
        <v>11501</v>
      </c>
      <c r="BF370" s="15" t="s">
        <v>11502</v>
      </c>
      <c r="BG370" s="15" t="s">
        <v>11503</v>
      </c>
      <c r="BH370" s="15" t="s">
        <v>11504</v>
      </c>
      <c r="BI370" s="15" t="s">
        <v>11505</v>
      </c>
      <c r="BJ370" s="19" t="s">
        <v>11506</v>
      </c>
      <c r="BK370" s="19" t="s">
        <v>11507</v>
      </c>
      <c r="BL370" s="19" t="s">
        <v>11508</v>
      </c>
      <c r="BM370" s="19" t="s">
        <v>11509</v>
      </c>
      <c r="BN370" s="19" t="s">
        <v>11510</v>
      </c>
      <c r="BO370" s="19" t="s">
        <v>11511</v>
      </c>
      <c r="BP370" s="19" t="s">
        <v>11512</v>
      </c>
      <c r="BQ370" s="15" t="s">
        <v>166</v>
      </c>
      <c r="BR370" s="26"/>
      <c r="BS370" s="26"/>
      <c r="BT370" s="26"/>
      <c r="BU370" s="26"/>
      <c r="BV370" s="26"/>
      <c r="BW370" s="26"/>
      <c r="BX370" s="26"/>
      <c r="BY370" s="18" t="str">
        <f t="shared" si="106"/>
        <v>IT</v>
      </c>
      <c r="BZ370" s="24" t="str">
        <f t="shared" si="100"/>
        <v>https://drive.google.com/open?id=1citbGfsiCwjM5WyzxQsoqtx8cK0wxAeL</v>
      </c>
      <c r="CA370" s="24" t="str">
        <f t="shared" si="101"/>
        <v>https://drive.google.com/open?id=1b4LejSpqiFeNkoTDxXNzQegv5wE_VcOL</v>
      </c>
      <c r="CB370" s="15" t="s">
        <v>2821</v>
      </c>
      <c r="CC370" s="15" t="s">
        <v>2821</v>
      </c>
      <c r="CD370" s="25" t="s">
        <v>2797</v>
      </c>
      <c r="CE370" s="18"/>
      <c r="CF370" s="18"/>
      <c r="CG370" s="18"/>
    </row>
    <row r="371" ht="18.75" hidden="1" customHeight="1">
      <c r="A371" s="14">
        <v>44735.388163888885</v>
      </c>
      <c r="B371" s="15" t="s">
        <v>2103</v>
      </c>
      <c r="C371" s="16" t="s">
        <v>11513</v>
      </c>
      <c r="D371" s="15" t="str">
        <f>IFERROR(__xludf.DUMMYFUNCTION("QUERY(TY_ALL_2023_Batch!$A$1:$E$824, ""SELECT E WHERE C='""&amp;B371&amp;""'"", 0)"),"IT")</f>
        <v>IT</v>
      </c>
      <c r="E371" s="15" t="s">
        <v>3328</v>
      </c>
      <c r="F371" s="18"/>
      <c r="G371" s="15" t="s">
        <v>11514</v>
      </c>
      <c r="H371" s="15" t="s">
        <v>2785</v>
      </c>
      <c r="I371" s="17">
        <v>37043.0</v>
      </c>
      <c r="J371" s="15">
        <v>2019.0</v>
      </c>
      <c r="K371" s="15" t="s">
        <v>2786</v>
      </c>
      <c r="L371" s="15" t="s">
        <v>2787</v>
      </c>
      <c r="M371" s="18"/>
      <c r="N371" s="15" t="s">
        <v>11515</v>
      </c>
      <c r="O371" s="15" t="s">
        <v>2103</v>
      </c>
      <c r="P371" s="19" t="s">
        <v>11516</v>
      </c>
      <c r="Q371" s="15">
        <v>9.890082434E9</v>
      </c>
      <c r="R371" s="15">
        <v>9.890082434E9</v>
      </c>
      <c r="S371" s="18"/>
      <c r="T371" s="15" t="s">
        <v>4134</v>
      </c>
      <c r="U371" s="15" t="s">
        <v>4451</v>
      </c>
      <c r="V371" s="15" t="s">
        <v>11517</v>
      </c>
      <c r="W371" s="18"/>
      <c r="X371" s="15">
        <v>95.0</v>
      </c>
      <c r="Y371" s="15" t="s">
        <v>2795</v>
      </c>
      <c r="Z371" s="15">
        <v>9.19</v>
      </c>
      <c r="AA371" s="15">
        <v>8.76</v>
      </c>
      <c r="AB371" s="15">
        <v>8.76</v>
      </c>
      <c r="AC371" s="15">
        <v>9.2</v>
      </c>
      <c r="AD371" s="15" t="s">
        <v>2796</v>
      </c>
      <c r="AE371" s="15" t="s">
        <v>2796</v>
      </c>
      <c r="AF371" s="15">
        <v>9.26</v>
      </c>
      <c r="AG371" s="15">
        <v>8.71</v>
      </c>
      <c r="AH371" s="15">
        <v>87.0</v>
      </c>
      <c r="AI371" s="18"/>
      <c r="AJ371" s="15" t="s">
        <v>2787</v>
      </c>
      <c r="AK371" s="15" t="s">
        <v>2787</v>
      </c>
      <c r="AL371" s="15">
        <v>594.0</v>
      </c>
      <c r="AM371" s="15">
        <v>621.0</v>
      </c>
      <c r="AN371" s="15" t="s">
        <v>2797</v>
      </c>
      <c r="AO371" s="15" t="s">
        <v>2796</v>
      </c>
      <c r="AP371" s="15" t="s">
        <v>2796</v>
      </c>
      <c r="AQ371" s="15" t="s">
        <v>11518</v>
      </c>
      <c r="AR371" s="15" t="s">
        <v>11519</v>
      </c>
      <c r="AS371" s="15" t="s">
        <v>11520</v>
      </c>
      <c r="AT371" s="18"/>
      <c r="AU371" s="15" t="s">
        <v>11521</v>
      </c>
      <c r="AV371" s="15" t="s">
        <v>11522</v>
      </c>
      <c r="AW371" s="15" t="s">
        <v>11523</v>
      </c>
      <c r="AX371" s="15" t="s">
        <v>11524</v>
      </c>
      <c r="AY371" s="15" t="s">
        <v>11525</v>
      </c>
      <c r="AZ371" s="15" t="s">
        <v>5287</v>
      </c>
      <c r="BA371" s="15" t="s">
        <v>5392</v>
      </c>
      <c r="BB371" s="15" t="s">
        <v>11526</v>
      </c>
      <c r="BC371" s="15" t="s">
        <v>6148</v>
      </c>
      <c r="BD371" s="15" t="s">
        <v>2807</v>
      </c>
      <c r="BE371" s="15" t="s">
        <v>11527</v>
      </c>
      <c r="BF371" s="15" t="s">
        <v>11528</v>
      </c>
      <c r="BG371" s="15" t="s">
        <v>11529</v>
      </c>
      <c r="BH371" s="15" t="s">
        <v>11530</v>
      </c>
      <c r="BI371" s="15" t="s">
        <v>11531</v>
      </c>
      <c r="BJ371" s="19" t="s">
        <v>11532</v>
      </c>
      <c r="BK371" s="19" t="s">
        <v>11533</v>
      </c>
      <c r="BL371" s="19" t="s">
        <v>11534</v>
      </c>
      <c r="BM371" s="19" t="s">
        <v>11535</v>
      </c>
      <c r="BN371" s="19" t="s">
        <v>11536</v>
      </c>
      <c r="BO371" s="19" t="s">
        <v>11537</v>
      </c>
      <c r="BP371" s="19" t="s">
        <v>11538</v>
      </c>
      <c r="BQ371" s="15" t="s">
        <v>166</v>
      </c>
      <c r="BR371" s="26"/>
      <c r="BS371" s="26"/>
      <c r="BT371" s="26"/>
      <c r="BU371" s="26"/>
      <c r="BV371" s="26"/>
      <c r="BW371" s="26"/>
      <c r="BX371" s="26"/>
      <c r="BY371" s="18" t="str">
        <f t="shared" si="106"/>
        <v>IT</v>
      </c>
      <c r="BZ371" s="24" t="str">
        <f t="shared" si="100"/>
        <v>https://drive.google.com/open?id=1QsqvO9xu0SxFBz30tqKe_9BC9vHMTmCX</v>
      </c>
      <c r="CA371" s="24" t="str">
        <f t="shared" si="101"/>
        <v>https://drive.google.com/open?id=1Zm3eEQcfLhulqzP7YyIIu2mdj-LWjzDT</v>
      </c>
      <c r="CB371" s="15" t="s">
        <v>2821</v>
      </c>
      <c r="CC371" s="15" t="s">
        <v>2821</v>
      </c>
      <c r="CD371" s="25" t="s">
        <v>2797</v>
      </c>
      <c r="CE371" s="18"/>
      <c r="CF371" s="18"/>
      <c r="CG371" s="18"/>
    </row>
    <row r="372" ht="18.75" hidden="1" customHeight="1">
      <c r="A372" s="14">
        <v>44742.8954990625</v>
      </c>
      <c r="B372" s="15" t="s">
        <v>2187</v>
      </c>
      <c r="C372" s="16" t="s">
        <v>11539</v>
      </c>
      <c r="D372" s="15" t="str">
        <f>IFERROR(__xludf.DUMMYFUNCTION("QUERY(TY_ALL_2023_Batch!$A$1:$E$824, ""SELECT E WHERE C='""&amp;B372&amp;""'"", 0)"),"IT")</f>
        <v>IT</v>
      </c>
      <c r="E372" s="15" t="s">
        <v>11540</v>
      </c>
      <c r="F372" s="15" t="s">
        <v>6868</v>
      </c>
      <c r="G372" s="15" t="s">
        <v>5539</v>
      </c>
      <c r="H372" s="15" t="s">
        <v>2826</v>
      </c>
      <c r="I372" s="17">
        <v>37246.0</v>
      </c>
      <c r="J372" s="15">
        <v>2019.0</v>
      </c>
      <c r="K372" s="15" t="s">
        <v>2786</v>
      </c>
      <c r="L372" s="15" t="s">
        <v>2787</v>
      </c>
      <c r="M372" s="18"/>
      <c r="N372" s="15" t="s">
        <v>11541</v>
      </c>
      <c r="O372" s="15" t="s">
        <v>2187</v>
      </c>
      <c r="P372" s="19" t="s">
        <v>11542</v>
      </c>
      <c r="Q372" s="15">
        <v>9.075744316E9</v>
      </c>
      <c r="R372" s="15">
        <v>9.075744316E9</v>
      </c>
      <c r="S372" s="15">
        <v>9.075744316E9</v>
      </c>
      <c r="T372" s="15" t="s">
        <v>11543</v>
      </c>
      <c r="U372" s="15" t="s">
        <v>11544</v>
      </c>
      <c r="V372" s="15" t="s">
        <v>11545</v>
      </c>
      <c r="W372" s="15" t="s">
        <v>11546</v>
      </c>
      <c r="X372" s="15">
        <v>91.3</v>
      </c>
      <c r="Y372" s="15" t="s">
        <v>2795</v>
      </c>
      <c r="Z372" s="15">
        <v>8.38</v>
      </c>
      <c r="AA372" s="15">
        <v>7.05</v>
      </c>
      <c r="AB372" s="15" t="s">
        <v>2796</v>
      </c>
      <c r="AC372" s="15" t="s">
        <v>2796</v>
      </c>
      <c r="AD372" s="15" t="s">
        <v>2796</v>
      </c>
      <c r="AE372" s="15" t="s">
        <v>2796</v>
      </c>
      <c r="AF372" s="15">
        <v>8.84</v>
      </c>
      <c r="AG372" s="15">
        <v>7.38</v>
      </c>
      <c r="AH372" s="15">
        <v>69.69</v>
      </c>
      <c r="AI372" s="18"/>
      <c r="AJ372" s="15" t="s">
        <v>2787</v>
      </c>
      <c r="AK372" s="15" t="s">
        <v>2787</v>
      </c>
      <c r="AL372" s="15">
        <v>486.66</v>
      </c>
      <c r="AM372" s="15">
        <v>650.0</v>
      </c>
      <c r="AN372" s="15" t="s">
        <v>2797</v>
      </c>
      <c r="AO372" s="18"/>
      <c r="AP372" s="18"/>
      <c r="AQ372" s="15" t="s">
        <v>5356</v>
      </c>
      <c r="AR372" s="18"/>
      <c r="AS372" s="18"/>
      <c r="AT372" s="18"/>
      <c r="AU372" s="15" t="s">
        <v>11547</v>
      </c>
      <c r="AV372" s="15" t="s">
        <v>11548</v>
      </c>
      <c r="AW372" s="15" t="s">
        <v>11549</v>
      </c>
      <c r="AX372" s="18"/>
      <c r="AY372" s="15" t="s">
        <v>11550</v>
      </c>
      <c r="AZ372" s="15" t="s">
        <v>5287</v>
      </c>
      <c r="BA372" s="15" t="s">
        <v>5870</v>
      </c>
      <c r="BB372" s="15" t="s">
        <v>7462</v>
      </c>
      <c r="BC372" s="15" t="s">
        <v>3686</v>
      </c>
      <c r="BD372" s="15" t="s">
        <v>2842</v>
      </c>
      <c r="BE372" s="15" t="s">
        <v>2796</v>
      </c>
      <c r="BF372" s="15" t="s">
        <v>2796</v>
      </c>
      <c r="BG372" s="15" t="s">
        <v>2796</v>
      </c>
      <c r="BH372" s="15" t="s">
        <v>11551</v>
      </c>
      <c r="BI372" s="15" t="s">
        <v>6776</v>
      </c>
      <c r="BJ372" s="19" t="s">
        <v>11552</v>
      </c>
      <c r="BK372" s="19" t="s">
        <v>11553</v>
      </c>
      <c r="BL372" s="19" t="s">
        <v>11554</v>
      </c>
      <c r="BM372" s="19" t="s">
        <v>11555</v>
      </c>
      <c r="BN372" s="19" t="s">
        <v>11556</v>
      </c>
      <c r="BO372" s="19" t="s">
        <v>11557</v>
      </c>
      <c r="BP372" s="18"/>
      <c r="BQ372" s="15" t="s">
        <v>166</v>
      </c>
      <c r="BR372" s="18"/>
      <c r="BS372" s="18"/>
      <c r="BT372" s="19" t="s">
        <v>11558</v>
      </c>
      <c r="BU372" s="19" t="s">
        <v>11559</v>
      </c>
      <c r="BV372" s="19" t="s">
        <v>11560</v>
      </c>
      <c r="BW372" s="15" t="s">
        <v>11561</v>
      </c>
      <c r="BX372" s="18"/>
      <c r="BY372" s="18" t="str">
        <f t="shared" si="106"/>
        <v>IT</v>
      </c>
      <c r="BZ372" s="24" t="str">
        <f t="shared" si="100"/>
        <v>https://drive.google.com/open?id=1TclLHYwOFi3utFunXPGK1JrwuS_3NBhB</v>
      </c>
      <c r="CA372" s="24" t="str">
        <f t="shared" si="101"/>
        <v>https://drive.google.com/open?id=1wwOanonrrnzgiFPou0mhclNku2uAeWqC</v>
      </c>
      <c r="CB372" s="15" t="s">
        <v>2821</v>
      </c>
      <c r="CC372" s="15" t="s">
        <v>2821</v>
      </c>
      <c r="CD372" s="25" t="s">
        <v>2909</v>
      </c>
      <c r="CE372" s="18"/>
      <c r="CF372" s="18"/>
      <c r="CG372" s="18"/>
    </row>
    <row r="373" ht="18.75" hidden="1" customHeight="1">
      <c r="A373" s="14">
        <v>44741.70703640046</v>
      </c>
      <c r="B373" s="15" t="s">
        <v>2142</v>
      </c>
      <c r="C373" s="16" t="s">
        <v>11562</v>
      </c>
      <c r="D373" s="15" t="str">
        <f>IFERROR(__xludf.DUMMYFUNCTION("QUERY(TY_ALL_2023_Batch!$A$1:$E$824, ""SELECT E WHERE C='""&amp;B373&amp;""'"", 0)"),"IT")</f>
        <v>IT</v>
      </c>
      <c r="E373" s="15" t="s">
        <v>11563</v>
      </c>
      <c r="F373" s="15" t="s">
        <v>11564</v>
      </c>
      <c r="G373" s="15" t="s">
        <v>7179</v>
      </c>
      <c r="H373" s="15" t="s">
        <v>2785</v>
      </c>
      <c r="I373" s="17">
        <v>36983.0</v>
      </c>
      <c r="J373" s="15">
        <v>2019.0</v>
      </c>
      <c r="K373" s="15" t="s">
        <v>2786</v>
      </c>
      <c r="L373" s="15" t="s">
        <v>2787</v>
      </c>
      <c r="M373" s="18"/>
      <c r="N373" s="15" t="s">
        <v>11565</v>
      </c>
      <c r="O373" s="15" t="s">
        <v>2142</v>
      </c>
      <c r="P373" s="19" t="s">
        <v>11566</v>
      </c>
      <c r="Q373" s="15">
        <v>9.307461262E9</v>
      </c>
      <c r="R373" s="15">
        <v>9.307461262E9</v>
      </c>
      <c r="S373" s="15">
        <v>7.378933614E9</v>
      </c>
      <c r="T373" s="15" t="s">
        <v>11564</v>
      </c>
      <c r="U373" s="15" t="s">
        <v>11567</v>
      </c>
      <c r="V373" s="15" t="s">
        <v>11568</v>
      </c>
      <c r="W373" s="15" t="s">
        <v>4453</v>
      </c>
      <c r="X373" s="15">
        <v>89.4</v>
      </c>
      <c r="Y373" s="15" t="s">
        <v>2795</v>
      </c>
      <c r="Z373" s="15">
        <v>9.1</v>
      </c>
      <c r="AA373" s="15">
        <v>8.15</v>
      </c>
      <c r="AB373" s="15" t="s">
        <v>2796</v>
      </c>
      <c r="AC373" s="15" t="s">
        <v>2796</v>
      </c>
      <c r="AD373" s="15" t="s">
        <v>2796</v>
      </c>
      <c r="AE373" s="15" t="s">
        <v>2796</v>
      </c>
      <c r="AF373" s="15">
        <v>6.9</v>
      </c>
      <c r="AG373" s="15">
        <v>8.05</v>
      </c>
      <c r="AH373" s="15">
        <v>70.77</v>
      </c>
      <c r="AI373" s="18"/>
      <c r="AJ373" s="15" t="s">
        <v>2787</v>
      </c>
      <c r="AK373" s="15" t="s">
        <v>2787</v>
      </c>
      <c r="AL373" s="15">
        <v>92.33</v>
      </c>
      <c r="AM373" s="15">
        <v>96.0</v>
      </c>
      <c r="AN373" s="15" t="s">
        <v>2787</v>
      </c>
      <c r="AO373" s="15" t="s">
        <v>11569</v>
      </c>
      <c r="AP373" s="15" t="s">
        <v>11570</v>
      </c>
      <c r="AQ373" s="15" t="s">
        <v>5356</v>
      </c>
      <c r="AR373" s="15" t="s">
        <v>11571</v>
      </c>
      <c r="AS373" s="18"/>
      <c r="AT373" s="18"/>
      <c r="AU373" s="15" t="s">
        <v>11572</v>
      </c>
      <c r="AV373" s="15" t="s">
        <v>11573</v>
      </c>
      <c r="AW373" s="15" t="s">
        <v>11574</v>
      </c>
      <c r="AX373" s="18"/>
      <c r="AY373" s="15" t="s">
        <v>11575</v>
      </c>
      <c r="AZ373" s="15" t="s">
        <v>5287</v>
      </c>
      <c r="BA373" s="15" t="s">
        <v>5552</v>
      </c>
      <c r="BB373" s="15" t="s">
        <v>11576</v>
      </c>
      <c r="BC373" s="15" t="s">
        <v>11577</v>
      </c>
      <c r="BD373" s="15" t="s">
        <v>2807</v>
      </c>
      <c r="BE373" s="15" t="s">
        <v>11578</v>
      </c>
      <c r="BF373" s="18"/>
      <c r="BG373" s="18"/>
      <c r="BH373" s="15" t="s">
        <v>11579</v>
      </c>
      <c r="BI373" s="15" t="s">
        <v>11580</v>
      </c>
      <c r="BJ373" s="19" t="s">
        <v>11581</v>
      </c>
      <c r="BK373" s="19" t="s">
        <v>11582</v>
      </c>
      <c r="BL373" s="19" t="s">
        <v>11583</v>
      </c>
      <c r="BM373" s="20" t="s">
        <v>11584</v>
      </c>
      <c r="BN373" s="19" t="s">
        <v>11585</v>
      </c>
      <c r="BO373" s="19" t="s">
        <v>11586</v>
      </c>
      <c r="BP373" s="19" t="s">
        <v>11587</v>
      </c>
      <c r="BQ373" s="15" t="s">
        <v>166</v>
      </c>
      <c r="BR373" s="26"/>
      <c r="BS373" s="26"/>
      <c r="BT373" s="26"/>
      <c r="BU373" s="19" t="s">
        <v>11588</v>
      </c>
      <c r="BV373" s="26"/>
      <c r="BW373" s="15" t="s">
        <v>11589</v>
      </c>
      <c r="BX373" s="26"/>
      <c r="BY373" s="18" t="str">
        <f t="shared" si="106"/>
        <v>IT</v>
      </c>
      <c r="BZ373" s="24" t="str">
        <f t="shared" si="100"/>
        <v>https://drive.google.com/open?id=1zNbXVmzm0QeigGd5oGgAEGwAQTANFuOt</v>
      </c>
      <c r="CA373" s="24" t="str">
        <f t="shared" si="101"/>
        <v>https://drive.google.com/open?id=1DyLHHajgbSsrHtccjK177WkaGBSCQ2k1</v>
      </c>
      <c r="CB373" s="15" t="s">
        <v>2821</v>
      </c>
      <c r="CC373" s="15" t="s">
        <v>2821</v>
      </c>
      <c r="CD373" s="25" t="s">
        <v>2797</v>
      </c>
      <c r="CE373" s="18"/>
      <c r="CF373" s="18"/>
      <c r="CG373" s="18"/>
    </row>
    <row r="374" ht="18.75" hidden="1" customHeight="1">
      <c r="A374" s="14">
        <v>44750.49302959491</v>
      </c>
      <c r="B374" s="15" t="s">
        <v>2181</v>
      </c>
      <c r="C374" s="16" t="s">
        <v>11590</v>
      </c>
      <c r="D374" s="15" t="str">
        <f>IFERROR(__xludf.DUMMYFUNCTION("QUERY(TY_ALL_2023_Batch!$A$1:$E$824, ""SELECT E WHERE C='""&amp;B374&amp;""'"", 0)"),"IT")</f>
        <v>IT</v>
      </c>
      <c r="E374" s="15" t="s">
        <v>5538</v>
      </c>
      <c r="F374" s="15" t="s">
        <v>3629</v>
      </c>
      <c r="G374" s="15" t="s">
        <v>11591</v>
      </c>
      <c r="H374" s="15" t="s">
        <v>2785</v>
      </c>
      <c r="I374" s="17">
        <v>37192.0</v>
      </c>
      <c r="J374" s="15">
        <v>2019.0</v>
      </c>
      <c r="K374" s="15" t="s">
        <v>2786</v>
      </c>
      <c r="L374" s="15" t="s">
        <v>2787</v>
      </c>
      <c r="M374" s="18"/>
      <c r="N374" s="15" t="s">
        <v>11592</v>
      </c>
      <c r="O374" s="15" t="s">
        <v>2181</v>
      </c>
      <c r="P374" s="19" t="s">
        <v>11593</v>
      </c>
      <c r="Q374" s="15">
        <v>8.85592281E9</v>
      </c>
      <c r="R374" s="15">
        <v>8.85592281E9</v>
      </c>
      <c r="S374" s="18"/>
      <c r="T374" s="15" t="s">
        <v>3629</v>
      </c>
      <c r="U374" s="15" t="s">
        <v>5723</v>
      </c>
      <c r="V374" s="15" t="s">
        <v>11594</v>
      </c>
      <c r="W374" s="18"/>
      <c r="X374" s="15">
        <v>89.0</v>
      </c>
      <c r="Y374" s="15" t="s">
        <v>2795</v>
      </c>
      <c r="Z374" s="15">
        <v>9.33</v>
      </c>
      <c r="AA374" s="15">
        <v>8.42</v>
      </c>
      <c r="AB374" s="15" t="s">
        <v>2796</v>
      </c>
      <c r="AC374" s="15" t="s">
        <v>2796</v>
      </c>
      <c r="AD374" s="15" t="s">
        <v>2796</v>
      </c>
      <c r="AE374" s="15" t="s">
        <v>2796</v>
      </c>
      <c r="AF374" s="15">
        <v>7.42</v>
      </c>
      <c r="AG374" s="15">
        <v>8.43</v>
      </c>
      <c r="AH374" s="15">
        <v>70.46</v>
      </c>
      <c r="AI374" s="18"/>
      <c r="AJ374" s="15" t="s">
        <v>2787</v>
      </c>
      <c r="AK374" s="15" t="s">
        <v>2787</v>
      </c>
      <c r="AL374" s="18"/>
      <c r="AM374" s="18"/>
      <c r="AN374" s="15" t="s">
        <v>2787</v>
      </c>
      <c r="AO374" s="15"/>
      <c r="AP374" s="15" t="s">
        <v>11595</v>
      </c>
      <c r="AQ374" s="15" t="s">
        <v>5666</v>
      </c>
      <c r="AR374" s="15" t="s">
        <v>11596</v>
      </c>
      <c r="AS374" s="15" t="s">
        <v>11597</v>
      </c>
      <c r="AT374" s="18"/>
      <c r="AU374" s="18"/>
      <c r="AV374" s="15" t="s">
        <v>11598</v>
      </c>
      <c r="AW374" s="15" t="s">
        <v>11599</v>
      </c>
      <c r="AX374" s="18"/>
      <c r="AY374" s="15" t="s">
        <v>11600</v>
      </c>
      <c r="AZ374" s="15" t="s">
        <v>5335</v>
      </c>
      <c r="BA374" s="15" t="s">
        <v>11601</v>
      </c>
      <c r="BB374" s="15" t="s">
        <v>5523</v>
      </c>
      <c r="BC374" s="15" t="s">
        <v>5705</v>
      </c>
      <c r="BD374" s="15" t="s">
        <v>2807</v>
      </c>
      <c r="BE374" s="15" t="s">
        <v>11602</v>
      </c>
      <c r="BF374" s="18"/>
      <c r="BG374" s="18"/>
      <c r="BH374" s="15"/>
      <c r="BI374" s="15"/>
      <c r="BJ374" s="19" t="s">
        <v>11603</v>
      </c>
      <c r="BK374" s="19" t="s">
        <v>11604</v>
      </c>
      <c r="BL374" s="18"/>
      <c r="BM374" s="18"/>
      <c r="BN374" s="19" t="s">
        <v>11605</v>
      </c>
      <c r="BO374" s="19" t="s">
        <v>11606</v>
      </c>
      <c r="BP374" s="18"/>
      <c r="BQ374" s="15" t="s">
        <v>166</v>
      </c>
      <c r="BR374" s="26"/>
      <c r="BS374" s="26"/>
      <c r="BT374" s="19" t="s">
        <v>11607</v>
      </c>
      <c r="BU374" s="26"/>
      <c r="BV374" s="26"/>
      <c r="BW374" s="15" t="s">
        <v>11608</v>
      </c>
      <c r="BX374" s="26"/>
      <c r="BY374" s="18" t="str">
        <f t="shared" si="106"/>
        <v>IT</v>
      </c>
      <c r="BZ374" s="18" t="str">
        <f t="shared" si="100"/>
        <v/>
      </c>
      <c r="CA374" s="18" t="str">
        <f t="shared" si="101"/>
        <v/>
      </c>
      <c r="CB374" s="15" t="s">
        <v>2821</v>
      </c>
      <c r="CC374" s="15" t="s">
        <v>2821</v>
      </c>
      <c r="CD374" s="25" t="s">
        <v>2797</v>
      </c>
      <c r="CE374" s="18"/>
      <c r="CF374" s="18"/>
      <c r="CG374" s="18"/>
    </row>
    <row r="375" ht="18.75" hidden="1" customHeight="1">
      <c r="A375" s="14">
        <v>44735.67555565972</v>
      </c>
      <c r="B375" s="15" t="s">
        <v>2169</v>
      </c>
      <c r="C375" s="16" t="s">
        <v>11609</v>
      </c>
      <c r="D375" s="15" t="str">
        <f>IFERROR(__xludf.DUMMYFUNCTION("QUERY(TY_ALL_2023_Batch!$A$1:$E$824, ""SELECT E WHERE C='""&amp;B375&amp;""'"", 0)"),"IT")</f>
        <v>IT</v>
      </c>
      <c r="E375" s="15" t="s">
        <v>6372</v>
      </c>
      <c r="F375" s="15" t="s">
        <v>2939</v>
      </c>
      <c r="G375" s="15" t="s">
        <v>11610</v>
      </c>
      <c r="H375" s="15" t="s">
        <v>2785</v>
      </c>
      <c r="I375" s="17">
        <v>37157.0</v>
      </c>
      <c r="J375" s="15">
        <v>2019.0</v>
      </c>
      <c r="K375" s="15" t="s">
        <v>2786</v>
      </c>
      <c r="L375" s="15" t="s">
        <v>2787</v>
      </c>
      <c r="M375" s="18"/>
      <c r="N375" s="15" t="s">
        <v>2169</v>
      </c>
      <c r="O375" s="15" t="s">
        <v>2169</v>
      </c>
      <c r="P375" s="19" t="s">
        <v>11611</v>
      </c>
      <c r="Q375" s="15">
        <v>7.522914357E9</v>
      </c>
      <c r="R375" s="15">
        <v>7.522914357E9</v>
      </c>
      <c r="S375" s="15">
        <v>7.276714357E9</v>
      </c>
      <c r="T375" s="15" t="s">
        <v>11612</v>
      </c>
      <c r="U375" s="15" t="s">
        <v>11613</v>
      </c>
      <c r="V375" s="15" t="s">
        <v>11614</v>
      </c>
      <c r="W375" s="15" t="s">
        <v>11614</v>
      </c>
      <c r="X375" s="15">
        <v>94.2</v>
      </c>
      <c r="Y375" s="15" t="s">
        <v>2795</v>
      </c>
      <c r="Z375" s="15">
        <v>9.9</v>
      </c>
      <c r="AA375" s="15">
        <v>9.76</v>
      </c>
      <c r="AB375" s="15" t="s">
        <v>2796</v>
      </c>
      <c r="AC375" s="15" t="s">
        <v>2796</v>
      </c>
      <c r="AD375" s="15" t="s">
        <v>2796</v>
      </c>
      <c r="AE375" s="15" t="s">
        <v>2796</v>
      </c>
      <c r="AF375" s="15">
        <v>9.21</v>
      </c>
      <c r="AG375" s="15">
        <v>9.33</v>
      </c>
      <c r="AH375" s="15">
        <v>79.38</v>
      </c>
      <c r="AI375" s="18"/>
      <c r="AJ375" s="15" t="s">
        <v>2787</v>
      </c>
      <c r="AK375" s="15" t="s">
        <v>2787</v>
      </c>
      <c r="AL375" s="15">
        <v>721.6</v>
      </c>
      <c r="AM375" s="15">
        <v>645.0</v>
      </c>
      <c r="AN375" s="15" t="s">
        <v>2797</v>
      </c>
      <c r="AO375" s="18"/>
      <c r="AP375" s="18"/>
      <c r="AQ375" s="15" t="s">
        <v>5415</v>
      </c>
      <c r="AR375" s="15" t="s">
        <v>5255</v>
      </c>
      <c r="AS375" s="15" t="s">
        <v>6686</v>
      </c>
      <c r="AT375" s="18"/>
      <c r="AU375" s="15" t="s">
        <v>11615</v>
      </c>
      <c r="AV375" s="15" t="s">
        <v>11616</v>
      </c>
      <c r="AW375" s="15" t="s">
        <v>11617</v>
      </c>
      <c r="AX375" s="18"/>
      <c r="AY375" s="15" t="s">
        <v>11618</v>
      </c>
      <c r="AZ375" s="15" t="s">
        <v>5260</v>
      </c>
      <c r="BA375" s="15" t="s">
        <v>6488</v>
      </c>
      <c r="BB375" s="15" t="s">
        <v>11619</v>
      </c>
      <c r="BC375" s="15" t="s">
        <v>11620</v>
      </c>
      <c r="BD375" s="15" t="s">
        <v>2807</v>
      </c>
      <c r="BE375" s="15" t="s">
        <v>11621</v>
      </c>
      <c r="BF375" s="15" t="s">
        <v>11622</v>
      </c>
      <c r="BG375" s="18"/>
      <c r="BH375" s="15" t="s">
        <v>6694</v>
      </c>
      <c r="BI375" s="15" t="s">
        <v>11623</v>
      </c>
      <c r="BJ375" s="19" t="s">
        <v>11624</v>
      </c>
      <c r="BK375" s="19" t="s">
        <v>11625</v>
      </c>
      <c r="BL375" s="19" t="s">
        <v>11626</v>
      </c>
      <c r="BM375" s="19" t="s">
        <v>11627</v>
      </c>
      <c r="BN375" s="19" t="s">
        <v>11628</v>
      </c>
      <c r="BO375" s="19" t="s">
        <v>11629</v>
      </c>
      <c r="BP375" s="19" t="s">
        <v>11630</v>
      </c>
      <c r="BQ375" s="15" t="s">
        <v>166</v>
      </c>
      <c r="BR375" s="26"/>
      <c r="BS375" s="26"/>
      <c r="BT375" s="26"/>
      <c r="BU375" s="26"/>
      <c r="BV375" s="26"/>
      <c r="BW375" s="26"/>
      <c r="BX375" s="26"/>
      <c r="BY375" s="18" t="str">
        <f t="shared" si="106"/>
        <v>IT</v>
      </c>
      <c r="BZ375" s="24" t="str">
        <f t="shared" si="100"/>
        <v>https://drive.google.com/open?id=1gxTK5v24evnKybw4ianTnowU4hHoqn5S</v>
      </c>
      <c r="CA375" s="24" t="str">
        <f t="shared" si="101"/>
        <v>https://drive.google.com/open?id=1wuJ3k_TouCV0ZpjNL5gkwuMmrG6L6d2s</v>
      </c>
      <c r="CB375" s="15" t="s">
        <v>2821</v>
      </c>
      <c r="CC375" s="15" t="s">
        <v>2821</v>
      </c>
      <c r="CD375" s="25" t="s">
        <v>2797</v>
      </c>
      <c r="CE375" s="18"/>
      <c r="CF375" s="18"/>
      <c r="CG375" s="18"/>
    </row>
    <row r="376" ht="18.75" hidden="1" customHeight="1">
      <c r="A376" s="14">
        <v>44734.86084765046</v>
      </c>
      <c r="B376" s="15" t="s">
        <v>2280</v>
      </c>
      <c r="C376" s="16" t="s">
        <v>11631</v>
      </c>
      <c r="D376" s="15" t="str">
        <f>IFERROR(__xludf.DUMMYFUNCTION("QUERY(TY_ALL_2023_Batch!$A$1:$E$824, ""SELECT E WHERE C='""&amp;B376&amp;""'"", 0)"),"IT")</f>
        <v>IT</v>
      </c>
      <c r="E376" s="15" t="s">
        <v>5184</v>
      </c>
      <c r="F376" s="15" t="s">
        <v>11632</v>
      </c>
      <c r="G376" s="15" t="s">
        <v>3499</v>
      </c>
      <c r="H376" s="15" t="s">
        <v>2785</v>
      </c>
      <c r="I376" s="17">
        <v>37187.0</v>
      </c>
      <c r="J376" s="15">
        <v>2019.0</v>
      </c>
      <c r="K376" s="15" t="s">
        <v>2786</v>
      </c>
      <c r="L376" s="15" t="s">
        <v>2787</v>
      </c>
      <c r="M376" s="18"/>
      <c r="N376" s="15" t="s">
        <v>11633</v>
      </c>
      <c r="O376" s="15" t="s">
        <v>2280</v>
      </c>
      <c r="P376" s="19" t="s">
        <v>11634</v>
      </c>
      <c r="Q376" s="15">
        <v>9.850288554E9</v>
      </c>
      <c r="R376" s="15">
        <v>9.850288554E9</v>
      </c>
      <c r="S376" s="15">
        <v>8.42117584E9</v>
      </c>
      <c r="T376" s="15" t="s">
        <v>11635</v>
      </c>
      <c r="U376" s="15" t="s">
        <v>11636</v>
      </c>
      <c r="V376" s="15" t="s">
        <v>11637</v>
      </c>
      <c r="W376" s="15" t="s">
        <v>11638</v>
      </c>
      <c r="X376" s="15">
        <v>92.8</v>
      </c>
      <c r="Y376" s="15" t="s">
        <v>2795</v>
      </c>
      <c r="Z376" s="15">
        <v>9.0</v>
      </c>
      <c r="AA376" s="15">
        <v>8.62</v>
      </c>
      <c r="AB376" s="15" t="s">
        <v>2796</v>
      </c>
      <c r="AC376" s="15" t="s">
        <v>2796</v>
      </c>
      <c r="AD376" s="15" t="s">
        <v>2796</v>
      </c>
      <c r="AE376" s="15" t="s">
        <v>2796</v>
      </c>
      <c r="AF376" s="15">
        <v>7.63</v>
      </c>
      <c r="AG376" s="15">
        <v>8.62</v>
      </c>
      <c r="AH376" s="15">
        <v>65.08</v>
      </c>
      <c r="AI376" s="18"/>
      <c r="AJ376" s="15" t="s">
        <v>2787</v>
      </c>
      <c r="AK376" s="15" t="s">
        <v>2787</v>
      </c>
      <c r="AL376" s="15">
        <v>595.0</v>
      </c>
      <c r="AM376" s="15">
        <v>653.33</v>
      </c>
      <c r="AN376" s="15" t="s">
        <v>2797</v>
      </c>
      <c r="AO376" s="18"/>
      <c r="AP376" s="18"/>
      <c r="AQ376" s="15" t="s">
        <v>11639</v>
      </c>
      <c r="AR376" s="15" t="s">
        <v>11640</v>
      </c>
      <c r="AS376" s="15" t="s">
        <v>11641</v>
      </c>
      <c r="AT376" s="18"/>
      <c r="AU376" s="15" t="s">
        <v>11642</v>
      </c>
      <c r="AV376" s="15" t="s">
        <v>11643</v>
      </c>
      <c r="AW376" s="15" t="s">
        <v>11644</v>
      </c>
      <c r="AX376" s="18"/>
      <c r="AY376" s="15" t="s">
        <v>11645</v>
      </c>
      <c r="AZ376" s="15" t="s">
        <v>5335</v>
      </c>
      <c r="BA376" s="15" t="s">
        <v>6193</v>
      </c>
      <c r="BB376" s="15" t="s">
        <v>11646</v>
      </c>
      <c r="BC376" s="15" t="s">
        <v>3686</v>
      </c>
      <c r="BD376" s="15" t="s">
        <v>2842</v>
      </c>
      <c r="BE376" s="15" t="s">
        <v>11647</v>
      </c>
      <c r="BF376" s="18"/>
      <c r="BG376" s="15" t="s">
        <v>11648</v>
      </c>
      <c r="BH376" s="15" t="s">
        <v>11640</v>
      </c>
      <c r="BI376" s="15" t="s">
        <v>11649</v>
      </c>
      <c r="BJ376" s="19" t="s">
        <v>11650</v>
      </c>
      <c r="BK376" s="19" t="s">
        <v>11651</v>
      </c>
      <c r="BL376" s="19" t="s">
        <v>11652</v>
      </c>
      <c r="BM376" s="19" t="s">
        <v>11653</v>
      </c>
      <c r="BN376" s="19" t="s">
        <v>11654</v>
      </c>
      <c r="BO376" s="19" t="s">
        <v>11655</v>
      </c>
      <c r="BP376" s="18"/>
      <c r="BQ376" s="15" t="s">
        <v>166</v>
      </c>
      <c r="BR376" s="26"/>
      <c r="BS376" s="26"/>
      <c r="BT376" s="26"/>
      <c r="BU376" s="26"/>
      <c r="BV376" s="26"/>
      <c r="BW376" s="26"/>
      <c r="BX376" s="26"/>
      <c r="BY376" s="18" t="str">
        <f t="shared" si="106"/>
        <v>IT</v>
      </c>
      <c r="BZ376" s="24" t="str">
        <f t="shared" si="100"/>
        <v>https://drive.google.com/open?id=1A1Wwidb-uSplJK3FjKSGWOTesBjyVfhx</v>
      </c>
      <c r="CA376" s="24" t="str">
        <f t="shared" si="101"/>
        <v>https://drive.google.com/open?id=11QjIRwBMZAmtJ9krj6O_rxVSjFTl81-2</v>
      </c>
      <c r="CB376" s="15" t="s">
        <v>2821</v>
      </c>
      <c r="CC376" s="15" t="s">
        <v>2821</v>
      </c>
      <c r="CD376" s="25" t="s">
        <v>2797</v>
      </c>
      <c r="CE376" s="18"/>
      <c r="CF376" s="18"/>
      <c r="CG376" s="18"/>
    </row>
    <row r="377" ht="18.75" hidden="1" customHeight="1">
      <c r="A377" s="14">
        <v>44742.97424278935</v>
      </c>
      <c r="B377" s="15" t="s">
        <v>2193</v>
      </c>
      <c r="C377" s="16" t="s">
        <v>11656</v>
      </c>
      <c r="D377" s="15" t="str">
        <f>IFERROR(__xludf.DUMMYFUNCTION("QUERY(TY_ALL_2023_Batch!$A$1:$E$824, ""SELECT E WHERE C='""&amp;B377&amp;""'"", 0)"),"IT")</f>
        <v>IT</v>
      </c>
      <c r="E377" s="15" t="s">
        <v>11657</v>
      </c>
      <c r="F377" s="15" t="s">
        <v>4134</v>
      </c>
      <c r="G377" s="15" t="s">
        <v>11658</v>
      </c>
      <c r="H377" s="15" t="s">
        <v>2826</v>
      </c>
      <c r="I377" s="17">
        <v>37078.0</v>
      </c>
      <c r="J377" s="15">
        <v>2019.0</v>
      </c>
      <c r="K377" s="15" t="s">
        <v>2786</v>
      </c>
      <c r="L377" s="15" t="s">
        <v>2787</v>
      </c>
      <c r="M377" s="18"/>
      <c r="N377" s="15" t="s">
        <v>11659</v>
      </c>
      <c r="O377" s="15" t="s">
        <v>2193</v>
      </c>
      <c r="P377" s="19" t="s">
        <v>11660</v>
      </c>
      <c r="Q377" s="15">
        <v>8.86206044E9</v>
      </c>
      <c r="R377" s="15">
        <v>8.86206044E9</v>
      </c>
      <c r="S377" s="18"/>
      <c r="T377" s="15" t="s">
        <v>11661</v>
      </c>
      <c r="U377" s="15" t="s">
        <v>11662</v>
      </c>
      <c r="V377" s="15" t="s">
        <v>11663</v>
      </c>
      <c r="W377" s="15" t="s">
        <v>11664</v>
      </c>
      <c r="X377" s="15">
        <v>96.2</v>
      </c>
      <c r="Y377" s="15" t="s">
        <v>2795</v>
      </c>
      <c r="Z377" s="15">
        <v>8.0</v>
      </c>
      <c r="AA377" s="15">
        <v>8.19</v>
      </c>
      <c r="AB377" s="15" t="s">
        <v>2796</v>
      </c>
      <c r="AC377" s="15" t="s">
        <v>2796</v>
      </c>
      <c r="AD377" s="15" t="s">
        <v>2796</v>
      </c>
      <c r="AE377" s="15" t="s">
        <v>2796</v>
      </c>
      <c r="AF377" s="15">
        <v>7.95</v>
      </c>
      <c r="AG377" s="15">
        <v>8.14</v>
      </c>
      <c r="AH377" s="15">
        <v>83.54</v>
      </c>
      <c r="AI377" s="18"/>
      <c r="AJ377" s="15" t="s">
        <v>2787</v>
      </c>
      <c r="AK377" s="15" t="s">
        <v>2787</v>
      </c>
      <c r="AL377" s="15">
        <v>591.6</v>
      </c>
      <c r="AM377" s="15">
        <v>681.66</v>
      </c>
      <c r="AN377" s="15" t="s">
        <v>2797</v>
      </c>
      <c r="AO377" s="15" t="s">
        <v>2796</v>
      </c>
      <c r="AP377" s="15" t="s">
        <v>2796</v>
      </c>
      <c r="AQ377" s="15" t="s">
        <v>5415</v>
      </c>
      <c r="AR377" s="15" t="s">
        <v>11665</v>
      </c>
      <c r="AS377" s="18"/>
      <c r="AT377" s="18"/>
      <c r="AU377" s="18"/>
      <c r="AV377" s="15" t="s">
        <v>11666</v>
      </c>
      <c r="AW377" s="15" t="s">
        <v>11667</v>
      </c>
      <c r="AX377" s="18"/>
      <c r="AY377" s="15" t="s">
        <v>11668</v>
      </c>
      <c r="AZ377" s="15" t="s">
        <v>5625</v>
      </c>
      <c r="BA377" s="15" t="s">
        <v>11669</v>
      </c>
      <c r="BB377" s="15" t="s">
        <v>3514</v>
      </c>
      <c r="BC377" s="15" t="s">
        <v>11670</v>
      </c>
      <c r="BD377" s="15" t="s">
        <v>2807</v>
      </c>
      <c r="BE377" s="15" t="s">
        <v>2796</v>
      </c>
      <c r="BF377" s="18"/>
      <c r="BG377" s="18"/>
      <c r="BH377" s="18"/>
      <c r="BI377" s="15" t="s">
        <v>11671</v>
      </c>
      <c r="BJ377" s="19" t="s">
        <v>11672</v>
      </c>
      <c r="BK377" s="19" t="s">
        <v>11673</v>
      </c>
      <c r="BL377" s="19" t="s">
        <v>11674</v>
      </c>
      <c r="BM377" s="19" t="s">
        <v>11675</v>
      </c>
      <c r="BN377" s="19" t="s">
        <v>11676</v>
      </c>
      <c r="BO377" s="19" t="s">
        <v>11677</v>
      </c>
      <c r="BP377" s="19" t="s">
        <v>11678</v>
      </c>
      <c r="BQ377" s="15" t="s">
        <v>166</v>
      </c>
      <c r="BR377" s="19" t="s">
        <v>11679</v>
      </c>
      <c r="BS377" s="19" t="s">
        <v>11680</v>
      </c>
      <c r="BT377" s="19" t="s">
        <v>11681</v>
      </c>
      <c r="BU377" s="19" t="s">
        <v>11682</v>
      </c>
      <c r="BV377" s="19" t="s">
        <v>11683</v>
      </c>
      <c r="BW377" s="15" t="s">
        <v>11684</v>
      </c>
      <c r="BX377" s="26"/>
      <c r="BY377" s="18" t="str">
        <f t="shared" si="106"/>
        <v>IT</v>
      </c>
      <c r="BZ377" s="24" t="str">
        <f t="shared" si="100"/>
        <v>https://drive.google.com/open?id=16GYMe_4S95t2ULTFWTuwGYcL4Eys-Htz</v>
      </c>
      <c r="CA377" s="24" t="str">
        <f t="shared" si="101"/>
        <v>https://drive.google.com/open?id=1MTaqj3GjXowLpWA-HyIOJL8Bk0oT_aTm</v>
      </c>
      <c r="CB377" s="15" t="s">
        <v>2821</v>
      </c>
      <c r="CC377" s="15" t="s">
        <v>2821</v>
      </c>
      <c r="CD377" s="25" t="s">
        <v>2909</v>
      </c>
      <c r="CE377" s="18"/>
      <c r="CF377" s="18"/>
      <c r="CG377" s="18"/>
    </row>
    <row r="378" ht="18.75" hidden="1" customHeight="1">
      <c r="A378" s="14">
        <v>44742.936947511575</v>
      </c>
      <c r="B378" s="15" t="s">
        <v>2271</v>
      </c>
      <c r="C378" s="16" t="s">
        <v>11685</v>
      </c>
      <c r="D378" s="15" t="str">
        <f>IFERROR(__xludf.DUMMYFUNCTION("QUERY(TY_ALL_2023_Batch!$A$1:$E$824, ""SELECT E WHERE C='""&amp;B378&amp;""'"", 0)"),"IT")</f>
        <v>IT</v>
      </c>
      <c r="E378" s="15" t="s">
        <v>11686</v>
      </c>
      <c r="F378" s="15" t="s">
        <v>11687</v>
      </c>
      <c r="G378" s="15" t="s">
        <v>4471</v>
      </c>
      <c r="H378" s="15" t="s">
        <v>2826</v>
      </c>
      <c r="I378" s="17">
        <v>37189.0</v>
      </c>
      <c r="J378" s="15">
        <v>2019.0</v>
      </c>
      <c r="K378" s="15" t="s">
        <v>2786</v>
      </c>
      <c r="L378" s="15" t="s">
        <v>2787</v>
      </c>
      <c r="M378" s="18"/>
      <c r="N378" s="15" t="s">
        <v>11688</v>
      </c>
      <c r="O378" s="15" t="s">
        <v>2271</v>
      </c>
      <c r="P378" s="19" t="s">
        <v>11689</v>
      </c>
      <c r="Q378" s="15">
        <v>8.329300923E9</v>
      </c>
      <c r="R378" s="15">
        <v>8.329300923E9</v>
      </c>
      <c r="S378" s="18"/>
      <c r="T378" s="15" t="s">
        <v>11687</v>
      </c>
      <c r="U378" s="15" t="s">
        <v>11690</v>
      </c>
      <c r="V378" s="15" t="s">
        <v>11691</v>
      </c>
      <c r="W378" s="18"/>
      <c r="X378" s="15">
        <v>94.6</v>
      </c>
      <c r="Y378" s="15" t="s">
        <v>2795</v>
      </c>
      <c r="Z378" s="15">
        <v>8.9</v>
      </c>
      <c r="AA378" s="15">
        <v>8.62</v>
      </c>
      <c r="AB378" s="15" t="s">
        <v>2796</v>
      </c>
      <c r="AC378" s="15" t="s">
        <v>2796</v>
      </c>
      <c r="AD378" s="15" t="s">
        <v>2796</v>
      </c>
      <c r="AE378" s="15" t="s">
        <v>2796</v>
      </c>
      <c r="AF378" s="15">
        <v>8.67</v>
      </c>
      <c r="AG378" s="15">
        <v>8.68</v>
      </c>
      <c r="AH378" s="15">
        <v>77.77</v>
      </c>
      <c r="AI378" s="18"/>
      <c r="AJ378" s="15" t="s">
        <v>2797</v>
      </c>
      <c r="AK378" s="15" t="s">
        <v>2787</v>
      </c>
      <c r="AL378" s="18"/>
      <c r="AM378" s="18"/>
      <c r="AN378" s="15" t="s">
        <v>2797</v>
      </c>
      <c r="AO378" s="18"/>
      <c r="AP378" s="18"/>
      <c r="AQ378" s="15" t="s">
        <v>11692</v>
      </c>
      <c r="AR378" s="18"/>
      <c r="AS378" s="15" t="s">
        <v>7162</v>
      </c>
      <c r="AT378" s="18"/>
      <c r="AU378" s="15" t="s">
        <v>11693</v>
      </c>
      <c r="AV378" s="15" t="s">
        <v>5867</v>
      </c>
      <c r="AW378" s="15" t="s">
        <v>5868</v>
      </c>
      <c r="AX378" s="18"/>
      <c r="AY378" s="15" t="s">
        <v>11694</v>
      </c>
      <c r="AZ378" s="15" t="s">
        <v>5260</v>
      </c>
      <c r="BA378" s="15" t="s">
        <v>11695</v>
      </c>
      <c r="BB378" s="15" t="s">
        <v>5871</v>
      </c>
      <c r="BC378" s="15" t="s">
        <v>3686</v>
      </c>
      <c r="BD378" s="15" t="s">
        <v>3393</v>
      </c>
      <c r="BE378" s="15" t="s">
        <v>11696</v>
      </c>
      <c r="BF378" s="15" t="s">
        <v>11697</v>
      </c>
      <c r="BG378" s="18"/>
      <c r="BH378" s="18"/>
      <c r="BI378" s="15" t="s">
        <v>11698</v>
      </c>
      <c r="BJ378" s="19" t="s">
        <v>11699</v>
      </c>
      <c r="BK378" s="19" t="s">
        <v>11700</v>
      </c>
      <c r="BL378" s="19" t="s">
        <v>11701</v>
      </c>
      <c r="BM378" s="19" t="s">
        <v>11702</v>
      </c>
      <c r="BN378" s="19" t="s">
        <v>11703</v>
      </c>
      <c r="BO378" s="19" t="s">
        <v>11704</v>
      </c>
      <c r="BP378" s="18"/>
      <c r="BQ378" s="15" t="s">
        <v>166</v>
      </c>
      <c r="BR378" s="26"/>
      <c r="BS378" s="26"/>
      <c r="BT378" s="26"/>
      <c r="BU378" s="26"/>
      <c r="BV378" s="26"/>
      <c r="BW378" s="15" t="s">
        <v>11705</v>
      </c>
      <c r="BX378" s="26"/>
      <c r="BY378" s="18" t="str">
        <f t="shared" si="106"/>
        <v>IT</v>
      </c>
      <c r="BZ378" s="24" t="str">
        <f t="shared" si="100"/>
        <v>https://drive.google.com/open?id=1b3avxbnPNwzoE4ZyxFuBkPaJqek8Rwni</v>
      </c>
      <c r="CA378" s="24" t="str">
        <f t="shared" si="101"/>
        <v>https://drive.google.com/open?id=1aUmgXImbLImpHQNJkftKI7YEZiphsbp_</v>
      </c>
      <c r="CB378" s="15" t="s">
        <v>2821</v>
      </c>
      <c r="CC378" s="15" t="s">
        <v>2821</v>
      </c>
      <c r="CD378" s="25" t="s">
        <v>2797</v>
      </c>
      <c r="CE378" s="18"/>
      <c r="CF378" s="18"/>
      <c r="CG378" s="18"/>
    </row>
    <row r="379" ht="18.75" hidden="1" customHeight="1">
      <c r="A379" s="14">
        <v>44742.04154515047</v>
      </c>
      <c r="B379" s="15" t="s">
        <v>2214</v>
      </c>
      <c r="C379" s="16" t="s">
        <v>11706</v>
      </c>
      <c r="D379" s="15" t="str">
        <f>IFERROR(__xludf.DUMMYFUNCTION("QUERY(TY_ALL_2023_Batch!$A$1:$E$824, ""SELECT E WHERE C='""&amp;B379&amp;""'"", 0)"),"IT")</f>
        <v>IT</v>
      </c>
      <c r="E379" s="15" t="s">
        <v>5378</v>
      </c>
      <c r="F379" s="15" t="s">
        <v>11707</v>
      </c>
      <c r="G379" s="15" t="s">
        <v>11708</v>
      </c>
      <c r="H379" s="15" t="s">
        <v>2785</v>
      </c>
      <c r="I379" s="17">
        <v>36782.0</v>
      </c>
      <c r="J379" s="15">
        <v>2019.0</v>
      </c>
      <c r="K379" s="15" t="s">
        <v>2786</v>
      </c>
      <c r="L379" s="15" t="s">
        <v>2787</v>
      </c>
      <c r="M379" s="18"/>
      <c r="N379" s="15" t="s">
        <v>11709</v>
      </c>
      <c r="O379" s="15" t="s">
        <v>2214</v>
      </c>
      <c r="P379" s="19" t="s">
        <v>11710</v>
      </c>
      <c r="Q379" s="15">
        <v>7.498874484E9</v>
      </c>
      <c r="R379" s="15">
        <v>7.498874484E9</v>
      </c>
      <c r="S379" s="15">
        <v>9.405914765E9</v>
      </c>
      <c r="T379" s="15" t="s">
        <v>11711</v>
      </c>
      <c r="U379" s="15" t="s">
        <v>11712</v>
      </c>
      <c r="V379" s="15" t="s">
        <v>11713</v>
      </c>
      <c r="W379" s="15" t="s">
        <v>11714</v>
      </c>
      <c r="X379" s="15">
        <v>96.0</v>
      </c>
      <c r="Y379" s="15" t="s">
        <v>2795</v>
      </c>
      <c r="Z379" s="15">
        <v>9.0</v>
      </c>
      <c r="AA379" s="15">
        <v>9.1</v>
      </c>
      <c r="AB379" s="15" t="s">
        <v>2796</v>
      </c>
      <c r="AC379" s="15" t="s">
        <v>2796</v>
      </c>
      <c r="AD379" s="15" t="s">
        <v>2796</v>
      </c>
      <c r="AE379" s="15" t="s">
        <v>2796</v>
      </c>
      <c r="AF379" s="15">
        <v>7.89</v>
      </c>
      <c r="AG379" s="15">
        <v>8.05</v>
      </c>
      <c r="AH379" s="15">
        <v>74.15</v>
      </c>
      <c r="AI379" s="18"/>
      <c r="AJ379" s="15" t="s">
        <v>2787</v>
      </c>
      <c r="AK379" s="15" t="s">
        <v>2787</v>
      </c>
      <c r="AL379" s="15">
        <v>670.0</v>
      </c>
      <c r="AM379" s="15">
        <v>680.0</v>
      </c>
      <c r="AN379" s="15" t="s">
        <v>2787</v>
      </c>
      <c r="AO379" s="15" t="s">
        <v>2796</v>
      </c>
      <c r="AP379" s="15" t="s">
        <v>3201</v>
      </c>
      <c r="AQ379" s="15" t="s">
        <v>11715</v>
      </c>
      <c r="AR379" s="15" t="s">
        <v>11716</v>
      </c>
      <c r="AS379" s="15" t="s">
        <v>11717</v>
      </c>
      <c r="AT379" s="15" t="s">
        <v>2796</v>
      </c>
      <c r="AU379" s="15" t="s">
        <v>2796</v>
      </c>
      <c r="AV379" s="15" t="s">
        <v>11718</v>
      </c>
      <c r="AW379" s="15" t="s">
        <v>11719</v>
      </c>
      <c r="AX379" s="15" t="s">
        <v>2796</v>
      </c>
      <c r="AY379" s="15" t="s">
        <v>11720</v>
      </c>
      <c r="AZ379" s="15" t="s">
        <v>5287</v>
      </c>
      <c r="BA379" s="15" t="s">
        <v>5870</v>
      </c>
      <c r="BB379" s="15" t="s">
        <v>3514</v>
      </c>
      <c r="BC379" s="15" t="s">
        <v>11721</v>
      </c>
      <c r="BD379" s="15" t="s">
        <v>7553</v>
      </c>
      <c r="BE379" s="15" t="s">
        <v>2796</v>
      </c>
      <c r="BF379" s="18"/>
      <c r="BG379" s="18"/>
      <c r="BH379" s="18"/>
      <c r="BI379" s="15" t="s">
        <v>11722</v>
      </c>
      <c r="BJ379" s="19" t="s">
        <v>11723</v>
      </c>
      <c r="BK379" s="19" t="s">
        <v>11724</v>
      </c>
      <c r="BL379" s="18"/>
      <c r="BM379" s="20" t="s">
        <v>11725</v>
      </c>
      <c r="BN379" s="19" t="s">
        <v>11726</v>
      </c>
      <c r="BO379" s="19" t="s">
        <v>11727</v>
      </c>
      <c r="BP379" s="19" t="s">
        <v>11728</v>
      </c>
      <c r="BQ379" s="15" t="s">
        <v>166</v>
      </c>
      <c r="BR379" s="26"/>
      <c r="BS379" s="26"/>
      <c r="BT379" s="19" t="s">
        <v>11729</v>
      </c>
      <c r="BU379" s="19" t="s">
        <v>11730</v>
      </c>
      <c r="BV379" s="19" t="s">
        <v>11731</v>
      </c>
      <c r="BW379" s="15" t="s">
        <v>11732</v>
      </c>
      <c r="BX379" s="26"/>
      <c r="BY379" s="18" t="str">
        <f t="shared" si="106"/>
        <v>IT</v>
      </c>
      <c r="BZ379" s="24" t="str">
        <f t="shared" si="100"/>
        <v>https://drive.google.com/open?id=1Eco7VzVVehUdmmJn8KlHss_QttUN4wEa</v>
      </c>
      <c r="CA379" s="24" t="str">
        <f t="shared" si="101"/>
        <v>https://drive.google.com/open?id=1-DQrUNRudmSY2cLQ7dkjsXjHQnbXf1rn</v>
      </c>
      <c r="CB379" s="15" t="s">
        <v>2908</v>
      </c>
      <c r="CC379" s="15" t="s">
        <v>2821</v>
      </c>
      <c r="CD379" s="25" t="s">
        <v>2909</v>
      </c>
      <c r="CE379" s="18"/>
      <c r="CF379" s="18"/>
      <c r="CG379" s="18"/>
    </row>
    <row r="380" ht="18.75" hidden="1" customHeight="1">
      <c r="A380" s="14">
        <v>44742.91106271991</v>
      </c>
      <c r="B380" s="15" t="s">
        <v>2304</v>
      </c>
      <c r="C380" s="16" t="s">
        <v>11733</v>
      </c>
      <c r="D380" s="15" t="str">
        <f>IFERROR(__xludf.DUMMYFUNCTION("QUERY(TY_ALL_2023_Batch!$A$1:$E$824, ""SELECT E WHERE C='""&amp;B380&amp;""'"", 0)"),"IT")</f>
        <v>IT</v>
      </c>
      <c r="E380" s="15" t="s">
        <v>3378</v>
      </c>
      <c r="F380" s="15" t="s">
        <v>3247</v>
      </c>
      <c r="G380" s="15" t="s">
        <v>11734</v>
      </c>
      <c r="H380" s="15" t="s">
        <v>2785</v>
      </c>
      <c r="I380" s="17">
        <v>37210.0</v>
      </c>
      <c r="J380" s="15">
        <v>2019.0</v>
      </c>
      <c r="K380" s="15" t="s">
        <v>2786</v>
      </c>
      <c r="L380" s="15" t="s">
        <v>2787</v>
      </c>
      <c r="M380" s="18"/>
      <c r="N380" s="15" t="s">
        <v>11735</v>
      </c>
      <c r="O380" s="15" t="s">
        <v>2304</v>
      </c>
      <c r="P380" s="19" t="s">
        <v>11736</v>
      </c>
      <c r="Q380" s="15">
        <v>9.119469316E9</v>
      </c>
      <c r="R380" s="15">
        <v>9.119469316E9</v>
      </c>
      <c r="S380" s="15">
        <v>7.709406194E9</v>
      </c>
      <c r="T380" s="15" t="s">
        <v>11737</v>
      </c>
      <c r="U380" s="15" t="s">
        <v>11738</v>
      </c>
      <c r="V380" s="15" t="s">
        <v>11739</v>
      </c>
      <c r="W380" s="15" t="s">
        <v>11740</v>
      </c>
      <c r="X380" s="15">
        <v>86.0</v>
      </c>
      <c r="Y380" s="15" t="s">
        <v>2795</v>
      </c>
      <c r="Z380" s="15">
        <v>9.29</v>
      </c>
      <c r="AA380" s="15">
        <v>9.0</v>
      </c>
      <c r="AB380" s="15" t="s">
        <v>2796</v>
      </c>
      <c r="AC380" s="15" t="s">
        <v>2796</v>
      </c>
      <c r="AD380" s="15" t="s">
        <v>2796</v>
      </c>
      <c r="AE380" s="15" t="s">
        <v>2796</v>
      </c>
      <c r="AF380" s="15">
        <v>8.95</v>
      </c>
      <c r="AG380" s="15">
        <v>9.0</v>
      </c>
      <c r="AH380" s="15">
        <v>76.0</v>
      </c>
      <c r="AI380" s="18"/>
      <c r="AJ380" s="15" t="s">
        <v>2787</v>
      </c>
      <c r="AK380" s="15" t="s">
        <v>2787</v>
      </c>
      <c r="AL380" s="15">
        <v>671.0</v>
      </c>
      <c r="AM380" s="15">
        <v>675.0</v>
      </c>
      <c r="AN380" s="15" t="s">
        <v>2787</v>
      </c>
      <c r="AO380" s="18"/>
      <c r="AP380" s="15" t="s">
        <v>11741</v>
      </c>
      <c r="AQ380" s="15" t="s">
        <v>11742</v>
      </c>
      <c r="AR380" s="15" t="s">
        <v>11743</v>
      </c>
      <c r="AS380" s="18"/>
      <c r="AT380" s="18"/>
      <c r="AU380" s="18"/>
      <c r="AV380" s="15" t="s">
        <v>11744</v>
      </c>
      <c r="AW380" s="15" t="s">
        <v>11745</v>
      </c>
      <c r="AX380" s="18"/>
      <c r="AY380" s="15" t="s">
        <v>11746</v>
      </c>
      <c r="AZ380" s="15" t="s">
        <v>5335</v>
      </c>
      <c r="BA380" s="15" t="s">
        <v>5552</v>
      </c>
      <c r="BB380" s="15" t="s">
        <v>5626</v>
      </c>
      <c r="BC380" s="15" t="s">
        <v>5604</v>
      </c>
      <c r="BD380" s="15" t="s">
        <v>2807</v>
      </c>
      <c r="BE380" s="15" t="s">
        <v>11747</v>
      </c>
      <c r="BF380" s="18"/>
      <c r="BG380" s="18"/>
      <c r="BH380" s="18"/>
      <c r="BI380" s="15" t="s">
        <v>11748</v>
      </c>
      <c r="BJ380" s="19" t="s">
        <v>11749</v>
      </c>
      <c r="BK380" s="19" t="s">
        <v>11750</v>
      </c>
      <c r="BL380" s="19" t="s">
        <v>11751</v>
      </c>
      <c r="BM380" s="20" t="s">
        <v>11752</v>
      </c>
      <c r="BN380" s="19" t="s">
        <v>11753</v>
      </c>
      <c r="BO380" s="19" t="s">
        <v>11754</v>
      </c>
      <c r="BP380" s="19" t="s">
        <v>11755</v>
      </c>
      <c r="BQ380" s="15" t="s">
        <v>166</v>
      </c>
      <c r="BR380" s="19" t="s">
        <v>11756</v>
      </c>
      <c r="BS380" s="26"/>
      <c r="BT380" s="19" t="s">
        <v>11757</v>
      </c>
      <c r="BU380" s="26"/>
      <c r="BV380" s="26"/>
      <c r="BW380" s="15" t="s">
        <v>11758</v>
      </c>
      <c r="BX380" s="26"/>
      <c r="BY380" s="18" t="str">
        <f t="shared" si="106"/>
        <v>IT</v>
      </c>
      <c r="BZ380" s="24" t="str">
        <f t="shared" si="100"/>
        <v>https://drive.google.com/open?id=1AipjSwALJzlDjm_YhJuwLagz0l93daGO</v>
      </c>
      <c r="CA380" s="24" t="str">
        <f t="shared" si="101"/>
        <v>https://drive.google.com/open?id=1CXitPwF_dku1jK-_s5ZonWRrY5O5LIyy</v>
      </c>
      <c r="CB380" s="15" t="s">
        <v>2821</v>
      </c>
      <c r="CC380" s="15" t="s">
        <v>2821</v>
      </c>
      <c r="CD380" s="25" t="s">
        <v>2909</v>
      </c>
      <c r="CE380" s="18"/>
      <c r="CF380" s="18"/>
      <c r="CG380" s="18"/>
    </row>
    <row r="381" ht="18.75" hidden="1" customHeight="1">
      <c r="A381" s="14">
        <v>44742.99224137732</v>
      </c>
      <c r="B381" s="15" t="s">
        <v>2127</v>
      </c>
      <c r="C381" s="16" t="s">
        <v>11759</v>
      </c>
      <c r="D381" s="15" t="str">
        <f>IFERROR(__xludf.DUMMYFUNCTION("QUERY(TY_ALL_2023_Batch!$A$1:$E$824, ""SELECT E WHERE C='""&amp;B381&amp;""'"", 0)"),"IT")</f>
        <v>IT</v>
      </c>
      <c r="E381" s="15" t="s">
        <v>7249</v>
      </c>
      <c r="F381" s="15" t="s">
        <v>6084</v>
      </c>
      <c r="G381" s="15" t="s">
        <v>11760</v>
      </c>
      <c r="H381" s="15" t="s">
        <v>2785</v>
      </c>
      <c r="I381" s="17">
        <v>37409.0</v>
      </c>
      <c r="J381" s="15">
        <v>2019.0</v>
      </c>
      <c r="K381" s="15" t="s">
        <v>2786</v>
      </c>
      <c r="L381" s="15" t="s">
        <v>2787</v>
      </c>
      <c r="M381" s="18"/>
      <c r="N381" s="15" t="s">
        <v>11761</v>
      </c>
      <c r="O381" s="15" t="s">
        <v>2127</v>
      </c>
      <c r="P381" s="19" t="s">
        <v>11762</v>
      </c>
      <c r="Q381" s="15">
        <v>7.385843174E9</v>
      </c>
      <c r="R381" s="15">
        <v>7.385843174E9</v>
      </c>
      <c r="S381" s="15">
        <v>8.208942085E9</v>
      </c>
      <c r="T381" s="15" t="s">
        <v>6084</v>
      </c>
      <c r="U381" s="15" t="s">
        <v>5723</v>
      </c>
      <c r="V381" s="15" t="s">
        <v>11763</v>
      </c>
      <c r="W381" s="15" t="s">
        <v>11764</v>
      </c>
      <c r="X381" s="15">
        <v>76.4</v>
      </c>
      <c r="Y381" s="15" t="s">
        <v>2795</v>
      </c>
      <c r="Z381" s="15">
        <v>9.9</v>
      </c>
      <c r="AA381" s="15">
        <v>9.24</v>
      </c>
      <c r="AB381" s="15" t="s">
        <v>2796</v>
      </c>
      <c r="AC381" s="15" t="s">
        <v>2796</v>
      </c>
      <c r="AD381" s="15" t="s">
        <v>2796</v>
      </c>
      <c r="AE381" s="15" t="s">
        <v>2796</v>
      </c>
      <c r="AF381" s="15">
        <v>9.23</v>
      </c>
      <c r="AG381" s="15">
        <v>9.43</v>
      </c>
      <c r="AH381" s="15">
        <v>79.38</v>
      </c>
      <c r="AI381" s="18"/>
      <c r="AJ381" s="15" t="s">
        <v>2787</v>
      </c>
      <c r="AK381" s="15" t="s">
        <v>2787</v>
      </c>
      <c r="AL381" s="18"/>
      <c r="AM381" s="18"/>
      <c r="AN381" s="15" t="s">
        <v>2797</v>
      </c>
      <c r="AO381" s="15" t="s">
        <v>2796</v>
      </c>
      <c r="AP381" s="15" t="s">
        <v>3006</v>
      </c>
      <c r="AQ381" s="15" t="s">
        <v>5356</v>
      </c>
      <c r="AR381" s="18"/>
      <c r="AS381" s="18"/>
      <c r="AT381" s="18"/>
      <c r="AU381" s="15" t="s">
        <v>11765</v>
      </c>
      <c r="AV381" s="15" t="s">
        <v>11766</v>
      </c>
      <c r="AW381" s="15" t="s">
        <v>11767</v>
      </c>
      <c r="AX381" s="18"/>
      <c r="AY381" s="15" t="s">
        <v>11768</v>
      </c>
      <c r="AZ381" s="15" t="s">
        <v>5335</v>
      </c>
      <c r="BA381" s="15" t="s">
        <v>2839</v>
      </c>
      <c r="BB381" s="15" t="s">
        <v>5729</v>
      </c>
      <c r="BC381" s="15" t="s">
        <v>11769</v>
      </c>
      <c r="BD381" s="15" t="s">
        <v>2807</v>
      </c>
      <c r="BE381" s="15" t="s">
        <v>11770</v>
      </c>
      <c r="BF381" s="18"/>
      <c r="BG381" s="18"/>
      <c r="BH381" s="18"/>
      <c r="BI381" s="18"/>
      <c r="BJ381" s="19" t="s">
        <v>11771</v>
      </c>
      <c r="BK381" s="19" t="s">
        <v>11772</v>
      </c>
      <c r="BL381" s="18"/>
      <c r="BM381" s="20" t="s">
        <v>11773</v>
      </c>
      <c r="BN381" s="19" t="s">
        <v>11774</v>
      </c>
      <c r="BO381" s="19" t="s">
        <v>11775</v>
      </c>
      <c r="BP381" s="19" t="s">
        <v>11776</v>
      </c>
      <c r="BQ381" s="15" t="s">
        <v>166</v>
      </c>
      <c r="BR381" s="26"/>
      <c r="BS381" s="26"/>
      <c r="BT381" s="26"/>
      <c r="BU381" s="26"/>
      <c r="BV381" s="26"/>
      <c r="BW381" s="15" t="s">
        <v>11777</v>
      </c>
      <c r="BX381" s="26"/>
      <c r="BY381" s="18" t="str">
        <f t="shared" si="106"/>
        <v>IT</v>
      </c>
      <c r="BZ381" s="18" t="str">
        <f t="shared" si="100"/>
        <v/>
      </c>
      <c r="CA381" s="24" t="str">
        <f t="shared" si="101"/>
        <v>https://drive.google.com/open?id=1qMF6nW3xFi2vncEQoYFIYZ31nVs4W37N</v>
      </c>
      <c r="CB381" s="15" t="s">
        <v>2908</v>
      </c>
      <c r="CC381" s="15" t="s">
        <v>2821</v>
      </c>
      <c r="CD381" s="25" t="s">
        <v>2797</v>
      </c>
      <c r="CE381" s="18"/>
      <c r="CF381" s="18"/>
      <c r="CG381" s="18"/>
    </row>
    <row r="382" ht="18.75" hidden="1" customHeight="1">
      <c r="A382" s="14">
        <v>44741.919895625004</v>
      </c>
      <c r="B382" s="15" t="s">
        <v>2301</v>
      </c>
      <c r="C382" s="16" t="s">
        <v>11778</v>
      </c>
      <c r="D382" s="15" t="str">
        <f>IFERROR(__xludf.DUMMYFUNCTION("QUERY(TY_ALL_2023_Batch!$A$1:$E$824, ""SELECT E WHERE C='""&amp;B382&amp;""'"", 0)"),"IT")</f>
        <v>IT</v>
      </c>
      <c r="E382" s="15" t="s">
        <v>5659</v>
      </c>
      <c r="F382" s="15" t="s">
        <v>8859</v>
      </c>
      <c r="G382" s="15" t="s">
        <v>11779</v>
      </c>
      <c r="H382" s="15" t="s">
        <v>2826</v>
      </c>
      <c r="I382" s="17">
        <v>37075.0</v>
      </c>
      <c r="J382" s="15">
        <v>2019.0</v>
      </c>
      <c r="K382" s="15" t="s">
        <v>2786</v>
      </c>
      <c r="L382" s="15" t="s">
        <v>2787</v>
      </c>
      <c r="M382" s="18"/>
      <c r="N382" s="15" t="s">
        <v>11780</v>
      </c>
      <c r="O382" s="15" t="s">
        <v>2301</v>
      </c>
      <c r="P382" s="19" t="s">
        <v>11781</v>
      </c>
      <c r="Q382" s="15">
        <v>7.507640252E9</v>
      </c>
      <c r="R382" s="15">
        <v>7.507640252E9</v>
      </c>
      <c r="S382" s="15">
        <v>7.507640252E9</v>
      </c>
      <c r="T382" s="15" t="s">
        <v>11782</v>
      </c>
      <c r="U382" s="15" t="s">
        <v>11783</v>
      </c>
      <c r="V382" s="15" t="s">
        <v>11784</v>
      </c>
      <c r="W382" s="15" t="s">
        <v>11785</v>
      </c>
      <c r="X382" s="15">
        <v>84.0</v>
      </c>
      <c r="Y382" s="15" t="s">
        <v>2795</v>
      </c>
      <c r="Z382" s="15">
        <v>8.43</v>
      </c>
      <c r="AA382" s="15">
        <v>8.76</v>
      </c>
      <c r="AB382" s="15" t="s">
        <v>2796</v>
      </c>
      <c r="AC382" s="15" t="s">
        <v>2796</v>
      </c>
      <c r="AD382" s="15" t="s">
        <v>2796</v>
      </c>
      <c r="AE382" s="15" t="s">
        <v>2796</v>
      </c>
      <c r="AF382" s="15">
        <v>7.42</v>
      </c>
      <c r="AG382" s="15">
        <v>7.71</v>
      </c>
      <c r="AH382" s="15">
        <v>64.0</v>
      </c>
      <c r="AI382" s="18"/>
      <c r="AJ382" s="15" t="s">
        <v>2787</v>
      </c>
      <c r="AK382" s="15" t="s">
        <v>2787</v>
      </c>
      <c r="AL382" s="18"/>
      <c r="AM382" s="18"/>
      <c r="AN382" s="15" t="s">
        <v>2797</v>
      </c>
      <c r="AO382" s="15" t="s">
        <v>2796</v>
      </c>
      <c r="AP382" s="15" t="s">
        <v>2796</v>
      </c>
      <c r="AQ382" s="15" t="s">
        <v>11786</v>
      </c>
      <c r="AR382" s="15" t="s">
        <v>11787</v>
      </c>
      <c r="AS382" s="15" t="s">
        <v>11788</v>
      </c>
      <c r="AT382" s="18"/>
      <c r="AU382" s="18"/>
      <c r="AV382" s="15" t="s">
        <v>9307</v>
      </c>
      <c r="AW382" s="15" t="s">
        <v>11789</v>
      </c>
      <c r="AX382" s="18"/>
      <c r="AY382" s="15" t="s">
        <v>11790</v>
      </c>
      <c r="AZ382" s="15" t="s">
        <v>5260</v>
      </c>
      <c r="BA382" s="15" t="s">
        <v>5844</v>
      </c>
      <c r="BB382" s="15" t="s">
        <v>5673</v>
      </c>
      <c r="BC382" s="15" t="s">
        <v>11791</v>
      </c>
      <c r="BD382" s="15" t="s">
        <v>3393</v>
      </c>
      <c r="BE382" s="15" t="s">
        <v>11792</v>
      </c>
      <c r="BF382" s="18"/>
      <c r="BG382" s="18"/>
      <c r="BH382" s="18"/>
      <c r="BI382" s="18"/>
      <c r="BJ382" s="19" t="s">
        <v>11793</v>
      </c>
      <c r="BK382" s="19" t="s">
        <v>11794</v>
      </c>
      <c r="BL382" s="19" t="s">
        <v>11795</v>
      </c>
      <c r="BM382" s="19" t="s">
        <v>11796</v>
      </c>
      <c r="BN382" s="19" t="s">
        <v>11797</v>
      </c>
      <c r="BO382" s="19" t="s">
        <v>11798</v>
      </c>
      <c r="BP382" s="19" t="s">
        <v>11799</v>
      </c>
      <c r="BQ382" s="15" t="s">
        <v>166</v>
      </c>
      <c r="BR382" s="19" t="s">
        <v>11800</v>
      </c>
      <c r="BS382" s="19" t="s">
        <v>11801</v>
      </c>
      <c r="BT382" s="19" t="s">
        <v>11802</v>
      </c>
      <c r="BU382" s="19" t="s">
        <v>11803</v>
      </c>
      <c r="BV382" s="19" t="s">
        <v>11804</v>
      </c>
      <c r="BW382" s="15" t="s">
        <v>11805</v>
      </c>
      <c r="BX382" s="26"/>
      <c r="BY382" s="18" t="str">
        <f t="shared" si="106"/>
        <v>IT</v>
      </c>
      <c r="BZ382" s="24" t="str">
        <f t="shared" si="100"/>
        <v>https://drive.google.com/open?id=1X7jhXFjE8eUoV0VQDhSFbQSkd9dpwEes</v>
      </c>
      <c r="CA382" s="24" t="str">
        <f t="shared" si="101"/>
        <v>https://drive.google.com/open?id=1BKGKF995y2d9UxzY_IFg7TArDEfBWd84</v>
      </c>
      <c r="CB382" s="15" t="s">
        <v>2821</v>
      </c>
      <c r="CC382" s="15" t="s">
        <v>2821</v>
      </c>
      <c r="CD382" s="25" t="s">
        <v>2909</v>
      </c>
      <c r="CE382" s="18"/>
      <c r="CF382" s="18"/>
      <c r="CG382" s="18"/>
    </row>
    <row r="383" ht="18.75" hidden="1" customHeight="1">
      <c r="A383" s="14">
        <v>44735.96317440972</v>
      </c>
      <c r="B383" s="15" t="s">
        <v>2274</v>
      </c>
      <c r="C383" s="16" t="s">
        <v>11806</v>
      </c>
      <c r="D383" s="15" t="str">
        <f>IFERROR(__xludf.DUMMYFUNCTION("QUERY(TY_ALL_2023_Batch!$A$1:$E$824, ""SELECT E WHERE C='""&amp;B383&amp;""'"", 0)"),"IT")</f>
        <v>IT</v>
      </c>
      <c r="E383" s="15" t="s">
        <v>11807</v>
      </c>
      <c r="F383" s="15" t="s">
        <v>11808</v>
      </c>
      <c r="G383" s="15" t="s">
        <v>11809</v>
      </c>
      <c r="H383" s="15" t="s">
        <v>2785</v>
      </c>
      <c r="I383" s="17">
        <v>37139.0</v>
      </c>
      <c r="J383" s="15">
        <v>2019.0</v>
      </c>
      <c r="K383" s="15" t="s">
        <v>2786</v>
      </c>
      <c r="L383" s="15" t="s">
        <v>2787</v>
      </c>
      <c r="M383" s="18"/>
      <c r="N383" s="15" t="s">
        <v>11810</v>
      </c>
      <c r="O383" s="15" t="s">
        <v>2274</v>
      </c>
      <c r="P383" s="19" t="s">
        <v>11811</v>
      </c>
      <c r="Q383" s="15">
        <v>7.972306084E9</v>
      </c>
      <c r="R383" s="15">
        <v>7.972306084E9</v>
      </c>
      <c r="S383" s="18"/>
      <c r="T383" s="15" t="s">
        <v>11812</v>
      </c>
      <c r="U383" s="15" t="s">
        <v>11813</v>
      </c>
      <c r="V383" s="15" t="s">
        <v>11814</v>
      </c>
      <c r="W383" s="15" t="s">
        <v>11815</v>
      </c>
      <c r="X383" s="15">
        <v>78.0</v>
      </c>
      <c r="Y383" s="15" t="s">
        <v>2795</v>
      </c>
      <c r="Z383" s="15">
        <v>9.81</v>
      </c>
      <c r="AA383" s="15">
        <v>9.9</v>
      </c>
      <c r="AB383" s="15" t="s">
        <v>2796</v>
      </c>
      <c r="AC383" s="15" t="s">
        <v>2796</v>
      </c>
      <c r="AD383" s="15" t="s">
        <v>2796</v>
      </c>
      <c r="AE383" s="15" t="s">
        <v>2796</v>
      </c>
      <c r="AF383" s="15">
        <v>8.7</v>
      </c>
      <c r="AG383" s="15">
        <v>9.58</v>
      </c>
      <c r="AH383" s="15">
        <v>74.0</v>
      </c>
      <c r="AI383" s="18"/>
      <c r="AJ383" s="15" t="s">
        <v>2787</v>
      </c>
      <c r="AK383" s="15" t="s">
        <v>2787</v>
      </c>
      <c r="AL383" s="15">
        <v>673.33</v>
      </c>
      <c r="AM383" s="15">
        <v>670.0</v>
      </c>
      <c r="AN383" s="15" t="s">
        <v>2797</v>
      </c>
      <c r="AO383" s="18"/>
      <c r="AP383" s="18"/>
      <c r="AQ383" s="15" t="s">
        <v>5356</v>
      </c>
      <c r="AR383" s="18"/>
      <c r="AS383" s="18"/>
      <c r="AT383" s="18"/>
      <c r="AU383" s="15" t="s">
        <v>11816</v>
      </c>
      <c r="AV383" s="15" t="s">
        <v>11817</v>
      </c>
      <c r="AW383" s="15" t="s">
        <v>11818</v>
      </c>
      <c r="AX383" s="18"/>
      <c r="AY383" s="15" t="s">
        <v>11819</v>
      </c>
      <c r="AZ383" s="15" t="s">
        <v>5335</v>
      </c>
      <c r="BA383" s="15" t="s">
        <v>5552</v>
      </c>
      <c r="BB383" s="15" t="s">
        <v>4504</v>
      </c>
      <c r="BC383" s="15" t="s">
        <v>5577</v>
      </c>
      <c r="BD383" s="15" t="s">
        <v>2807</v>
      </c>
      <c r="BE383" s="15" t="s">
        <v>11820</v>
      </c>
      <c r="BF383" s="18"/>
      <c r="BG383" s="18"/>
      <c r="BH383" s="18"/>
      <c r="BI383" s="18"/>
      <c r="BJ383" s="19" t="s">
        <v>11821</v>
      </c>
      <c r="BK383" s="19" t="s">
        <v>11822</v>
      </c>
      <c r="BL383" s="19" t="s">
        <v>11823</v>
      </c>
      <c r="BM383" s="19" t="s">
        <v>11824</v>
      </c>
      <c r="BN383" s="19" t="s">
        <v>11825</v>
      </c>
      <c r="BO383" s="19" t="s">
        <v>11826</v>
      </c>
      <c r="BP383" s="19" t="s">
        <v>11827</v>
      </c>
      <c r="BQ383" s="15" t="s">
        <v>166</v>
      </c>
      <c r="BR383" s="26"/>
      <c r="BS383" s="26"/>
      <c r="BT383" s="26"/>
      <c r="BU383" s="26"/>
      <c r="BV383" s="26"/>
      <c r="BW383" s="26"/>
      <c r="BX383" s="26"/>
      <c r="BY383" s="18" t="str">
        <f t="shared" si="106"/>
        <v>IT</v>
      </c>
      <c r="BZ383" s="24" t="str">
        <f t="shared" si="100"/>
        <v>https://drive.google.com/open?id=1xHbuljmaQA2sBWDML4Yf1mMz4bmHluYf</v>
      </c>
      <c r="CA383" s="24" t="str">
        <f t="shared" si="101"/>
        <v>https://drive.google.com/open?id=1PYq4xsF8XOBGAXKwPg6lGixxh6sAsquR</v>
      </c>
      <c r="CB383" s="15" t="s">
        <v>2821</v>
      </c>
      <c r="CC383" s="15" t="s">
        <v>2821</v>
      </c>
      <c r="CD383" s="25" t="s">
        <v>2797</v>
      </c>
      <c r="CE383" s="18"/>
      <c r="CF383" s="18"/>
      <c r="CG383" s="18"/>
    </row>
    <row r="384" ht="18.75" hidden="1" customHeight="1">
      <c r="A384" s="14">
        <v>44741.43163155093</v>
      </c>
      <c r="B384" s="15" t="s">
        <v>2238</v>
      </c>
      <c r="C384" s="16" t="s">
        <v>11828</v>
      </c>
      <c r="D384" s="15" t="str">
        <f>IFERROR(__xludf.DUMMYFUNCTION("QUERY(TY_ALL_2023_Batch!$A$1:$E$824, ""SELECT E WHERE C='""&amp;B384&amp;""'"", 0)"),"IT")</f>
        <v>IT</v>
      </c>
      <c r="E384" s="15" t="s">
        <v>4387</v>
      </c>
      <c r="F384" s="15" t="s">
        <v>11829</v>
      </c>
      <c r="G384" s="15" t="s">
        <v>6086</v>
      </c>
      <c r="H384" s="15" t="s">
        <v>2785</v>
      </c>
      <c r="I384" s="17">
        <v>36867.0</v>
      </c>
      <c r="J384" s="15">
        <v>2019.0</v>
      </c>
      <c r="K384" s="15" t="s">
        <v>2786</v>
      </c>
      <c r="L384" s="15" t="s">
        <v>2787</v>
      </c>
      <c r="M384" s="18"/>
      <c r="N384" s="15" t="s">
        <v>11830</v>
      </c>
      <c r="O384" s="15" t="s">
        <v>2238</v>
      </c>
      <c r="P384" s="19" t="s">
        <v>11831</v>
      </c>
      <c r="Q384" s="15">
        <v>9.834603147E9</v>
      </c>
      <c r="R384" s="15">
        <v>9.834603147E9</v>
      </c>
      <c r="S384" s="15">
        <v>9.881159653E9</v>
      </c>
      <c r="T384" s="15" t="s">
        <v>11829</v>
      </c>
      <c r="U384" s="15" t="s">
        <v>3333</v>
      </c>
      <c r="V384" s="15" t="s">
        <v>11832</v>
      </c>
      <c r="W384" s="18"/>
      <c r="X384" s="15">
        <v>85.4</v>
      </c>
      <c r="Y384" s="15" t="s">
        <v>2795</v>
      </c>
      <c r="Z384" s="15">
        <v>9.76</v>
      </c>
      <c r="AA384" s="15">
        <v>9.9</v>
      </c>
      <c r="AB384" s="15" t="s">
        <v>2796</v>
      </c>
      <c r="AC384" s="15" t="s">
        <v>2796</v>
      </c>
      <c r="AD384" s="15" t="s">
        <v>2796</v>
      </c>
      <c r="AE384" s="15" t="s">
        <v>2796</v>
      </c>
      <c r="AF384" s="15">
        <v>8.95</v>
      </c>
      <c r="AG384" s="15">
        <v>9.43</v>
      </c>
      <c r="AH384" s="15">
        <v>82.15</v>
      </c>
      <c r="AI384" s="18"/>
      <c r="AJ384" s="15" t="s">
        <v>2787</v>
      </c>
      <c r="AK384" s="15" t="s">
        <v>2787</v>
      </c>
      <c r="AL384" s="15">
        <v>95.0</v>
      </c>
      <c r="AM384" s="15">
        <v>86.0</v>
      </c>
      <c r="AN384" s="15" t="s">
        <v>2797</v>
      </c>
      <c r="AO384" s="18"/>
      <c r="AP384" s="18"/>
      <c r="AQ384" s="15" t="s">
        <v>5356</v>
      </c>
      <c r="AR384" s="15" t="s">
        <v>11833</v>
      </c>
      <c r="AS384" s="15" t="s">
        <v>11834</v>
      </c>
      <c r="AT384" s="18"/>
      <c r="AU384" s="15" t="s">
        <v>11835</v>
      </c>
      <c r="AV384" s="15" t="s">
        <v>11836</v>
      </c>
      <c r="AW384" s="15" t="s">
        <v>11837</v>
      </c>
      <c r="AX384" s="18"/>
      <c r="AY384" s="15" t="s">
        <v>11838</v>
      </c>
      <c r="AZ384" s="15" t="s">
        <v>5335</v>
      </c>
      <c r="BA384" s="15" t="s">
        <v>2806</v>
      </c>
      <c r="BB384" s="15" t="s">
        <v>4484</v>
      </c>
      <c r="BC384" s="15" t="s">
        <v>11839</v>
      </c>
      <c r="BD384" s="15" t="s">
        <v>3393</v>
      </c>
      <c r="BE384" s="15" t="s">
        <v>11840</v>
      </c>
      <c r="BF384" s="18"/>
      <c r="BG384" s="18"/>
      <c r="BH384" s="15" t="s">
        <v>11841</v>
      </c>
      <c r="BI384" s="15" t="s">
        <v>11842</v>
      </c>
      <c r="BJ384" s="19" t="s">
        <v>11843</v>
      </c>
      <c r="BK384" s="19" t="s">
        <v>11844</v>
      </c>
      <c r="BL384" s="19" t="s">
        <v>11845</v>
      </c>
      <c r="BM384" s="19" t="s">
        <v>11846</v>
      </c>
      <c r="BN384" s="19" t="s">
        <v>11847</v>
      </c>
      <c r="BO384" s="19" t="s">
        <v>11848</v>
      </c>
      <c r="BP384" s="19" t="s">
        <v>11849</v>
      </c>
      <c r="BQ384" s="15" t="s">
        <v>166</v>
      </c>
      <c r="BR384" s="19" t="s">
        <v>11850</v>
      </c>
      <c r="BS384" s="26"/>
      <c r="BT384" s="26"/>
      <c r="BU384" s="19" t="s">
        <v>11851</v>
      </c>
      <c r="BV384" s="19" t="s">
        <v>11852</v>
      </c>
      <c r="BW384" s="15" t="s">
        <v>11853</v>
      </c>
      <c r="BX384" s="26"/>
      <c r="BY384" s="18" t="str">
        <f t="shared" si="106"/>
        <v>IT</v>
      </c>
      <c r="BZ384" s="24" t="str">
        <f t="shared" si="100"/>
        <v>https://drive.google.com/open?id=1G-0WL1Fd_nEglNfKO9lB1rZDgRn58BEz</v>
      </c>
      <c r="CA384" s="24" t="str">
        <f t="shared" si="101"/>
        <v>https://drive.google.com/open?id=1qz30iD159Shx4G8kpBdJjEogAe9DmgYs</v>
      </c>
      <c r="CB384" s="15" t="s">
        <v>2821</v>
      </c>
      <c r="CC384" s="15" t="s">
        <v>2821</v>
      </c>
      <c r="CD384" s="25" t="s">
        <v>2797</v>
      </c>
      <c r="CE384" s="18"/>
      <c r="CF384" s="18"/>
      <c r="CG384" s="18"/>
    </row>
    <row r="385" ht="12.75" hidden="1" customHeight="1">
      <c r="A385" s="14">
        <v>44735.36842277778</v>
      </c>
      <c r="B385" s="15" t="s">
        <v>2124</v>
      </c>
      <c r="C385" s="16" t="s">
        <v>11854</v>
      </c>
      <c r="D385" s="15" t="str">
        <f>IFERROR(__xludf.DUMMYFUNCTION("QUERY(TY_ALL_2023_Batch!$A$1:$E$824, ""SELECT E WHERE C='""&amp;B385&amp;""'"", 0)"),"IT")</f>
        <v>IT</v>
      </c>
      <c r="E385" s="15" t="s">
        <v>11855</v>
      </c>
      <c r="F385" s="18"/>
      <c r="G385" s="15" t="s">
        <v>11856</v>
      </c>
      <c r="H385" s="15" t="s">
        <v>2785</v>
      </c>
      <c r="I385" s="17">
        <v>37015.0</v>
      </c>
      <c r="J385" s="15">
        <v>2019.0</v>
      </c>
      <c r="K385" s="15" t="s">
        <v>2786</v>
      </c>
      <c r="L385" s="15" t="s">
        <v>2787</v>
      </c>
      <c r="M385" s="18"/>
      <c r="N385" s="15" t="s">
        <v>11857</v>
      </c>
      <c r="O385" s="15" t="s">
        <v>2124</v>
      </c>
      <c r="P385" s="19" t="s">
        <v>11858</v>
      </c>
      <c r="Q385" s="15">
        <v>7.42008389E9</v>
      </c>
      <c r="R385" s="15">
        <v>7.42008389E9</v>
      </c>
      <c r="S385" s="15">
        <v>7.972517154E9</v>
      </c>
      <c r="T385" s="15" t="s">
        <v>11859</v>
      </c>
      <c r="U385" s="15" t="s">
        <v>11860</v>
      </c>
      <c r="V385" s="15" t="s">
        <v>11861</v>
      </c>
      <c r="W385" s="18"/>
      <c r="X385" s="15">
        <v>90.8</v>
      </c>
      <c r="Y385" s="15" t="s">
        <v>2795</v>
      </c>
      <c r="Z385" s="15">
        <v>9.81</v>
      </c>
      <c r="AA385" s="15">
        <v>9.76</v>
      </c>
      <c r="AB385" s="15" t="s">
        <v>2796</v>
      </c>
      <c r="AC385" s="15" t="s">
        <v>2796</v>
      </c>
      <c r="AD385" s="15" t="s">
        <v>2796</v>
      </c>
      <c r="AE385" s="15" t="s">
        <v>2796</v>
      </c>
      <c r="AF385" s="15">
        <v>9.62</v>
      </c>
      <c r="AG385" s="15">
        <v>9.58</v>
      </c>
      <c r="AH385" s="15">
        <v>84.77</v>
      </c>
      <c r="AI385" s="18"/>
      <c r="AJ385" s="15" t="s">
        <v>2787</v>
      </c>
      <c r="AK385" s="15" t="s">
        <v>2787</v>
      </c>
      <c r="AL385" s="15">
        <v>672.0</v>
      </c>
      <c r="AM385" s="15">
        <v>707.0</v>
      </c>
      <c r="AN385" s="15" t="s">
        <v>2797</v>
      </c>
      <c r="AO385" s="18"/>
      <c r="AP385" s="18"/>
      <c r="AQ385" s="15" t="s">
        <v>5356</v>
      </c>
      <c r="AR385" s="15" t="s">
        <v>11862</v>
      </c>
      <c r="AS385" s="18"/>
      <c r="AT385" s="18"/>
      <c r="AU385" s="18"/>
      <c r="AV385" s="15" t="s">
        <v>11863</v>
      </c>
      <c r="AW385" s="15" t="s">
        <v>11864</v>
      </c>
      <c r="AX385" s="18"/>
      <c r="AY385" s="15" t="s">
        <v>11865</v>
      </c>
      <c r="AZ385" s="15" t="s">
        <v>5287</v>
      </c>
      <c r="BA385" s="15" t="s">
        <v>5552</v>
      </c>
      <c r="BB385" s="15" t="s">
        <v>11866</v>
      </c>
      <c r="BC385" s="15" t="s">
        <v>4644</v>
      </c>
      <c r="BD385" s="15" t="s">
        <v>11867</v>
      </c>
      <c r="BE385" s="15" t="s">
        <v>11868</v>
      </c>
      <c r="BF385" s="18"/>
      <c r="BG385" s="18"/>
      <c r="BH385" s="15" t="s">
        <v>11869</v>
      </c>
      <c r="BI385" s="18"/>
      <c r="BJ385" s="19" t="s">
        <v>11870</v>
      </c>
      <c r="BK385" s="19" t="s">
        <v>11871</v>
      </c>
      <c r="BL385" s="19" t="s">
        <v>11872</v>
      </c>
      <c r="BM385" s="19" t="s">
        <v>11873</v>
      </c>
      <c r="BN385" s="19" t="s">
        <v>11874</v>
      </c>
      <c r="BO385" s="19" t="s">
        <v>11875</v>
      </c>
      <c r="BP385" s="19" t="s">
        <v>11876</v>
      </c>
      <c r="BQ385" s="15" t="s">
        <v>166</v>
      </c>
      <c r="BR385" s="26"/>
      <c r="BS385" s="26"/>
      <c r="BT385" s="26"/>
      <c r="BU385" s="26"/>
      <c r="BV385" s="26"/>
      <c r="BW385" s="26"/>
      <c r="BX385" s="26"/>
      <c r="BY385" s="18" t="str">
        <f t="shared" si="106"/>
        <v>IT</v>
      </c>
      <c r="BZ385" s="24" t="str">
        <f t="shared" si="100"/>
        <v>https://drive.google.com/open?id=1VDkbqdL0U9u-4SML3S1euf6OqAd5EaTM</v>
      </c>
      <c r="CA385" s="24" t="str">
        <f t="shared" si="101"/>
        <v>https://drive.google.com/open?id=15ceRsux_-4ZzX_Mbzn1Y7chgVB4elQuX</v>
      </c>
      <c r="CB385" s="15" t="s">
        <v>2821</v>
      </c>
      <c r="CC385" s="15" t="s">
        <v>2821</v>
      </c>
      <c r="CD385" s="25" t="s">
        <v>2797</v>
      </c>
      <c r="CE385" s="18"/>
      <c r="CF385" s="18"/>
      <c r="CG385" s="18"/>
    </row>
    <row r="386" ht="18.75" hidden="1" customHeight="1">
      <c r="A386" s="14">
        <v>44742.987057164355</v>
      </c>
      <c r="B386" s="15" t="s">
        <v>2151</v>
      </c>
      <c r="C386" s="16" t="s">
        <v>11877</v>
      </c>
      <c r="D386" s="15" t="str">
        <f>IFERROR(__xludf.DUMMYFUNCTION("QUERY(TY_ALL_2023_Batch!$A$1:$E$824, ""SELECT E WHERE C='""&amp;B386&amp;""'"", 0)"),"IT")</f>
        <v>IT</v>
      </c>
      <c r="E386" s="15" t="s">
        <v>3119</v>
      </c>
      <c r="F386" s="15" t="s">
        <v>5988</v>
      </c>
      <c r="G386" s="15" t="s">
        <v>11878</v>
      </c>
      <c r="H386" s="15" t="s">
        <v>2785</v>
      </c>
      <c r="I386" s="17">
        <v>37178.0</v>
      </c>
      <c r="J386" s="15">
        <v>2019.0</v>
      </c>
      <c r="K386" s="15" t="s">
        <v>2786</v>
      </c>
      <c r="L386" s="15" t="s">
        <v>2787</v>
      </c>
      <c r="M386" s="18"/>
      <c r="N386" s="15" t="s">
        <v>11879</v>
      </c>
      <c r="O386" s="15" t="s">
        <v>2151</v>
      </c>
      <c r="P386" s="19" t="s">
        <v>11880</v>
      </c>
      <c r="Q386" s="15">
        <v>7.447249761E9</v>
      </c>
      <c r="R386" s="15">
        <v>7.447249761E9</v>
      </c>
      <c r="S386" s="18"/>
      <c r="T386" s="15" t="s">
        <v>5988</v>
      </c>
      <c r="U386" s="15" t="s">
        <v>3083</v>
      </c>
      <c r="V386" s="15" t="s">
        <v>11881</v>
      </c>
      <c r="W386" s="18"/>
      <c r="X386" s="15">
        <v>82.0</v>
      </c>
      <c r="Y386" s="15" t="s">
        <v>2795</v>
      </c>
      <c r="Z386" s="15">
        <v>7.29</v>
      </c>
      <c r="AA386" s="15">
        <v>6.43</v>
      </c>
      <c r="AB386" s="15" t="s">
        <v>2796</v>
      </c>
      <c r="AC386" s="15" t="s">
        <v>2796</v>
      </c>
      <c r="AD386" s="15" t="s">
        <v>2796</v>
      </c>
      <c r="AE386" s="15" t="s">
        <v>2796</v>
      </c>
      <c r="AF386" s="15">
        <v>7.95</v>
      </c>
      <c r="AG386" s="15">
        <v>6.71</v>
      </c>
      <c r="AH386" s="15">
        <v>72.0</v>
      </c>
      <c r="AI386" s="18"/>
      <c r="AJ386" s="15" t="s">
        <v>2797</v>
      </c>
      <c r="AK386" s="15" t="s">
        <v>2787</v>
      </c>
      <c r="AL386" s="18"/>
      <c r="AM386" s="18"/>
      <c r="AN386" s="15" t="s">
        <v>2797</v>
      </c>
      <c r="AO386" s="18"/>
      <c r="AP386" s="18"/>
      <c r="AQ386" s="15" t="s">
        <v>11882</v>
      </c>
      <c r="AR386" s="18"/>
      <c r="AS386" s="18"/>
      <c r="AT386" s="18"/>
      <c r="AU386" s="18"/>
      <c r="AV386" s="18"/>
      <c r="AW386" s="15" t="s">
        <v>2796</v>
      </c>
      <c r="AX386" s="18"/>
      <c r="AY386" s="15" t="s">
        <v>2796</v>
      </c>
      <c r="AZ386" s="15" t="s">
        <v>5625</v>
      </c>
      <c r="BA386" s="15" t="s">
        <v>2899</v>
      </c>
      <c r="BB386" s="15" t="s">
        <v>4484</v>
      </c>
      <c r="BC386" s="15" t="s">
        <v>3686</v>
      </c>
      <c r="BD386" s="15" t="s">
        <v>2807</v>
      </c>
      <c r="BE386" s="15" t="s">
        <v>2796</v>
      </c>
      <c r="BF386" s="18"/>
      <c r="BG386" s="18"/>
      <c r="BH386" s="18"/>
      <c r="BI386" s="18"/>
      <c r="BJ386" s="19" t="s">
        <v>11883</v>
      </c>
      <c r="BK386" s="19" t="s">
        <v>11884</v>
      </c>
      <c r="BL386" s="18"/>
      <c r="BM386" s="19" t="s">
        <v>11885</v>
      </c>
      <c r="BN386" s="18"/>
      <c r="BO386" s="19" t="s">
        <v>11886</v>
      </c>
      <c r="BP386" s="18"/>
      <c r="BQ386" s="15" t="s">
        <v>166</v>
      </c>
      <c r="BR386" s="18"/>
      <c r="BS386" s="18"/>
      <c r="BT386" s="18"/>
      <c r="BU386" s="18"/>
      <c r="BV386" s="19" t="s">
        <v>11887</v>
      </c>
      <c r="BW386" s="15" t="s">
        <v>11888</v>
      </c>
      <c r="BX386" s="18"/>
      <c r="BY386" s="18" t="str">
        <f t="shared" si="106"/>
        <v>IT</v>
      </c>
      <c r="BZ386" s="18" t="str">
        <f t="shared" si="100"/>
        <v/>
      </c>
      <c r="CA386" s="24" t="str">
        <f t="shared" si="101"/>
        <v>https://drive.google.com/open?id=1ZUp0lL8Pyc5Ea5Q4G3asoocZis2YCwkU</v>
      </c>
      <c r="CB386" s="15" t="s">
        <v>2908</v>
      </c>
      <c r="CC386" s="15" t="s">
        <v>2821</v>
      </c>
      <c r="CD386" s="25" t="s">
        <v>2797</v>
      </c>
      <c r="CE386" s="18"/>
      <c r="CF386" s="18"/>
      <c r="CG386" s="18"/>
    </row>
    <row r="387" ht="18.75" hidden="1" customHeight="1">
      <c r="A387" s="14">
        <v>44741.541808298614</v>
      </c>
      <c r="B387" s="15" t="s">
        <v>2310</v>
      </c>
      <c r="C387" s="16" t="s">
        <v>11889</v>
      </c>
      <c r="D387" s="15" t="str">
        <f>IFERROR(__xludf.DUMMYFUNCTION("QUERY(TY_ALL_2023_Batch!$A$1:$E$824, ""SELECT E WHERE C='""&amp;B387&amp;""'"", 0)"),"IT")</f>
        <v>IT</v>
      </c>
      <c r="E387" s="15" t="s">
        <v>3360</v>
      </c>
      <c r="F387" s="15" t="s">
        <v>11890</v>
      </c>
      <c r="G387" s="15" t="s">
        <v>8233</v>
      </c>
      <c r="H387" s="15" t="s">
        <v>2785</v>
      </c>
      <c r="I387" s="17">
        <v>37020.0</v>
      </c>
      <c r="J387" s="15">
        <v>2019.0</v>
      </c>
      <c r="K387" s="15" t="s">
        <v>2786</v>
      </c>
      <c r="L387" s="15" t="s">
        <v>2787</v>
      </c>
      <c r="M387" s="18"/>
      <c r="N387" s="15" t="s">
        <v>11891</v>
      </c>
      <c r="O387" s="15" t="s">
        <v>2310</v>
      </c>
      <c r="P387" s="19" t="s">
        <v>11892</v>
      </c>
      <c r="Q387" s="15">
        <v>9.552077577E9</v>
      </c>
      <c r="R387" s="15">
        <v>7.666939542E9</v>
      </c>
      <c r="S387" s="15">
        <v>9.552077577E9</v>
      </c>
      <c r="T387" s="15" t="s">
        <v>11890</v>
      </c>
      <c r="U387" s="15" t="s">
        <v>11893</v>
      </c>
      <c r="V387" s="15" t="s">
        <v>11894</v>
      </c>
      <c r="W387" s="15" t="s">
        <v>11895</v>
      </c>
      <c r="X387" s="15">
        <v>92.4</v>
      </c>
      <c r="Y387" s="15" t="s">
        <v>2795</v>
      </c>
      <c r="Z387" s="15">
        <v>8.67</v>
      </c>
      <c r="AA387" s="15">
        <v>8.24</v>
      </c>
      <c r="AB387" s="15" t="s">
        <v>2796</v>
      </c>
      <c r="AC387" s="15" t="s">
        <v>2796</v>
      </c>
      <c r="AD387" s="15" t="s">
        <v>2796</v>
      </c>
      <c r="AE387" s="15" t="s">
        <v>2796</v>
      </c>
      <c r="AF387" s="15">
        <v>8.84</v>
      </c>
      <c r="AG387" s="15">
        <v>8.43</v>
      </c>
      <c r="AH387" s="15">
        <v>76.62</v>
      </c>
      <c r="AI387" s="18"/>
      <c r="AJ387" s="15" t="s">
        <v>2787</v>
      </c>
      <c r="AK387" s="15" t="s">
        <v>2787</v>
      </c>
      <c r="AL387" s="15">
        <v>81.6</v>
      </c>
      <c r="AM387" s="15">
        <v>70.0</v>
      </c>
      <c r="AN387" s="15" t="s">
        <v>2797</v>
      </c>
      <c r="AO387" s="18"/>
      <c r="AP387" s="18"/>
      <c r="AQ387" s="15" t="s">
        <v>5415</v>
      </c>
      <c r="AR387" s="15" t="s">
        <v>5282</v>
      </c>
      <c r="AS387" s="15" t="s">
        <v>11896</v>
      </c>
      <c r="AT387" s="15" t="s">
        <v>11897</v>
      </c>
      <c r="AU387" s="15" t="s">
        <v>11898</v>
      </c>
      <c r="AV387" s="15" t="s">
        <v>11899</v>
      </c>
      <c r="AW387" s="15" t="s">
        <v>11900</v>
      </c>
      <c r="AX387" s="18"/>
      <c r="AY387" s="15" t="s">
        <v>11901</v>
      </c>
      <c r="AZ387" s="15" t="s">
        <v>5260</v>
      </c>
      <c r="BA387" s="15" t="s">
        <v>2806</v>
      </c>
      <c r="BB387" s="15" t="s">
        <v>3514</v>
      </c>
      <c r="BC387" s="15" t="s">
        <v>3893</v>
      </c>
      <c r="BD387" s="15" t="s">
        <v>2807</v>
      </c>
      <c r="BE387" s="15" t="s">
        <v>11902</v>
      </c>
      <c r="BF387" s="18"/>
      <c r="BG387" s="18"/>
      <c r="BH387" s="18"/>
      <c r="BI387" s="15" t="s">
        <v>11903</v>
      </c>
      <c r="BJ387" s="19" t="s">
        <v>11904</v>
      </c>
      <c r="BK387" s="19" t="s">
        <v>11905</v>
      </c>
      <c r="BL387" s="19" t="s">
        <v>11906</v>
      </c>
      <c r="BM387" s="19" t="s">
        <v>11907</v>
      </c>
      <c r="BN387" s="19" t="s">
        <v>11908</v>
      </c>
      <c r="BO387" s="19" t="s">
        <v>11909</v>
      </c>
      <c r="BP387" s="18"/>
      <c r="BQ387" s="15" t="s">
        <v>166</v>
      </c>
      <c r="BR387" s="18"/>
      <c r="BS387" s="18"/>
      <c r="BT387" s="19" t="s">
        <v>11910</v>
      </c>
      <c r="BU387" s="18"/>
      <c r="BV387" s="18"/>
      <c r="BW387" s="15" t="s">
        <v>11911</v>
      </c>
      <c r="BX387" s="18"/>
      <c r="BY387" s="18" t="str">
        <f t="shared" si="106"/>
        <v>IT</v>
      </c>
      <c r="BZ387" s="24" t="str">
        <f t="shared" si="100"/>
        <v>https://drive.google.com/open?id=1NEDufNhGgBPLutnpGfaW5eQWuFf_Pi1X</v>
      </c>
      <c r="CA387" s="24" t="str">
        <f t="shared" si="101"/>
        <v>https://drive.google.com/open?id=16MW7BeKW_yg_5BeILeglLeFLIJXk6EBB</v>
      </c>
      <c r="CB387" s="15" t="s">
        <v>2821</v>
      </c>
      <c r="CC387" s="15" t="s">
        <v>2821</v>
      </c>
      <c r="CD387" s="25" t="s">
        <v>2787</v>
      </c>
      <c r="CE387" s="18"/>
      <c r="CF387" s="18"/>
      <c r="CG387" s="18"/>
    </row>
    <row r="388" ht="18.75" hidden="1" customHeight="1">
      <c r="A388" s="14">
        <v>44736.08630443287</v>
      </c>
      <c r="B388" s="15" t="s">
        <v>2202</v>
      </c>
      <c r="C388" s="16" t="s">
        <v>11912</v>
      </c>
      <c r="D388" s="15" t="str">
        <f>IFERROR(__xludf.DUMMYFUNCTION("QUERY(TY_ALL_2023_Batch!$A$1:$E$824, ""SELECT E WHERE C='""&amp;B388&amp;""'"", 0)"),"IT")</f>
        <v>IT</v>
      </c>
      <c r="E388" s="15" t="s">
        <v>3383</v>
      </c>
      <c r="F388" s="15" t="s">
        <v>8156</v>
      </c>
      <c r="G388" s="15" t="s">
        <v>11913</v>
      </c>
      <c r="H388" s="15" t="s">
        <v>2826</v>
      </c>
      <c r="I388" s="17">
        <v>36991.0</v>
      </c>
      <c r="J388" s="15">
        <v>2019.0</v>
      </c>
      <c r="K388" s="15" t="s">
        <v>2786</v>
      </c>
      <c r="L388" s="15" t="s">
        <v>2787</v>
      </c>
      <c r="M388" s="18"/>
      <c r="N388" s="15" t="s">
        <v>11914</v>
      </c>
      <c r="O388" s="15" t="s">
        <v>11915</v>
      </c>
      <c r="P388" s="19" t="s">
        <v>11916</v>
      </c>
      <c r="Q388" s="15">
        <v>9.307800076E9</v>
      </c>
      <c r="R388" s="15">
        <v>9.307800076E9</v>
      </c>
      <c r="S388" s="15">
        <v>9.307800076E9</v>
      </c>
      <c r="T388" s="15" t="s">
        <v>8156</v>
      </c>
      <c r="U388" s="15" t="s">
        <v>11917</v>
      </c>
      <c r="V388" s="15" t="s">
        <v>11918</v>
      </c>
      <c r="W388" s="18"/>
      <c r="X388" s="15">
        <v>84.0</v>
      </c>
      <c r="Y388" s="15" t="s">
        <v>2795</v>
      </c>
      <c r="Z388" s="15">
        <v>9.1</v>
      </c>
      <c r="AA388" s="15">
        <v>9.19</v>
      </c>
      <c r="AB388" s="15" t="s">
        <v>2796</v>
      </c>
      <c r="AC388" s="15" t="s">
        <v>2796</v>
      </c>
      <c r="AD388" s="15" t="s">
        <v>2796</v>
      </c>
      <c r="AE388" s="15" t="s">
        <v>2796</v>
      </c>
      <c r="AF388" s="15">
        <v>8.37</v>
      </c>
      <c r="AG388" s="15">
        <v>8.52</v>
      </c>
      <c r="AH388" s="15">
        <v>76.92</v>
      </c>
      <c r="AI388" s="18"/>
      <c r="AJ388" s="15" t="s">
        <v>2787</v>
      </c>
      <c r="AK388" s="15" t="s">
        <v>2787</v>
      </c>
      <c r="AL388" s="18"/>
      <c r="AM388" s="18"/>
      <c r="AN388" s="15" t="s">
        <v>2797</v>
      </c>
      <c r="AO388" s="18"/>
      <c r="AP388" s="18"/>
      <c r="AQ388" s="15" t="s">
        <v>11919</v>
      </c>
      <c r="AR388" s="15" t="s">
        <v>11920</v>
      </c>
      <c r="AS388" s="15" t="s">
        <v>11921</v>
      </c>
      <c r="AT388" s="18"/>
      <c r="AU388" s="15" t="s">
        <v>11922</v>
      </c>
      <c r="AV388" s="15" t="s">
        <v>11923</v>
      </c>
      <c r="AW388" s="15" t="s">
        <v>11924</v>
      </c>
      <c r="AX388" s="18"/>
      <c r="AY388" s="15" t="s">
        <v>11925</v>
      </c>
      <c r="AZ388" s="15" t="s">
        <v>5260</v>
      </c>
      <c r="BA388" s="15" t="s">
        <v>5522</v>
      </c>
      <c r="BB388" s="15" t="s">
        <v>11926</v>
      </c>
      <c r="BC388" s="15" t="s">
        <v>4746</v>
      </c>
      <c r="BD388" s="15" t="s">
        <v>5578</v>
      </c>
      <c r="BE388" s="15" t="s">
        <v>11927</v>
      </c>
      <c r="BF388" s="18"/>
      <c r="BG388" s="18"/>
      <c r="BH388" s="18"/>
      <c r="BI388" s="18"/>
      <c r="BJ388" s="19" t="s">
        <v>11928</v>
      </c>
      <c r="BK388" s="19" t="s">
        <v>11929</v>
      </c>
      <c r="BL388" s="19" t="s">
        <v>11930</v>
      </c>
      <c r="BM388" s="19" t="s">
        <v>11931</v>
      </c>
      <c r="BN388" s="19" t="s">
        <v>11932</v>
      </c>
      <c r="BO388" s="19" t="s">
        <v>11933</v>
      </c>
      <c r="BP388" s="19" t="s">
        <v>11934</v>
      </c>
      <c r="BQ388" s="15" t="s">
        <v>166</v>
      </c>
      <c r="BR388" s="26"/>
      <c r="BS388" s="26"/>
      <c r="BT388" s="26"/>
      <c r="BU388" s="26"/>
      <c r="BV388" s="26"/>
      <c r="BW388" s="26"/>
      <c r="BX388" s="26"/>
      <c r="BY388" s="18" t="str">
        <f t="shared" si="106"/>
        <v>IT</v>
      </c>
      <c r="BZ388" s="24" t="str">
        <f t="shared" si="100"/>
        <v>https://drive.google.com/open?id=12w-q6peL5wbJ---_fcegCB9QXQ4RXRNb</v>
      </c>
      <c r="CA388" s="24" t="str">
        <f t="shared" si="101"/>
        <v>https://drive.google.com/open?id=1OZdxQvEzukX8vR9DRQIbqeo-KYnDUE7c</v>
      </c>
      <c r="CB388" s="15" t="s">
        <v>2821</v>
      </c>
      <c r="CC388" s="15" t="s">
        <v>2821</v>
      </c>
      <c r="CD388" s="25" t="s">
        <v>2797</v>
      </c>
      <c r="CE388" s="18"/>
      <c r="CF388" s="18"/>
      <c r="CG388" s="18"/>
    </row>
    <row r="389" ht="18.75" hidden="1" customHeight="1">
      <c r="A389" s="14">
        <v>44736.44308981481</v>
      </c>
      <c r="B389" s="15" t="s">
        <v>2313</v>
      </c>
      <c r="C389" s="16" t="s">
        <v>11935</v>
      </c>
      <c r="D389" s="15" t="str">
        <f>IFERROR(__xludf.DUMMYFUNCTION("QUERY(TY_ALL_2023_Batch!$A$1:$E$824, ""SELECT E WHERE C='""&amp;B389&amp;""'"", 0)"),"IT")</f>
        <v>IT</v>
      </c>
      <c r="E389" s="15" t="s">
        <v>11936</v>
      </c>
      <c r="F389" s="15" t="s">
        <v>4740</v>
      </c>
      <c r="G389" s="15" t="s">
        <v>11937</v>
      </c>
      <c r="H389" s="15" t="s">
        <v>2785</v>
      </c>
      <c r="I389" s="17">
        <v>36624.0</v>
      </c>
      <c r="J389" s="15">
        <v>2019.0</v>
      </c>
      <c r="K389" s="15" t="s">
        <v>2786</v>
      </c>
      <c r="L389" s="15" t="s">
        <v>2787</v>
      </c>
      <c r="M389" s="18"/>
      <c r="N389" s="15" t="s">
        <v>11938</v>
      </c>
      <c r="O389" s="15" t="s">
        <v>2313</v>
      </c>
      <c r="P389" s="19" t="s">
        <v>11939</v>
      </c>
      <c r="Q389" s="15">
        <v>8.888865587E9</v>
      </c>
      <c r="R389" s="15">
        <v>8.888865587E9</v>
      </c>
      <c r="S389" s="18"/>
      <c r="T389" s="15" t="s">
        <v>4740</v>
      </c>
      <c r="U389" s="15" t="s">
        <v>3978</v>
      </c>
      <c r="V389" s="15" t="s">
        <v>11940</v>
      </c>
      <c r="W389" s="15" t="s">
        <v>11941</v>
      </c>
      <c r="X389" s="15">
        <v>90.0</v>
      </c>
      <c r="Y389" s="15" t="s">
        <v>2795</v>
      </c>
      <c r="Z389" s="15">
        <v>8.95</v>
      </c>
      <c r="AA389" s="15">
        <v>9.52</v>
      </c>
      <c r="AB389" s="15" t="s">
        <v>7277</v>
      </c>
      <c r="AC389" s="15" t="s">
        <v>7277</v>
      </c>
      <c r="AD389" s="15" t="s">
        <v>7277</v>
      </c>
      <c r="AE389" s="15" t="s">
        <v>7277</v>
      </c>
      <c r="AF389" s="15">
        <v>8.37</v>
      </c>
      <c r="AG389" s="15">
        <v>9.0</v>
      </c>
      <c r="AH389" s="15">
        <v>71.54</v>
      </c>
      <c r="AI389" s="18"/>
      <c r="AJ389" s="15" t="s">
        <v>2787</v>
      </c>
      <c r="AK389" s="15" t="s">
        <v>2787</v>
      </c>
      <c r="AL389" s="15" t="s">
        <v>11942</v>
      </c>
      <c r="AM389" s="15" t="s">
        <v>11943</v>
      </c>
      <c r="AN389" s="15" t="s">
        <v>2787</v>
      </c>
      <c r="AO389" s="18"/>
      <c r="AP389" s="15" t="s">
        <v>11944</v>
      </c>
      <c r="AQ389" s="15" t="s">
        <v>5415</v>
      </c>
      <c r="AR389" s="18"/>
      <c r="AS389" s="15" t="s">
        <v>11945</v>
      </c>
      <c r="AT389" s="18"/>
      <c r="AU389" s="18"/>
      <c r="AV389" s="18"/>
      <c r="AW389" s="15" t="s">
        <v>11946</v>
      </c>
      <c r="AX389" s="18"/>
      <c r="AY389" s="15" t="s">
        <v>11947</v>
      </c>
      <c r="AZ389" s="15" t="s">
        <v>5287</v>
      </c>
      <c r="BA389" s="15" t="s">
        <v>2806</v>
      </c>
      <c r="BB389" s="15" t="s">
        <v>3514</v>
      </c>
      <c r="BC389" s="15" t="s">
        <v>11948</v>
      </c>
      <c r="BD389" s="15" t="s">
        <v>2807</v>
      </c>
      <c r="BE389" s="15" t="s">
        <v>11949</v>
      </c>
      <c r="BF389" s="15" t="s">
        <v>11950</v>
      </c>
      <c r="BG389" s="18"/>
      <c r="BH389" s="18"/>
      <c r="BI389" s="15" t="s">
        <v>11951</v>
      </c>
      <c r="BJ389" s="19" t="s">
        <v>11952</v>
      </c>
      <c r="BK389" s="19" t="s">
        <v>11953</v>
      </c>
      <c r="BL389" s="19" t="s">
        <v>11954</v>
      </c>
      <c r="BM389" s="19" t="s">
        <v>11955</v>
      </c>
      <c r="BN389" s="19" t="s">
        <v>11956</v>
      </c>
      <c r="BO389" s="19" t="s">
        <v>11957</v>
      </c>
      <c r="BP389" s="18"/>
      <c r="BQ389" s="15" t="s">
        <v>166</v>
      </c>
      <c r="BR389" s="26"/>
      <c r="BS389" s="26"/>
      <c r="BT389" s="26"/>
      <c r="BU389" s="26"/>
      <c r="BV389" s="26"/>
      <c r="BW389" s="26"/>
      <c r="BX389" s="26"/>
      <c r="BY389" s="18" t="str">
        <f t="shared" si="106"/>
        <v>IT</v>
      </c>
      <c r="BZ389" s="24" t="str">
        <f t="shared" si="100"/>
        <v>https://drive.google.com/open?id=1HRY_6O90Bw5WD5EJVsk958PxWyrc3rsi</v>
      </c>
      <c r="CA389" s="24" t="str">
        <f t="shared" si="101"/>
        <v>https://drive.google.com/open?id=1bZyKBvu6kA82U-ASIZbFcnnASPhxRFH5</v>
      </c>
      <c r="CB389" s="15" t="s">
        <v>2821</v>
      </c>
      <c r="CC389" s="15" t="s">
        <v>2821</v>
      </c>
      <c r="CD389" s="25" t="s">
        <v>2797</v>
      </c>
      <c r="CE389" s="18"/>
      <c r="CF389" s="18"/>
      <c r="CG389" s="18"/>
    </row>
    <row r="390" ht="18.75" hidden="1" customHeight="1">
      <c r="A390" s="14">
        <v>44773.61043071759</v>
      </c>
      <c r="B390" s="15" t="s">
        <v>2115</v>
      </c>
      <c r="C390" s="16" t="s">
        <v>11958</v>
      </c>
      <c r="D390" s="15" t="str">
        <f>IFERROR(__xludf.DUMMYFUNCTION("QUERY(TY_ALL_2023_Batch!$A$1:$E$824, ""SELECT E WHERE C='""&amp;B390&amp;""'"", 0)"),"IT")</f>
        <v>IT</v>
      </c>
      <c r="E390" s="15" t="s">
        <v>9340</v>
      </c>
      <c r="F390" s="15" t="s">
        <v>11959</v>
      </c>
      <c r="G390" s="15" t="s">
        <v>4542</v>
      </c>
      <c r="H390" s="15" t="s">
        <v>2785</v>
      </c>
      <c r="I390" s="17">
        <v>36583.0</v>
      </c>
      <c r="J390" s="15">
        <v>2019.0</v>
      </c>
      <c r="K390" s="15" t="s">
        <v>2786</v>
      </c>
      <c r="L390" s="15" t="s">
        <v>2787</v>
      </c>
      <c r="M390" s="18"/>
      <c r="N390" s="15" t="s">
        <v>11960</v>
      </c>
      <c r="O390" s="15" t="s">
        <v>11961</v>
      </c>
      <c r="P390" s="19" t="s">
        <v>11962</v>
      </c>
      <c r="Q390" s="15">
        <v>9.823143305E9</v>
      </c>
      <c r="R390" s="15">
        <v>9.823143305E9</v>
      </c>
      <c r="S390" s="15">
        <v>8.080697625E9</v>
      </c>
      <c r="T390" s="15" t="s">
        <v>9187</v>
      </c>
      <c r="U390" s="15" t="s">
        <v>11963</v>
      </c>
      <c r="V390" s="15" t="s">
        <v>11964</v>
      </c>
      <c r="W390" s="18"/>
      <c r="X390" s="15">
        <v>91.33</v>
      </c>
      <c r="Y390" s="15" t="s">
        <v>2795</v>
      </c>
      <c r="Z390" s="15">
        <v>9.29</v>
      </c>
      <c r="AA390" s="15">
        <v>9.24</v>
      </c>
      <c r="AB390" s="15">
        <v>9.19</v>
      </c>
      <c r="AC390" s="15">
        <v>9.52</v>
      </c>
      <c r="AD390" s="15" t="s">
        <v>2796</v>
      </c>
      <c r="AE390" s="15" t="s">
        <v>2796</v>
      </c>
      <c r="AF390" s="15">
        <v>9.58</v>
      </c>
      <c r="AG390" s="15">
        <v>9.33</v>
      </c>
      <c r="AH390" s="15">
        <v>82.0</v>
      </c>
      <c r="AI390" s="18"/>
      <c r="AJ390" s="15" t="s">
        <v>2787</v>
      </c>
      <c r="AK390" s="15" t="s">
        <v>2787</v>
      </c>
      <c r="AL390" s="15">
        <v>696.67</v>
      </c>
      <c r="AM390" s="15">
        <v>650.0</v>
      </c>
      <c r="AN390" s="15" t="s">
        <v>2797</v>
      </c>
      <c r="AO390" s="18"/>
      <c r="AP390" s="18"/>
      <c r="AQ390" s="15" t="s">
        <v>5356</v>
      </c>
      <c r="AR390" s="18"/>
      <c r="AS390" s="15" t="s">
        <v>11965</v>
      </c>
      <c r="AT390" s="18"/>
      <c r="AU390" s="15" t="s">
        <v>11966</v>
      </c>
      <c r="AV390" s="15" t="s">
        <v>11967</v>
      </c>
      <c r="AW390" s="15" t="s">
        <v>11968</v>
      </c>
      <c r="AX390" s="18"/>
      <c r="AY390" s="15" t="s">
        <v>11969</v>
      </c>
      <c r="AZ390" s="15" t="s">
        <v>5335</v>
      </c>
      <c r="BA390" s="15" t="s">
        <v>5552</v>
      </c>
      <c r="BB390" s="15" t="s">
        <v>7462</v>
      </c>
      <c r="BC390" s="15" t="s">
        <v>5394</v>
      </c>
      <c r="BD390" s="15" t="s">
        <v>3393</v>
      </c>
      <c r="BE390" s="15" t="s">
        <v>11970</v>
      </c>
      <c r="BF390" s="18"/>
      <c r="BG390" s="18"/>
      <c r="BH390" s="15" t="s">
        <v>11971</v>
      </c>
      <c r="BI390" s="15" t="s">
        <v>11972</v>
      </c>
      <c r="BJ390" s="19" t="s">
        <v>11973</v>
      </c>
      <c r="BK390" s="19" t="s">
        <v>11974</v>
      </c>
      <c r="BL390" s="18"/>
      <c r="BM390" s="18"/>
      <c r="BN390" s="19" t="s">
        <v>11975</v>
      </c>
      <c r="BO390" s="19" t="s">
        <v>11976</v>
      </c>
      <c r="BP390" s="19" t="s">
        <v>11977</v>
      </c>
      <c r="BQ390" s="15" t="s">
        <v>166</v>
      </c>
      <c r="BR390" s="26"/>
      <c r="BS390" s="26"/>
      <c r="BT390" s="26"/>
      <c r="BU390" s="26"/>
      <c r="BV390" s="26"/>
      <c r="BW390" s="15" t="s">
        <v>2796</v>
      </c>
      <c r="BX390" s="26"/>
      <c r="BY390" s="18" t="str">
        <f t="shared" si="106"/>
        <v>IT</v>
      </c>
      <c r="BZ390" s="18" t="str">
        <f t="shared" si="100"/>
        <v/>
      </c>
      <c r="CA390" s="18" t="str">
        <f t="shared" si="101"/>
        <v/>
      </c>
      <c r="CB390" s="15" t="s">
        <v>2908</v>
      </c>
      <c r="CC390" s="15" t="s">
        <v>2908</v>
      </c>
      <c r="CD390" s="25" t="s">
        <v>2797</v>
      </c>
      <c r="CE390" s="18"/>
      <c r="CF390" s="18"/>
      <c r="CG390" s="18"/>
    </row>
    <row r="391" ht="18.75" hidden="1" customHeight="1">
      <c r="A391" s="14">
        <v>44734.55730048611</v>
      </c>
      <c r="B391" s="15" t="s">
        <v>2262</v>
      </c>
      <c r="C391" s="16" t="s">
        <v>11978</v>
      </c>
      <c r="D391" s="15" t="str">
        <f>IFERROR(__xludf.DUMMYFUNCTION("QUERY(TY_ALL_2023_Batch!$A$1:$E$824, ""SELECT E WHERE C='""&amp;B391&amp;""'"", 0)"),"IT")</f>
        <v>IT</v>
      </c>
      <c r="E391" s="15" t="s">
        <v>11979</v>
      </c>
      <c r="F391" s="15" t="s">
        <v>11980</v>
      </c>
      <c r="G391" s="15" t="s">
        <v>11981</v>
      </c>
      <c r="H391" s="15" t="s">
        <v>2826</v>
      </c>
      <c r="I391" s="17">
        <v>37025.0</v>
      </c>
      <c r="J391" s="15">
        <v>2019.0</v>
      </c>
      <c r="K391" s="15" t="s">
        <v>2786</v>
      </c>
      <c r="L391" s="15" t="s">
        <v>2787</v>
      </c>
      <c r="M391" s="18"/>
      <c r="N391" s="15" t="s">
        <v>11982</v>
      </c>
      <c r="O391" s="15" t="s">
        <v>2262</v>
      </c>
      <c r="P391" s="19" t="s">
        <v>11983</v>
      </c>
      <c r="Q391" s="15">
        <v>9.518329892E9</v>
      </c>
      <c r="R391" s="15">
        <v>9.518329892E9</v>
      </c>
      <c r="S391" s="15">
        <v>9.356898289E9</v>
      </c>
      <c r="T391" s="15" t="s">
        <v>11984</v>
      </c>
      <c r="U391" s="15" t="s">
        <v>11985</v>
      </c>
      <c r="V391" s="15" t="s">
        <v>11986</v>
      </c>
      <c r="W391" s="18"/>
      <c r="X391" s="15">
        <v>95.2</v>
      </c>
      <c r="Y391" s="15" t="s">
        <v>2795</v>
      </c>
      <c r="Z391" s="15">
        <v>9.76</v>
      </c>
      <c r="AA391" s="15">
        <v>9.57</v>
      </c>
      <c r="AB391" s="15" t="s">
        <v>2796</v>
      </c>
      <c r="AC391" s="15" t="s">
        <v>2796</v>
      </c>
      <c r="AD391" s="15" t="s">
        <v>2796</v>
      </c>
      <c r="AE391" s="15" t="s">
        <v>2796</v>
      </c>
      <c r="AF391" s="15">
        <v>9.54</v>
      </c>
      <c r="AG391" s="15">
        <v>9.42</v>
      </c>
      <c r="AH391" s="15">
        <v>75.38</v>
      </c>
      <c r="AI391" s="18"/>
      <c r="AJ391" s="15" t="s">
        <v>2787</v>
      </c>
      <c r="AK391" s="15" t="s">
        <v>2787</v>
      </c>
      <c r="AL391" s="18"/>
      <c r="AM391" s="18"/>
      <c r="AN391" s="15" t="s">
        <v>2797</v>
      </c>
      <c r="AO391" s="18"/>
      <c r="AP391" s="18"/>
      <c r="AQ391" s="15" t="s">
        <v>5415</v>
      </c>
      <c r="AR391" s="18"/>
      <c r="AS391" s="18"/>
      <c r="AT391" s="18"/>
      <c r="AU391" s="18"/>
      <c r="AV391" s="15" t="s">
        <v>11987</v>
      </c>
      <c r="AW391" s="15" t="s">
        <v>11988</v>
      </c>
      <c r="AX391" s="18"/>
      <c r="AY391" s="15" t="s">
        <v>11989</v>
      </c>
      <c r="AZ391" s="15" t="s">
        <v>5287</v>
      </c>
      <c r="BA391" s="15" t="s">
        <v>5552</v>
      </c>
      <c r="BB391" s="15" t="s">
        <v>3109</v>
      </c>
      <c r="BC391" s="15" t="s">
        <v>5705</v>
      </c>
      <c r="BD391" s="15" t="s">
        <v>11990</v>
      </c>
      <c r="BE391" s="15" t="s">
        <v>2796</v>
      </c>
      <c r="BF391" s="15" t="s">
        <v>11991</v>
      </c>
      <c r="BG391" s="18"/>
      <c r="BH391" s="18"/>
      <c r="BI391" s="15" t="s">
        <v>11992</v>
      </c>
      <c r="BJ391" s="19" t="s">
        <v>11993</v>
      </c>
      <c r="BK391" s="19" t="s">
        <v>11994</v>
      </c>
      <c r="BL391" s="19" t="s">
        <v>11995</v>
      </c>
      <c r="BM391" s="19" t="s">
        <v>11996</v>
      </c>
      <c r="BN391" s="19" t="s">
        <v>11997</v>
      </c>
      <c r="BO391" s="19" t="s">
        <v>11998</v>
      </c>
      <c r="BP391" s="19" t="s">
        <v>11999</v>
      </c>
      <c r="BQ391" s="15" t="s">
        <v>166</v>
      </c>
      <c r="BR391" s="26"/>
      <c r="BS391" s="26"/>
      <c r="BT391" s="26"/>
      <c r="BU391" s="26"/>
      <c r="BV391" s="26"/>
      <c r="BW391" s="26"/>
      <c r="BX391" s="26"/>
      <c r="BY391" s="18" t="str">
        <f t="shared" si="106"/>
        <v>IT</v>
      </c>
      <c r="BZ391" s="24" t="str">
        <f t="shared" si="100"/>
        <v>https://drive.google.com/open?id=1W9f96jTJxezEvjgzpmcU-9Hh-yffK1zx</v>
      </c>
      <c r="CA391" s="24" t="str">
        <f t="shared" si="101"/>
        <v>https://drive.google.com/open?id=1uCsP5cGd_Bfk4ZbhOiRcT8RDls0YO_b9</v>
      </c>
      <c r="CB391" s="15" t="s">
        <v>2821</v>
      </c>
      <c r="CC391" s="15" t="s">
        <v>2821</v>
      </c>
      <c r="CD391" s="25" t="s">
        <v>2797</v>
      </c>
      <c r="CE391" s="18"/>
      <c r="CF391" s="18"/>
      <c r="CG391" s="18"/>
    </row>
    <row r="392" ht="18.75" hidden="1" customHeight="1">
      <c r="A392" s="14">
        <v>44746.32370263889</v>
      </c>
      <c r="B392" s="15" t="s">
        <v>2184</v>
      </c>
      <c r="C392" s="16" t="s">
        <v>12000</v>
      </c>
      <c r="D392" s="15" t="str">
        <f>IFERROR(__xludf.DUMMYFUNCTION("QUERY(TY_ALL_2023_Batch!$A$1:$E$824, ""SELECT E WHERE C='""&amp;B392&amp;""'"", 0)"),"IT")</f>
        <v>IT</v>
      </c>
      <c r="E392" s="15" t="s">
        <v>12001</v>
      </c>
      <c r="F392" s="15" t="s">
        <v>9609</v>
      </c>
      <c r="G392" s="15" t="s">
        <v>12002</v>
      </c>
      <c r="H392" s="15" t="s">
        <v>2785</v>
      </c>
      <c r="I392" s="17">
        <v>36766.0</v>
      </c>
      <c r="J392" s="15">
        <v>2019.0</v>
      </c>
      <c r="K392" s="15" t="s">
        <v>2786</v>
      </c>
      <c r="L392" s="15" t="s">
        <v>2787</v>
      </c>
      <c r="M392" s="18"/>
      <c r="N392" s="15" t="s">
        <v>12003</v>
      </c>
      <c r="O392" s="15" t="s">
        <v>2184</v>
      </c>
      <c r="P392" s="19" t="s">
        <v>12004</v>
      </c>
      <c r="Q392" s="15">
        <v>8.550956744E9</v>
      </c>
      <c r="R392" s="15">
        <v>8.550956744E9</v>
      </c>
      <c r="S392" s="15">
        <v>9.420665548E9</v>
      </c>
      <c r="T392" s="15" t="s">
        <v>12005</v>
      </c>
      <c r="U392" s="15" t="s">
        <v>12006</v>
      </c>
      <c r="V392" s="15" t="s">
        <v>12007</v>
      </c>
      <c r="W392" s="15" t="s">
        <v>12008</v>
      </c>
      <c r="X392" s="15">
        <v>93.6</v>
      </c>
      <c r="Y392" s="15" t="s">
        <v>2795</v>
      </c>
      <c r="Z392" s="15">
        <v>8.38</v>
      </c>
      <c r="AA392" s="15">
        <v>8.81</v>
      </c>
      <c r="AB392" s="15" t="s">
        <v>2796</v>
      </c>
      <c r="AC392" s="15" t="s">
        <v>2796</v>
      </c>
      <c r="AD392" s="15">
        <v>8.89</v>
      </c>
      <c r="AE392" s="15">
        <v>9.07</v>
      </c>
      <c r="AF392" s="15">
        <v>8.89</v>
      </c>
      <c r="AG392" s="15">
        <v>9.07</v>
      </c>
      <c r="AH392" s="15">
        <v>90.0</v>
      </c>
      <c r="AI392" s="18"/>
      <c r="AJ392" s="15" t="s">
        <v>2787</v>
      </c>
      <c r="AK392" s="15" t="s">
        <v>2787</v>
      </c>
      <c r="AL392" s="18"/>
      <c r="AM392" s="18"/>
      <c r="AN392" s="15" t="s">
        <v>2797</v>
      </c>
      <c r="AO392" s="18"/>
      <c r="AP392" s="18"/>
      <c r="AQ392" s="15" t="s">
        <v>5441</v>
      </c>
      <c r="AR392" s="18"/>
      <c r="AS392" s="18"/>
      <c r="AT392" s="18"/>
      <c r="AU392" s="15" t="s">
        <v>12009</v>
      </c>
      <c r="AV392" s="15" t="s">
        <v>12010</v>
      </c>
      <c r="AW392" s="15" t="s">
        <v>12011</v>
      </c>
      <c r="AX392" s="18"/>
      <c r="AY392" s="15" t="s">
        <v>6828</v>
      </c>
      <c r="AZ392" s="15" t="s">
        <v>5335</v>
      </c>
      <c r="BA392" s="15" t="s">
        <v>11356</v>
      </c>
      <c r="BB392" s="15" t="s">
        <v>12012</v>
      </c>
      <c r="BC392" s="15" t="s">
        <v>5577</v>
      </c>
      <c r="BD392" s="15" t="s">
        <v>2807</v>
      </c>
      <c r="BE392" s="15" t="s">
        <v>12013</v>
      </c>
      <c r="BF392" s="18"/>
      <c r="BG392" s="18"/>
      <c r="BH392" s="18"/>
      <c r="BI392" s="15" t="s">
        <v>12013</v>
      </c>
      <c r="BJ392" s="19" t="s">
        <v>12014</v>
      </c>
      <c r="BK392" s="19" t="s">
        <v>12015</v>
      </c>
      <c r="BL392" s="18"/>
      <c r="BM392" s="18"/>
      <c r="BN392" s="19" t="s">
        <v>12016</v>
      </c>
      <c r="BO392" s="19" t="s">
        <v>12017</v>
      </c>
      <c r="BP392" s="19" t="s">
        <v>12018</v>
      </c>
      <c r="BQ392" s="15" t="s">
        <v>166</v>
      </c>
      <c r="BR392" s="26"/>
      <c r="BS392" s="26"/>
      <c r="BT392" s="26"/>
      <c r="BU392" s="26"/>
      <c r="BV392" s="26"/>
      <c r="BW392" s="15" t="s">
        <v>12019</v>
      </c>
      <c r="BX392" s="26"/>
      <c r="BY392" s="18" t="str">
        <f t="shared" si="106"/>
        <v>IT</v>
      </c>
      <c r="BZ392" s="18" t="str">
        <f t="shared" si="100"/>
        <v/>
      </c>
      <c r="CA392" s="18" t="str">
        <f t="shared" si="101"/>
        <v/>
      </c>
      <c r="CB392" s="15" t="s">
        <v>2908</v>
      </c>
      <c r="CC392" s="15" t="s">
        <v>2908</v>
      </c>
      <c r="CD392" s="25" t="s">
        <v>2797</v>
      </c>
      <c r="CE392" s="18"/>
      <c r="CF392" s="18"/>
      <c r="CG392" s="18"/>
    </row>
    <row r="393" ht="18.75" hidden="1" customHeight="1">
      <c r="A393" s="14">
        <v>44736.5387850463</v>
      </c>
      <c r="B393" s="15" t="s">
        <v>2292</v>
      </c>
      <c r="C393" s="16" t="s">
        <v>12020</v>
      </c>
      <c r="D393" s="15" t="str">
        <f>IFERROR(__xludf.DUMMYFUNCTION("QUERY(TY_ALL_2023_Batch!$A$1:$E$824, ""SELECT E WHERE C='""&amp;B393&amp;""'"", 0)"),"IT")</f>
        <v>IT</v>
      </c>
      <c r="E393" s="15" t="s">
        <v>12021</v>
      </c>
      <c r="F393" s="15" t="s">
        <v>7227</v>
      </c>
      <c r="G393" s="15" t="s">
        <v>12022</v>
      </c>
      <c r="H393" s="15" t="s">
        <v>2785</v>
      </c>
      <c r="I393" s="17">
        <v>37257.0</v>
      </c>
      <c r="J393" s="15">
        <v>2019.0</v>
      </c>
      <c r="K393" s="15" t="s">
        <v>2786</v>
      </c>
      <c r="L393" s="15" t="s">
        <v>2787</v>
      </c>
      <c r="M393" s="18"/>
      <c r="N393" s="15" t="s">
        <v>12023</v>
      </c>
      <c r="O393" s="15" t="s">
        <v>2292</v>
      </c>
      <c r="P393" s="19" t="s">
        <v>12024</v>
      </c>
      <c r="Q393" s="15">
        <v>8.237873292E9</v>
      </c>
      <c r="R393" s="15">
        <v>8.237873292E9</v>
      </c>
      <c r="S393" s="15">
        <v>8.237873292E9</v>
      </c>
      <c r="T393" s="15" t="s">
        <v>12025</v>
      </c>
      <c r="U393" s="15" t="s">
        <v>12026</v>
      </c>
      <c r="V393" s="15" t="s">
        <v>12027</v>
      </c>
      <c r="W393" s="18"/>
      <c r="X393" s="15">
        <v>88.2</v>
      </c>
      <c r="Y393" s="15" t="s">
        <v>2795</v>
      </c>
      <c r="Z393" s="15">
        <v>9.26</v>
      </c>
      <c r="AA393" s="15">
        <v>9.24</v>
      </c>
      <c r="AB393" s="15" t="s">
        <v>2796</v>
      </c>
      <c r="AC393" s="15" t="s">
        <v>2796</v>
      </c>
      <c r="AD393" s="15" t="s">
        <v>2796</v>
      </c>
      <c r="AE393" s="15" t="s">
        <v>2796</v>
      </c>
      <c r="AF393" s="15">
        <v>9.05</v>
      </c>
      <c r="AG393" s="15">
        <v>9.47</v>
      </c>
      <c r="AH393" s="15">
        <v>75.54</v>
      </c>
      <c r="AI393" s="18"/>
      <c r="AJ393" s="15" t="s">
        <v>2787</v>
      </c>
      <c r="AK393" s="15" t="s">
        <v>2787</v>
      </c>
      <c r="AL393" s="15">
        <v>605.0</v>
      </c>
      <c r="AM393" s="15">
        <v>648.0</v>
      </c>
      <c r="AN393" s="15" t="s">
        <v>2797</v>
      </c>
      <c r="AO393" s="15" t="s">
        <v>2796</v>
      </c>
      <c r="AP393" s="15" t="s">
        <v>2796</v>
      </c>
      <c r="AQ393" s="15" t="s">
        <v>5356</v>
      </c>
      <c r="AR393" s="15" t="s">
        <v>2796</v>
      </c>
      <c r="AS393" s="15" t="s">
        <v>5464</v>
      </c>
      <c r="AT393" s="15" t="s">
        <v>2796</v>
      </c>
      <c r="AU393" s="15" t="s">
        <v>2796</v>
      </c>
      <c r="AV393" s="15" t="s">
        <v>12028</v>
      </c>
      <c r="AW393" s="15" t="s">
        <v>12029</v>
      </c>
      <c r="AX393" s="15" t="s">
        <v>2796</v>
      </c>
      <c r="AY393" s="15" t="s">
        <v>2796</v>
      </c>
      <c r="AZ393" s="15" t="s">
        <v>5335</v>
      </c>
      <c r="BA393" s="15" t="s">
        <v>5552</v>
      </c>
      <c r="BB393" s="15" t="s">
        <v>5803</v>
      </c>
      <c r="BC393" s="15" t="s">
        <v>12030</v>
      </c>
      <c r="BD393" s="15" t="s">
        <v>2807</v>
      </c>
      <c r="BE393" s="15" t="s">
        <v>12031</v>
      </c>
      <c r="BF393" s="18"/>
      <c r="BG393" s="18"/>
      <c r="BH393" s="15" t="s">
        <v>12032</v>
      </c>
      <c r="BI393" s="18"/>
      <c r="BJ393" s="19" t="s">
        <v>12033</v>
      </c>
      <c r="BK393" s="19" t="s">
        <v>12034</v>
      </c>
      <c r="BL393" s="19" t="s">
        <v>12035</v>
      </c>
      <c r="BM393" s="19" t="s">
        <v>12036</v>
      </c>
      <c r="BN393" s="19" t="s">
        <v>12037</v>
      </c>
      <c r="BO393" s="19" t="s">
        <v>12038</v>
      </c>
      <c r="BP393" s="19" t="s">
        <v>12039</v>
      </c>
      <c r="BQ393" s="15" t="s">
        <v>166</v>
      </c>
      <c r="BR393" s="26"/>
      <c r="BS393" s="26"/>
      <c r="BT393" s="26"/>
      <c r="BU393" s="26"/>
      <c r="BV393" s="26"/>
      <c r="BW393" s="26"/>
      <c r="BX393" s="26"/>
      <c r="BY393" s="18" t="str">
        <f t="shared" si="106"/>
        <v>IT</v>
      </c>
      <c r="BZ393" s="24" t="str">
        <f t="shared" si="100"/>
        <v>https://drive.google.com/open?id=1fVQYJa83xk0_jQTyQn55bErwufL6JoB2</v>
      </c>
      <c r="CA393" s="24" t="str">
        <f t="shared" si="101"/>
        <v>https://drive.google.com/open?id=1zGQVTy6T9TXgPlJ5YPNJOXIAm7No9Q4Z</v>
      </c>
      <c r="CB393" s="15" t="s">
        <v>2821</v>
      </c>
      <c r="CC393" s="15" t="s">
        <v>2821</v>
      </c>
      <c r="CD393" s="25" t="s">
        <v>2797</v>
      </c>
      <c r="CE393" s="18"/>
      <c r="CF393" s="18"/>
      <c r="CG393" s="18"/>
    </row>
    <row r="394" ht="18.75" hidden="1" customHeight="1">
      <c r="A394" s="14">
        <v>44736.49892871528</v>
      </c>
      <c r="B394" s="15" t="s">
        <v>2121</v>
      </c>
      <c r="C394" s="16" t="s">
        <v>12040</v>
      </c>
      <c r="D394" s="15" t="str">
        <f>IFERROR(__xludf.DUMMYFUNCTION("QUERY(TY_ALL_2023_Batch!$A$1:$E$824, ""SELECT E WHERE C='""&amp;B394&amp;""'"", 0)"),"IT")</f>
        <v>IT</v>
      </c>
      <c r="E394" s="15" t="s">
        <v>10111</v>
      </c>
      <c r="F394" s="15" t="s">
        <v>3166</v>
      </c>
      <c r="G394" s="15" t="s">
        <v>12041</v>
      </c>
      <c r="H394" s="15" t="s">
        <v>2826</v>
      </c>
      <c r="I394" s="17">
        <v>37116.0</v>
      </c>
      <c r="J394" s="15">
        <v>2019.0</v>
      </c>
      <c r="K394" s="15" t="s">
        <v>2786</v>
      </c>
      <c r="L394" s="15" t="s">
        <v>2787</v>
      </c>
      <c r="M394" s="18"/>
      <c r="N394" s="15" t="s">
        <v>12042</v>
      </c>
      <c r="O394" s="15" t="s">
        <v>2121</v>
      </c>
      <c r="P394" s="19" t="s">
        <v>12043</v>
      </c>
      <c r="Q394" s="15">
        <v>6.36417854E9</v>
      </c>
      <c r="R394" s="15">
        <v>6.36417854E9</v>
      </c>
      <c r="S394" s="18"/>
      <c r="T394" s="15" t="s">
        <v>12044</v>
      </c>
      <c r="U394" s="15" t="s">
        <v>12045</v>
      </c>
      <c r="V394" s="15" t="s">
        <v>12046</v>
      </c>
      <c r="W394" s="15" t="s">
        <v>12047</v>
      </c>
      <c r="X394" s="15">
        <v>94.72</v>
      </c>
      <c r="Y394" s="15" t="s">
        <v>2795</v>
      </c>
      <c r="Z394" s="15">
        <v>8.24</v>
      </c>
      <c r="AA394" s="15">
        <v>8.57</v>
      </c>
      <c r="AB394" s="15" t="s">
        <v>2796</v>
      </c>
      <c r="AC394" s="15" t="s">
        <v>2796</v>
      </c>
      <c r="AD394" s="15" t="s">
        <v>2796</v>
      </c>
      <c r="AE394" s="15" t="s">
        <v>2796</v>
      </c>
      <c r="AF394" s="15">
        <v>8.53</v>
      </c>
      <c r="AG394" s="15">
        <v>9.33</v>
      </c>
      <c r="AH394" s="15">
        <v>80.6</v>
      </c>
      <c r="AI394" s="18"/>
      <c r="AJ394" s="15" t="s">
        <v>2787</v>
      </c>
      <c r="AK394" s="15" t="s">
        <v>2787</v>
      </c>
      <c r="AL394" s="15">
        <v>550.0</v>
      </c>
      <c r="AM394" s="15">
        <v>610.0</v>
      </c>
      <c r="AN394" s="15" t="s">
        <v>2797</v>
      </c>
      <c r="AO394" s="15" t="s">
        <v>2796</v>
      </c>
      <c r="AP394" s="15" t="s">
        <v>2796</v>
      </c>
      <c r="AQ394" s="15" t="s">
        <v>12048</v>
      </c>
      <c r="AR394" s="18"/>
      <c r="AS394" s="18"/>
      <c r="AT394" s="18"/>
      <c r="AU394" s="15" t="s">
        <v>12049</v>
      </c>
      <c r="AV394" s="15" t="s">
        <v>12050</v>
      </c>
      <c r="AW394" s="15" t="s">
        <v>12051</v>
      </c>
      <c r="AX394" s="18"/>
      <c r="AY394" s="15" t="s">
        <v>12052</v>
      </c>
      <c r="AZ394" s="15" t="s">
        <v>5287</v>
      </c>
      <c r="BA394" s="15" t="s">
        <v>5552</v>
      </c>
      <c r="BB394" s="15" t="s">
        <v>6147</v>
      </c>
      <c r="BC394" s="15" t="s">
        <v>5604</v>
      </c>
      <c r="BD394" s="15" t="s">
        <v>2807</v>
      </c>
      <c r="BE394" s="15" t="s">
        <v>12053</v>
      </c>
      <c r="BF394" s="18"/>
      <c r="BG394" s="18"/>
      <c r="BH394" s="15" t="s">
        <v>12054</v>
      </c>
      <c r="BI394" s="15" t="s">
        <v>12055</v>
      </c>
      <c r="BJ394" s="19" t="s">
        <v>12056</v>
      </c>
      <c r="BK394" s="19" t="s">
        <v>12057</v>
      </c>
      <c r="BL394" s="19" t="s">
        <v>12058</v>
      </c>
      <c r="BM394" s="19" t="s">
        <v>12059</v>
      </c>
      <c r="BN394" s="19" t="s">
        <v>12060</v>
      </c>
      <c r="BO394" s="19" t="s">
        <v>12061</v>
      </c>
      <c r="BP394" s="18"/>
      <c r="BQ394" s="15" t="s">
        <v>166</v>
      </c>
      <c r="BR394" s="26"/>
      <c r="BS394" s="26"/>
      <c r="BT394" s="26"/>
      <c r="BU394" s="26"/>
      <c r="BV394" s="26"/>
      <c r="BW394" s="26"/>
      <c r="BX394" s="26"/>
      <c r="BY394" s="18" t="str">
        <f t="shared" si="106"/>
        <v>IT</v>
      </c>
      <c r="BZ394" s="24" t="str">
        <f t="shared" si="100"/>
        <v>https://drive.google.com/open?id=10wVHN1pJB7aesqbfC-CTOBAFhTM9kD16</v>
      </c>
      <c r="CA394" s="24" t="str">
        <f t="shared" si="101"/>
        <v>https://drive.google.com/open?id=1WV6GYfBxrGZsdy2Ift8cfX7DnmC_6pem</v>
      </c>
      <c r="CB394" s="15" t="s">
        <v>2821</v>
      </c>
      <c r="CC394" s="15" t="s">
        <v>2821</v>
      </c>
      <c r="CD394" s="25" t="s">
        <v>2797</v>
      </c>
      <c r="CE394" s="18"/>
      <c r="CF394" s="18"/>
      <c r="CG394" s="18"/>
    </row>
    <row r="395" ht="18.75" hidden="1" customHeight="1">
      <c r="A395" s="14">
        <v>44756.39693081018</v>
      </c>
      <c r="B395" s="15" t="s">
        <v>2157</v>
      </c>
      <c r="C395" s="16" t="s">
        <v>12062</v>
      </c>
      <c r="D395" s="15" t="str">
        <f>IFERROR(__xludf.DUMMYFUNCTION("QUERY(TY_ALL_2023_Batch!$A$1:$E$824, ""SELECT E WHERE C='""&amp;B395&amp;""'"", 0)"),"IT")</f>
        <v>IT</v>
      </c>
      <c r="E395" s="15" t="s">
        <v>12063</v>
      </c>
      <c r="F395" s="15" t="s">
        <v>12064</v>
      </c>
      <c r="G395" s="15" t="s">
        <v>12065</v>
      </c>
      <c r="H395" s="15" t="s">
        <v>2785</v>
      </c>
      <c r="I395" s="17">
        <v>36965.0</v>
      </c>
      <c r="J395" s="15">
        <v>2019.0</v>
      </c>
      <c r="K395" s="15" t="s">
        <v>2786</v>
      </c>
      <c r="L395" s="15" t="s">
        <v>2787</v>
      </c>
      <c r="M395" s="18"/>
      <c r="N395" s="15" t="s">
        <v>12066</v>
      </c>
      <c r="O395" s="15" t="s">
        <v>2157</v>
      </c>
      <c r="P395" s="19" t="s">
        <v>12067</v>
      </c>
      <c r="Q395" s="15">
        <v>7.875480973E9</v>
      </c>
      <c r="R395" s="15">
        <v>7.875480973E9</v>
      </c>
      <c r="S395" s="15">
        <v>9.922588548E9</v>
      </c>
      <c r="T395" s="15" t="s">
        <v>12068</v>
      </c>
      <c r="U395" s="15" t="s">
        <v>12069</v>
      </c>
      <c r="V395" s="15" t="s">
        <v>12070</v>
      </c>
      <c r="W395" s="18"/>
      <c r="X395" s="15">
        <v>71.8</v>
      </c>
      <c r="Y395" s="15" t="s">
        <v>2795</v>
      </c>
      <c r="Z395" s="15">
        <v>9.38</v>
      </c>
      <c r="AA395" s="15">
        <v>9.43</v>
      </c>
      <c r="AB395" s="15" t="s">
        <v>2796</v>
      </c>
      <c r="AC395" s="15" t="s">
        <v>2796</v>
      </c>
      <c r="AD395" s="15" t="s">
        <v>2796</v>
      </c>
      <c r="AE395" s="15" t="s">
        <v>2796</v>
      </c>
      <c r="AF395" s="15">
        <v>7.11</v>
      </c>
      <c r="AG395" s="15">
        <v>8.57</v>
      </c>
      <c r="AH395" s="15">
        <v>76.46</v>
      </c>
      <c r="AI395" s="18"/>
      <c r="AJ395" s="15" t="s">
        <v>2787</v>
      </c>
      <c r="AK395" s="15" t="s">
        <v>2787</v>
      </c>
      <c r="AL395" s="15">
        <v>595.0</v>
      </c>
      <c r="AM395" s="15">
        <v>533.3333333</v>
      </c>
      <c r="AN395" s="15" t="s">
        <v>2797</v>
      </c>
      <c r="AO395" s="18"/>
      <c r="AP395" s="18"/>
      <c r="AQ395" s="15" t="s">
        <v>12071</v>
      </c>
      <c r="AR395" s="18"/>
      <c r="AS395" s="15"/>
      <c r="AT395" s="18"/>
      <c r="AU395" s="15" t="s">
        <v>9966</v>
      </c>
      <c r="AV395" s="15" t="s">
        <v>12072</v>
      </c>
      <c r="AW395" s="15" t="s">
        <v>12073</v>
      </c>
      <c r="AX395" s="18"/>
      <c r="AY395" s="15" t="s">
        <v>12074</v>
      </c>
      <c r="AZ395" s="15" t="s">
        <v>5260</v>
      </c>
      <c r="BA395" s="15" t="s">
        <v>6611</v>
      </c>
      <c r="BB395" s="15" t="s">
        <v>12075</v>
      </c>
      <c r="BC395" s="15" t="s">
        <v>12076</v>
      </c>
      <c r="BD395" s="15" t="s">
        <v>2807</v>
      </c>
      <c r="BE395" s="15" t="s">
        <v>12077</v>
      </c>
      <c r="BF395" s="15" t="s">
        <v>12078</v>
      </c>
      <c r="BG395" s="18"/>
      <c r="BH395" s="15" t="s">
        <v>12079</v>
      </c>
      <c r="BI395" s="15" t="s">
        <v>12080</v>
      </c>
      <c r="BJ395" s="19" t="s">
        <v>12081</v>
      </c>
      <c r="BK395" s="19" t="s">
        <v>12082</v>
      </c>
      <c r="BL395" s="19" t="s">
        <v>12083</v>
      </c>
      <c r="BM395" s="19" t="s">
        <v>12084</v>
      </c>
      <c r="BN395" s="19" t="s">
        <v>12085</v>
      </c>
      <c r="BO395" s="19" t="s">
        <v>12086</v>
      </c>
      <c r="BP395" s="19" t="s">
        <v>12087</v>
      </c>
      <c r="BQ395" s="15" t="s">
        <v>166</v>
      </c>
      <c r="BR395" s="26"/>
      <c r="BS395" s="26"/>
      <c r="BT395" s="19" t="s">
        <v>12088</v>
      </c>
      <c r="BU395" s="26"/>
      <c r="BV395" s="26"/>
      <c r="BW395" s="15" t="s">
        <v>12089</v>
      </c>
      <c r="BX395" s="26"/>
      <c r="BY395" s="18" t="str">
        <f t="shared" si="106"/>
        <v>IT</v>
      </c>
      <c r="BZ395" s="24" t="str">
        <f t="shared" si="100"/>
        <v>https://drive.google.com/open?id=1xwj6oqAFuYByztRSmPz58cgAPX3BxaUK</v>
      </c>
      <c r="CA395" s="24" t="str">
        <f t="shared" si="101"/>
        <v>https://drive.google.com/open?id=14NsEAxsvf0WS_dUfm-bSuMqBA-gwBFmp</v>
      </c>
      <c r="CB395" s="15" t="s">
        <v>2821</v>
      </c>
      <c r="CC395" s="15" t="s">
        <v>2821</v>
      </c>
      <c r="CD395" s="25" t="s">
        <v>2787</v>
      </c>
      <c r="CE395" s="18"/>
      <c r="CF395" s="18"/>
      <c r="CG395" s="18"/>
    </row>
    <row r="396" ht="18.75" hidden="1" customHeight="1">
      <c r="A396" s="14">
        <v>44736.5030822338</v>
      </c>
      <c r="B396" s="15" t="s">
        <v>2163</v>
      </c>
      <c r="C396" s="16" t="s">
        <v>12090</v>
      </c>
      <c r="D396" s="15" t="str">
        <f>IFERROR(__xludf.DUMMYFUNCTION("QUERY(TY_ALL_2023_Batch!$A$1:$E$824, ""SELECT E WHERE C='""&amp;B396&amp;""'"", 0)"),"IT")</f>
        <v>IT</v>
      </c>
      <c r="E396" s="15" t="s">
        <v>12091</v>
      </c>
      <c r="F396" s="15" t="s">
        <v>12092</v>
      </c>
      <c r="G396" s="15" t="s">
        <v>12093</v>
      </c>
      <c r="H396" s="15" t="s">
        <v>2785</v>
      </c>
      <c r="I396" s="17">
        <v>37131.0</v>
      </c>
      <c r="J396" s="15">
        <v>2019.0</v>
      </c>
      <c r="K396" s="15" t="s">
        <v>2786</v>
      </c>
      <c r="L396" s="15" t="s">
        <v>2787</v>
      </c>
      <c r="M396" s="18"/>
      <c r="N396" s="15" t="s">
        <v>12094</v>
      </c>
      <c r="O396" s="15" t="s">
        <v>2163</v>
      </c>
      <c r="P396" s="19" t="s">
        <v>12095</v>
      </c>
      <c r="Q396" s="15">
        <v>9.359717399E9</v>
      </c>
      <c r="R396" s="15">
        <v>9.359717399E9</v>
      </c>
      <c r="S396" s="15">
        <v>7.843020411E9</v>
      </c>
      <c r="T396" s="15" t="s">
        <v>12096</v>
      </c>
      <c r="U396" s="15" t="s">
        <v>12097</v>
      </c>
      <c r="V396" s="15" t="s">
        <v>12098</v>
      </c>
      <c r="W396" s="15" t="s">
        <v>12099</v>
      </c>
      <c r="X396" s="15">
        <v>89.0</v>
      </c>
      <c r="Y396" s="15" t="s">
        <v>2795</v>
      </c>
      <c r="Z396" s="15">
        <v>9.57</v>
      </c>
      <c r="AA396" s="15">
        <v>9.33</v>
      </c>
      <c r="AB396" s="15" t="s">
        <v>2796</v>
      </c>
      <c r="AC396" s="15" t="s">
        <v>2796</v>
      </c>
      <c r="AD396" s="15" t="s">
        <v>2796</v>
      </c>
      <c r="AE396" s="15" t="s">
        <v>2796</v>
      </c>
      <c r="AF396" s="15">
        <v>9.05</v>
      </c>
      <c r="AG396" s="15">
        <v>7.9</v>
      </c>
      <c r="AH396" s="15">
        <v>71.38</v>
      </c>
      <c r="AI396" s="18"/>
      <c r="AJ396" s="15" t="s">
        <v>2787</v>
      </c>
      <c r="AK396" s="15" t="s">
        <v>2787</v>
      </c>
      <c r="AL396" s="15">
        <v>66.33</v>
      </c>
      <c r="AM396" s="15">
        <v>83.0</v>
      </c>
      <c r="AN396" s="15" t="s">
        <v>2787</v>
      </c>
      <c r="AO396" s="15" t="s">
        <v>2796</v>
      </c>
      <c r="AP396" s="15" t="s">
        <v>12100</v>
      </c>
      <c r="AQ396" s="15" t="s">
        <v>5415</v>
      </c>
      <c r="AR396" s="15" t="s">
        <v>12101</v>
      </c>
      <c r="AS396" s="15" t="s">
        <v>12102</v>
      </c>
      <c r="AT396" s="15" t="s">
        <v>2796</v>
      </c>
      <c r="AU396" s="15" t="s">
        <v>12103</v>
      </c>
      <c r="AV396" s="15" t="s">
        <v>12104</v>
      </c>
      <c r="AW396" s="15" t="s">
        <v>12105</v>
      </c>
      <c r="AX396" s="18"/>
      <c r="AY396" s="15" t="s">
        <v>6690</v>
      </c>
      <c r="AZ396" s="15" t="s">
        <v>5260</v>
      </c>
      <c r="BA396" s="15" t="s">
        <v>12106</v>
      </c>
      <c r="BB396" s="15" t="s">
        <v>5753</v>
      </c>
      <c r="BC396" s="15" t="s">
        <v>5604</v>
      </c>
      <c r="BD396" s="15" t="s">
        <v>2807</v>
      </c>
      <c r="BE396" s="15" t="s">
        <v>12107</v>
      </c>
      <c r="BF396" s="15" t="s">
        <v>12107</v>
      </c>
      <c r="BG396" s="18"/>
      <c r="BH396" s="18"/>
      <c r="BI396" s="15" t="s">
        <v>12108</v>
      </c>
      <c r="BJ396" s="19" t="s">
        <v>12109</v>
      </c>
      <c r="BK396" s="19" t="s">
        <v>12110</v>
      </c>
      <c r="BL396" s="19" t="s">
        <v>12111</v>
      </c>
      <c r="BM396" s="19" t="s">
        <v>12112</v>
      </c>
      <c r="BN396" s="18"/>
      <c r="BO396" s="19" t="s">
        <v>12113</v>
      </c>
      <c r="BP396" s="19" t="s">
        <v>12114</v>
      </c>
      <c r="BQ396" s="15" t="s">
        <v>166</v>
      </c>
      <c r="BR396" s="26"/>
      <c r="BS396" s="26"/>
      <c r="BT396" s="26"/>
      <c r="BU396" s="26"/>
      <c r="BV396" s="26"/>
      <c r="BW396" s="26"/>
      <c r="BX396" s="26"/>
      <c r="BY396" s="18" t="str">
        <f t="shared" si="106"/>
        <v>IT</v>
      </c>
      <c r="BZ396" s="24" t="str">
        <f t="shared" si="100"/>
        <v>https://drive.google.com/open?id=10l7YJX5J6WenP1t3p0_L5YmVB7b7sBGm</v>
      </c>
      <c r="CA396" s="24" t="str">
        <f t="shared" si="101"/>
        <v>https://drive.google.com/open?id=1_DzESrLA21I9SqJ7tb_zgtO4pE-iS9Hz</v>
      </c>
      <c r="CB396" s="15" t="s">
        <v>2821</v>
      </c>
      <c r="CC396" s="15" t="s">
        <v>2821</v>
      </c>
      <c r="CD396" s="25" t="s">
        <v>2797</v>
      </c>
      <c r="CE396" s="18"/>
      <c r="CF396" s="18"/>
      <c r="CG396" s="18"/>
    </row>
    <row r="397" ht="18.75" hidden="1" customHeight="1">
      <c r="A397" s="14">
        <v>44735.97641260417</v>
      </c>
      <c r="B397" s="15" t="s">
        <v>2289</v>
      </c>
      <c r="C397" s="16" t="s">
        <v>12115</v>
      </c>
      <c r="D397" s="15" t="str">
        <f>IFERROR(__xludf.DUMMYFUNCTION("QUERY(TY_ALL_2023_Batch!$A$1:$E$824, ""SELECT E WHERE C='""&amp;B397&amp;""'"", 0)"),"IT")</f>
        <v>IT</v>
      </c>
      <c r="E397" s="15" t="s">
        <v>12116</v>
      </c>
      <c r="F397" s="18"/>
      <c r="G397" s="15" t="s">
        <v>8656</v>
      </c>
      <c r="H397" s="15" t="s">
        <v>2826</v>
      </c>
      <c r="I397" s="17">
        <v>37004.0</v>
      </c>
      <c r="J397" s="15">
        <v>2019.0</v>
      </c>
      <c r="K397" s="15" t="s">
        <v>2786</v>
      </c>
      <c r="L397" s="15" t="s">
        <v>2787</v>
      </c>
      <c r="M397" s="18"/>
      <c r="N397" s="15" t="s">
        <v>12117</v>
      </c>
      <c r="O397" s="15" t="s">
        <v>2289</v>
      </c>
      <c r="P397" s="19" t="s">
        <v>12118</v>
      </c>
      <c r="Q397" s="15">
        <v>8.540940891E9</v>
      </c>
      <c r="R397" s="15">
        <v>8.540940891E9</v>
      </c>
      <c r="S397" s="18"/>
      <c r="T397" s="15" t="s">
        <v>12119</v>
      </c>
      <c r="U397" s="15" t="s">
        <v>12120</v>
      </c>
      <c r="V397" s="15" t="s">
        <v>12121</v>
      </c>
      <c r="W397" s="18"/>
      <c r="X397" s="15">
        <v>89.5</v>
      </c>
      <c r="Y397" s="15" t="s">
        <v>2795</v>
      </c>
      <c r="Z397" s="15">
        <v>8.57</v>
      </c>
      <c r="AA397" s="15">
        <v>8.52</v>
      </c>
      <c r="AB397" s="15" t="s">
        <v>2796</v>
      </c>
      <c r="AC397" s="15" t="s">
        <v>2796</v>
      </c>
      <c r="AD397" s="15" t="s">
        <v>2796</v>
      </c>
      <c r="AE397" s="15" t="s">
        <v>2796</v>
      </c>
      <c r="AF397" s="15">
        <v>7.68</v>
      </c>
      <c r="AG397" s="15">
        <v>8.57</v>
      </c>
      <c r="AH397" s="15">
        <v>75.0</v>
      </c>
      <c r="AI397" s="18"/>
      <c r="AJ397" s="15" t="s">
        <v>2787</v>
      </c>
      <c r="AK397" s="15" t="s">
        <v>2787</v>
      </c>
      <c r="AL397" s="15">
        <v>605.0</v>
      </c>
      <c r="AM397" s="15">
        <v>635.0</v>
      </c>
      <c r="AN397" s="15" t="s">
        <v>2797</v>
      </c>
      <c r="AO397" s="18"/>
      <c r="AP397" s="18"/>
      <c r="AQ397" s="15" t="s">
        <v>12122</v>
      </c>
      <c r="AR397" s="18"/>
      <c r="AS397" s="15" t="s">
        <v>12123</v>
      </c>
      <c r="AT397" s="18"/>
      <c r="AU397" s="18"/>
      <c r="AV397" s="15" t="s">
        <v>11640</v>
      </c>
      <c r="AW397" s="15" t="s">
        <v>12124</v>
      </c>
      <c r="AX397" s="18"/>
      <c r="AY397" s="15" t="s">
        <v>12125</v>
      </c>
      <c r="AZ397" s="15" t="s">
        <v>5287</v>
      </c>
      <c r="BA397" s="15" t="s">
        <v>2806</v>
      </c>
      <c r="BB397" s="15" t="s">
        <v>5649</v>
      </c>
      <c r="BC397" s="15" t="s">
        <v>5604</v>
      </c>
      <c r="BD397" s="15" t="s">
        <v>2807</v>
      </c>
      <c r="BE397" s="15" t="s">
        <v>2796</v>
      </c>
      <c r="BF397" s="18"/>
      <c r="BG397" s="18"/>
      <c r="BH397" s="18"/>
      <c r="BI397" s="18"/>
      <c r="BJ397" s="19" t="s">
        <v>12126</v>
      </c>
      <c r="BK397" s="19" t="s">
        <v>12127</v>
      </c>
      <c r="BL397" s="18"/>
      <c r="BM397" s="18"/>
      <c r="BN397" s="18"/>
      <c r="BO397" s="19" t="s">
        <v>12128</v>
      </c>
      <c r="BP397" s="19" t="s">
        <v>12129</v>
      </c>
      <c r="BQ397" s="15" t="s">
        <v>166</v>
      </c>
      <c r="BR397" s="26"/>
      <c r="BS397" s="26"/>
      <c r="BT397" s="26"/>
      <c r="BU397" s="26"/>
      <c r="BV397" s="26"/>
      <c r="BW397" s="26"/>
      <c r="BX397" s="26"/>
      <c r="BY397" s="18" t="str">
        <f t="shared" si="106"/>
        <v>IT</v>
      </c>
      <c r="BZ397" s="18" t="str">
        <f t="shared" si="100"/>
        <v/>
      </c>
      <c r="CA397" s="18" t="str">
        <f t="shared" si="101"/>
        <v/>
      </c>
      <c r="CB397" s="15" t="s">
        <v>2908</v>
      </c>
      <c r="CC397" s="15" t="s">
        <v>2908</v>
      </c>
      <c r="CD397" s="25" t="s">
        <v>2797</v>
      </c>
      <c r="CE397" s="18"/>
      <c r="CF397" s="18"/>
      <c r="CG397" s="18"/>
    </row>
    <row r="398" ht="18.75" hidden="1" customHeight="1">
      <c r="A398" s="14">
        <v>44736.4611103125</v>
      </c>
      <c r="B398" s="15" t="s">
        <v>2265</v>
      </c>
      <c r="C398" s="16" t="s">
        <v>12130</v>
      </c>
      <c r="D398" s="15" t="str">
        <f>IFERROR(__xludf.DUMMYFUNCTION("QUERY(TY_ALL_2023_Batch!$A$1:$E$824, ""SELECT E WHERE C='""&amp;B398&amp;""'"", 0)"),"IT")</f>
        <v>IT</v>
      </c>
      <c r="E398" s="15" t="s">
        <v>11563</v>
      </c>
      <c r="F398" s="15" t="s">
        <v>4134</v>
      </c>
      <c r="G398" s="15" t="s">
        <v>2973</v>
      </c>
      <c r="H398" s="15" t="s">
        <v>2785</v>
      </c>
      <c r="I398" s="17">
        <v>36847.0</v>
      </c>
      <c r="J398" s="15">
        <v>2019.0</v>
      </c>
      <c r="K398" s="15" t="s">
        <v>2786</v>
      </c>
      <c r="L398" s="15" t="s">
        <v>2787</v>
      </c>
      <c r="M398" s="18"/>
      <c r="N398" s="15" t="s">
        <v>12131</v>
      </c>
      <c r="O398" s="15" t="s">
        <v>12132</v>
      </c>
      <c r="P398" s="15" t="s">
        <v>12133</v>
      </c>
      <c r="Q398" s="15">
        <v>7.709353526E9</v>
      </c>
      <c r="R398" s="15">
        <v>7.709353526E9</v>
      </c>
      <c r="S398" s="15">
        <v>9.850660433E9</v>
      </c>
      <c r="T398" s="15" t="s">
        <v>12134</v>
      </c>
      <c r="U398" s="15" t="s">
        <v>12135</v>
      </c>
      <c r="V398" s="15" t="s">
        <v>12136</v>
      </c>
      <c r="W398" s="18"/>
      <c r="X398" s="15">
        <v>80.21</v>
      </c>
      <c r="Y398" s="15" t="s">
        <v>2795</v>
      </c>
      <c r="Z398" s="15">
        <v>8.1</v>
      </c>
      <c r="AA398" s="15">
        <v>8.1</v>
      </c>
      <c r="AB398" s="15" t="s">
        <v>2796</v>
      </c>
      <c r="AC398" s="15" t="s">
        <v>2796</v>
      </c>
      <c r="AD398" s="15" t="s">
        <v>2796</v>
      </c>
      <c r="AE398" s="15" t="s">
        <v>2796</v>
      </c>
      <c r="AF398" s="15">
        <v>7.84</v>
      </c>
      <c r="AG398" s="15">
        <v>7.58</v>
      </c>
      <c r="AH398" s="15">
        <v>64.89</v>
      </c>
      <c r="AI398" s="18"/>
      <c r="AJ398" s="15" t="s">
        <v>2787</v>
      </c>
      <c r="AK398" s="15" t="s">
        <v>2787</v>
      </c>
      <c r="AL398" s="15">
        <v>563.3</v>
      </c>
      <c r="AM398" s="15">
        <v>396.3</v>
      </c>
      <c r="AN398" s="15" t="s">
        <v>2787</v>
      </c>
      <c r="AO398" s="15" t="s">
        <v>2796</v>
      </c>
      <c r="AP398" s="15" t="s">
        <v>12137</v>
      </c>
      <c r="AQ398" s="15" t="s">
        <v>12138</v>
      </c>
      <c r="AR398" s="18"/>
      <c r="AS398" s="15" t="s">
        <v>12139</v>
      </c>
      <c r="AT398" s="18"/>
      <c r="AU398" s="15" t="s">
        <v>12140</v>
      </c>
      <c r="AV398" s="15" t="s">
        <v>12141</v>
      </c>
      <c r="AW398" s="15" t="s">
        <v>12142</v>
      </c>
      <c r="AX398" s="18"/>
      <c r="AY398" s="15" t="s">
        <v>12143</v>
      </c>
      <c r="AZ398" s="15" t="s">
        <v>8440</v>
      </c>
      <c r="BA398" s="15" t="s">
        <v>5552</v>
      </c>
      <c r="BB398" s="15" t="s">
        <v>3514</v>
      </c>
      <c r="BC398" s="15" t="s">
        <v>12144</v>
      </c>
      <c r="BD398" s="15" t="s">
        <v>2807</v>
      </c>
      <c r="BE398" s="15" t="s">
        <v>12145</v>
      </c>
      <c r="BF398" s="18"/>
      <c r="BG398" s="18"/>
      <c r="BH398" s="18"/>
      <c r="BI398" s="15" t="s">
        <v>12146</v>
      </c>
      <c r="BJ398" s="19" t="s">
        <v>12147</v>
      </c>
      <c r="BK398" s="19" t="s">
        <v>12148</v>
      </c>
      <c r="BL398" s="18"/>
      <c r="BM398" s="18"/>
      <c r="BN398" s="19" t="s">
        <v>12149</v>
      </c>
      <c r="BO398" s="19" t="s">
        <v>12150</v>
      </c>
      <c r="BP398" s="19" t="s">
        <v>12151</v>
      </c>
      <c r="BQ398" s="15" t="s">
        <v>166</v>
      </c>
      <c r="BR398" s="26"/>
      <c r="BS398" s="26"/>
      <c r="BT398" s="26"/>
      <c r="BU398" s="26"/>
      <c r="BV398" s="26"/>
      <c r="BW398" s="26"/>
      <c r="BX398" s="26"/>
      <c r="BY398" s="18" t="str">
        <f t="shared" si="106"/>
        <v>IT</v>
      </c>
      <c r="BZ398" s="18" t="str">
        <f t="shared" si="100"/>
        <v/>
      </c>
      <c r="CA398" s="18" t="str">
        <f t="shared" si="101"/>
        <v/>
      </c>
      <c r="CB398" s="15" t="s">
        <v>2908</v>
      </c>
      <c r="CC398" s="15" t="s">
        <v>2908</v>
      </c>
      <c r="CD398" s="25" t="s">
        <v>2797</v>
      </c>
      <c r="CE398" s="18"/>
      <c r="CF398" s="18"/>
      <c r="CG398" s="18"/>
    </row>
    <row r="399" ht="18.75" hidden="1" customHeight="1">
      <c r="A399" s="14">
        <v>44734.5914850463</v>
      </c>
      <c r="B399" s="15" t="s">
        <v>2226</v>
      </c>
      <c r="C399" s="16" t="s">
        <v>12152</v>
      </c>
      <c r="D399" s="15" t="str">
        <f>IFERROR(__xludf.DUMMYFUNCTION("QUERY(TY_ALL_2023_Batch!$A$1:$E$824, ""SELECT E WHERE C='""&amp;B399&amp;""'"", 0)"),"IT")</f>
        <v>IT</v>
      </c>
      <c r="E399" s="15" t="s">
        <v>7249</v>
      </c>
      <c r="F399" s="15" t="s">
        <v>3247</v>
      </c>
      <c r="G399" s="15" t="s">
        <v>12153</v>
      </c>
      <c r="H399" s="15" t="s">
        <v>2785</v>
      </c>
      <c r="I399" s="17">
        <v>36881.0</v>
      </c>
      <c r="J399" s="15">
        <v>2019.0</v>
      </c>
      <c r="K399" s="15" t="s">
        <v>2786</v>
      </c>
      <c r="L399" s="15" t="s">
        <v>2787</v>
      </c>
      <c r="M399" s="18"/>
      <c r="N399" s="15" t="s">
        <v>12154</v>
      </c>
      <c r="O399" s="15" t="s">
        <v>2226</v>
      </c>
      <c r="P399" s="19" t="s">
        <v>12155</v>
      </c>
      <c r="Q399" s="15">
        <v>7.020369149E9</v>
      </c>
      <c r="R399" s="15">
        <v>7.020369149E9</v>
      </c>
      <c r="S399" s="18"/>
      <c r="T399" s="15" t="s">
        <v>3247</v>
      </c>
      <c r="U399" s="15" t="s">
        <v>4073</v>
      </c>
      <c r="V399" s="15" t="s">
        <v>12156</v>
      </c>
      <c r="W399" s="18"/>
      <c r="X399" s="15">
        <v>88.2</v>
      </c>
      <c r="Y399" s="15" t="s">
        <v>2795</v>
      </c>
      <c r="Z399" s="15">
        <v>9.1</v>
      </c>
      <c r="AA399" s="15">
        <v>9.24</v>
      </c>
      <c r="AB399" s="15" t="s">
        <v>2796</v>
      </c>
      <c r="AC399" s="15" t="s">
        <v>2796</v>
      </c>
      <c r="AD399" s="15" t="s">
        <v>2796</v>
      </c>
      <c r="AE399" s="15" t="s">
        <v>2796</v>
      </c>
      <c r="AF399" s="15">
        <v>8.11</v>
      </c>
      <c r="AG399" s="15">
        <v>7.95</v>
      </c>
      <c r="AH399" s="15">
        <v>70.62</v>
      </c>
      <c r="AI399" s="18"/>
      <c r="AJ399" s="15" t="s">
        <v>2787</v>
      </c>
      <c r="AK399" s="15" t="s">
        <v>2787</v>
      </c>
      <c r="AL399" s="15" t="s">
        <v>12157</v>
      </c>
      <c r="AM399" s="15" t="s">
        <v>12158</v>
      </c>
      <c r="AN399" s="15" t="s">
        <v>2787</v>
      </c>
      <c r="AO399" s="18"/>
      <c r="AP399" s="15" t="s">
        <v>3201</v>
      </c>
      <c r="AQ399" s="15" t="s">
        <v>5356</v>
      </c>
      <c r="AR399" s="18"/>
      <c r="AS399" s="18"/>
      <c r="AT399" s="18"/>
      <c r="AU399" s="18"/>
      <c r="AV399" s="15" t="s">
        <v>12159</v>
      </c>
      <c r="AW399" s="15" t="s">
        <v>12160</v>
      </c>
      <c r="AX399" s="18"/>
      <c r="AY399" s="15" t="s">
        <v>12161</v>
      </c>
      <c r="AZ399" s="15" t="s">
        <v>5287</v>
      </c>
      <c r="BA399" s="15" t="s">
        <v>5552</v>
      </c>
      <c r="BB399" s="15" t="s">
        <v>5311</v>
      </c>
      <c r="BC399" s="15" t="s">
        <v>3686</v>
      </c>
      <c r="BD399" s="15" t="s">
        <v>4556</v>
      </c>
      <c r="BE399" s="15" t="s">
        <v>12162</v>
      </c>
      <c r="BF399" s="18"/>
      <c r="BG399" s="18"/>
      <c r="BH399" s="15" t="s">
        <v>12163</v>
      </c>
      <c r="BI399" s="15" t="s">
        <v>12164</v>
      </c>
      <c r="BJ399" s="19" t="s">
        <v>12165</v>
      </c>
      <c r="BK399" s="19" t="s">
        <v>12166</v>
      </c>
      <c r="BL399" s="20" t="s">
        <v>12167</v>
      </c>
      <c r="BM399" s="19" t="s">
        <v>12168</v>
      </c>
      <c r="BN399" s="19" t="s">
        <v>12169</v>
      </c>
      <c r="BO399" s="19" t="s">
        <v>12170</v>
      </c>
      <c r="BP399" s="19" t="s">
        <v>12171</v>
      </c>
      <c r="BQ399" s="15" t="s">
        <v>166</v>
      </c>
      <c r="BR399" s="26"/>
      <c r="BS399" s="26"/>
      <c r="BT399" s="26"/>
      <c r="BU399" s="26"/>
      <c r="BV399" s="26"/>
      <c r="BW399" s="26"/>
      <c r="BX399" s="26"/>
      <c r="BY399" s="18" t="str">
        <f t="shared" si="106"/>
        <v>IT</v>
      </c>
      <c r="BZ399" s="24" t="str">
        <f t="shared" si="100"/>
        <v>https://drive.google.com/open?id=1H4Mf_C3zAp0l98QDEZBufMN6Qia6zhDc</v>
      </c>
      <c r="CA399" s="24" t="str">
        <f t="shared" si="101"/>
        <v>https://drive.google.com/open?id=1zaalBsKL9OGDcZhMCZNqHN-672bAeL0-</v>
      </c>
      <c r="CB399" s="15" t="s">
        <v>2821</v>
      </c>
      <c r="CC399" s="15" t="s">
        <v>2821</v>
      </c>
      <c r="CD399" s="25" t="s">
        <v>2797</v>
      </c>
      <c r="CE399" s="18"/>
      <c r="CF399" s="18"/>
      <c r="CG399" s="18"/>
    </row>
    <row r="400" ht="18.75" hidden="1" customHeight="1">
      <c r="A400" s="14">
        <v>44743.976016932866</v>
      </c>
      <c r="B400" s="15" t="s">
        <v>2235</v>
      </c>
      <c r="C400" s="16" t="s">
        <v>12172</v>
      </c>
      <c r="D400" s="15" t="str">
        <f>IFERROR(__xludf.DUMMYFUNCTION("QUERY(TY_ALL_2023_Batch!$A$1:$E$824, ""SELECT E WHERE C='""&amp;B400&amp;""'"", 0)"),"IT")</f>
        <v>IT</v>
      </c>
      <c r="E400" s="15" t="s">
        <v>8509</v>
      </c>
      <c r="F400" s="15" t="s">
        <v>12173</v>
      </c>
      <c r="G400" s="15" t="s">
        <v>12174</v>
      </c>
      <c r="H400" s="15" t="s">
        <v>2785</v>
      </c>
      <c r="I400" s="17">
        <v>37026.0</v>
      </c>
      <c r="J400" s="15">
        <v>2019.0</v>
      </c>
      <c r="K400" s="15" t="s">
        <v>2786</v>
      </c>
      <c r="L400" s="15" t="s">
        <v>2787</v>
      </c>
      <c r="M400" s="18"/>
      <c r="N400" s="15" t="s">
        <v>12175</v>
      </c>
      <c r="O400" s="15" t="s">
        <v>12176</v>
      </c>
      <c r="P400" s="19" t="s">
        <v>12177</v>
      </c>
      <c r="Q400" s="15">
        <v>8.999417738E9</v>
      </c>
      <c r="R400" s="15">
        <v>9.175426895E9</v>
      </c>
      <c r="S400" s="15">
        <v>9.960808712E9</v>
      </c>
      <c r="T400" s="15" t="s">
        <v>12178</v>
      </c>
      <c r="U400" s="15" t="s">
        <v>12179</v>
      </c>
      <c r="V400" s="15" t="s">
        <v>12180</v>
      </c>
      <c r="W400" s="15" t="s">
        <v>12181</v>
      </c>
      <c r="X400" s="15">
        <v>94.4</v>
      </c>
      <c r="Y400" s="15" t="s">
        <v>2795</v>
      </c>
      <c r="Z400" s="15">
        <v>8.52</v>
      </c>
      <c r="AA400" s="15">
        <v>8.62</v>
      </c>
      <c r="AB400" s="15" t="s">
        <v>2796</v>
      </c>
      <c r="AC400" s="15" t="s">
        <v>2796</v>
      </c>
      <c r="AD400" s="15" t="s">
        <v>2796</v>
      </c>
      <c r="AE400" s="15" t="s">
        <v>2796</v>
      </c>
      <c r="AF400" s="15">
        <v>8.68</v>
      </c>
      <c r="AG400" s="15">
        <v>8.76</v>
      </c>
      <c r="AH400" s="15">
        <v>75.15</v>
      </c>
      <c r="AI400" s="18"/>
      <c r="AJ400" s="15" t="s">
        <v>2787</v>
      </c>
      <c r="AK400" s="15" t="s">
        <v>2787</v>
      </c>
      <c r="AL400" s="18"/>
      <c r="AM400" s="18"/>
      <c r="AN400" s="15" t="s">
        <v>2797</v>
      </c>
      <c r="AO400" s="18"/>
      <c r="AP400" s="18"/>
      <c r="AQ400" s="15" t="s">
        <v>12182</v>
      </c>
      <c r="AR400" s="15" t="s">
        <v>12183</v>
      </c>
      <c r="AS400" s="18"/>
      <c r="AT400" s="18"/>
      <c r="AU400" s="18"/>
      <c r="AV400" s="15" t="s">
        <v>12184</v>
      </c>
      <c r="AW400" s="15" t="s">
        <v>12185</v>
      </c>
      <c r="AX400" s="18"/>
      <c r="AY400" s="15" t="s">
        <v>12186</v>
      </c>
      <c r="AZ400" s="15" t="s">
        <v>5335</v>
      </c>
      <c r="BA400" s="15" t="s">
        <v>12187</v>
      </c>
      <c r="BB400" s="15" t="s">
        <v>5673</v>
      </c>
      <c r="BC400" s="15" t="s">
        <v>4505</v>
      </c>
      <c r="BD400" s="15" t="s">
        <v>2807</v>
      </c>
      <c r="BE400" s="15" t="s">
        <v>12188</v>
      </c>
      <c r="BF400" s="18"/>
      <c r="BG400" s="18"/>
      <c r="BH400" s="18"/>
      <c r="BI400" s="18"/>
      <c r="BJ400" s="19" t="s">
        <v>12189</v>
      </c>
      <c r="BK400" s="19" t="s">
        <v>12190</v>
      </c>
      <c r="BL400" s="19" t="s">
        <v>12191</v>
      </c>
      <c r="BM400" s="19" t="s">
        <v>12192</v>
      </c>
      <c r="BN400" s="19" t="s">
        <v>12193</v>
      </c>
      <c r="BO400" s="19" t="s">
        <v>12194</v>
      </c>
      <c r="BP400" s="19" t="s">
        <v>12195</v>
      </c>
      <c r="BQ400" s="15" t="s">
        <v>166</v>
      </c>
      <c r="BR400" s="26"/>
      <c r="BS400" s="26"/>
      <c r="BT400" s="26"/>
      <c r="BU400" s="26"/>
      <c r="BV400" s="26"/>
      <c r="BW400" s="15" t="s">
        <v>12196</v>
      </c>
      <c r="BX400" s="26"/>
      <c r="BY400" s="18" t="str">
        <f t="shared" si="106"/>
        <v>IT</v>
      </c>
      <c r="BZ400" s="24" t="str">
        <f t="shared" si="100"/>
        <v>https://drive.google.com/open?id=1s5NpR_fMXHZWztw3rz0d3jlXDaUtVjnU</v>
      </c>
      <c r="CA400" s="24" t="str">
        <f t="shared" si="101"/>
        <v>https://drive.google.com/open?id=16IY5wOfVsAZkU10DyC20X0qPg_a2dxcS</v>
      </c>
      <c r="CB400" s="15" t="s">
        <v>2821</v>
      </c>
      <c r="CC400" s="15" t="s">
        <v>2821</v>
      </c>
      <c r="CD400" s="25" t="s">
        <v>2797</v>
      </c>
      <c r="CE400" s="18"/>
      <c r="CF400" s="18"/>
      <c r="CG400" s="18"/>
    </row>
    <row r="401" ht="18.75" hidden="1" customHeight="1">
      <c r="A401" s="14">
        <v>44734.654075266204</v>
      </c>
      <c r="B401" s="15" t="s">
        <v>2139</v>
      </c>
      <c r="C401" s="16" t="s">
        <v>12197</v>
      </c>
      <c r="D401" s="15" t="str">
        <f>IFERROR(__xludf.DUMMYFUNCTION("QUERY(TY_ALL_2023_Batch!$A$1:$E$824, ""SELECT E WHERE C='""&amp;B401&amp;""'"", 0)"),"IT")</f>
        <v>IT</v>
      </c>
      <c r="E401" s="15" t="s">
        <v>8306</v>
      </c>
      <c r="F401" s="15" t="s">
        <v>5719</v>
      </c>
      <c r="G401" s="15" t="s">
        <v>12198</v>
      </c>
      <c r="H401" s="15" t="s">
        <v>2785</v>
      </c>
      <c r="I401" s="17">
        <v>37317.0</v>
      </c>
      <c r="J401" s="15">
        <v>2019.0</v>
      </c>
      <c r="K401" s="15" t="s">
        <v>2786</v>
      </c>
      <c r="L401" s="15" t="s">
        <v>2787</v>
      </c>
      <c r="M401" s="18"/>
      <c r="N401" s="15" t="s">
        <v>12199</v>
      </c>
      <c r="O401" s="15" t="s">
        <v>2139</v>
      </c>
      <c r="P401" s="19" t="s">
        <v>12200</v>
      </c>
      <c r="Q401" s="15">
        <v>9.834577439E9</v>
      </c>
      <c r="R401" s="15">
        <v>9.834577439E9</v>
      </c>
      <c r="S401" s="15">
        <v>8.60075348E9</v>
      </c>
      <c r="T401" s="15" t="s">
        <v>12201</v>
      </c>
      <c r="U401" s="15" t="s">
        <v>12202</v>
      </c>
      <c r="V401" s="15" t="s">
        <v>12203</v>
      </c>
      <c r="W401" s="18"/>
      <c r="X401" s="15">
        <v>87.8</v>
      </c>
      <c r="Y401" s="15" t="s">
        <v>2795</v>
      </c>
      <c r="Z401" s="15">
        <v>9.05</v>
      </c>
      <c r="AA401" s="15">
        <v>9.0</v>
      </c>
      <c r="AB401" s="15" t="s">
        <v>2796</v>
      </c>
      <c r="AC401" s="15" t="s">
        <v>2796</v>
      </c>
      <c r="AD401" s="15" t="s">
        <v>2796</v>
      </c>
      <c r="AE401" s="15" t="s">
        <v>2796</v>
      </c>
      <c r="AF401" s="15">
        <v>7.74</v>
      </c>
      <c r="AG401" s="15">
        <v>8.19</v>
      </c>
      <c r="AH401" s="15">
        <v>60.31</v>
      </c>
      <c r="AI401" s="18"/>
      <c r="AJ401" s="15" t="s">
        <v>2787</v>
      </c>
      <c r="AK401" s="15" t="s">
        <v>2787</v>
      </c>
      <c r="AL401" s="15">
        <v>616.66</v>
      </c>
      <c r="AM401" s="15">
        <v>578.33</v>
      </c>
      <c r="AN401" s="15" t="s">
        <v>2787</v>
      </c>
      <c r="AO401" s="18"/>
      <c r="AP401" s="15" t="s">
        <v>10121</v>
      </c>
      <c r="AQ401" s="15" t="s">
        <v>12204</v>
      </c>
      <c r="AR401" s="18"/>
      <c r="AS401" s="18"/>
      <c r="AT401" s="18"/>
      <c r="AU401" s="18"/>
      <c r="AV401" s="15" t="s">
        <v>12205</v>
      </c>
      <c r="AW401" s="15" t="s">
        <v>12206</v>
      </c>
      <c r="AX401" s="18"/>
      <c r="AY401" s="15" t="s">
        <v>12207</v>
      </c>
      <c r="AZ401" s="15" t="s">
        <v>5260</v>
      </c>
      <c r="BA401" s="15" t="s">
        <v>5552</v>
      </c>
      <c r="BB401" s="15" t="s">
        <v>3514</v>
      </c>
      <c r="BC401" s="15" t="s">
        <v>5705</v>
      </c>
      <c r="BD401" s="15" t="s">
        <v>2807</v>
      </c>
      <c r="BE401" s="15" t="s">
        <v>12208</v>
      </c>
      <c r="BF401" s="18"/>
      <c r="BG401" s="18"/>
      <c r="BH401" s="18"/>
      <c r="BI401" s="18"/>
      <c r="BJ401" s="19" t="s">
        <v>12209</v>
      </c>
      <c r="BK401" s="19" t="s">
        <v>12210</v>
      </c>
      <c r="BL401" s="19" t="s">
        <v>12211</v>
      </c>
      <c r="BM401" s="19" t="s">
        <v>12212</v>
      </c>
      <c r="BN401" s="19" t="s">
        <v>12213</v>
      </c>
      <c r="BO401" s="19" t="s">
        <v>12214</v>
      </c>
      <c r="BP401" s="19" t="s">
        <v>12215</v>
      </c>
      <c r="BQ401" s="15" t="s">
        <v>166</v>
      </c>
      <c r="BR401" s="26"/>
      <c r="BS401" s="26"/>
      <c r="BT401" s="26"/>
      <c r="BU401" s="26"/>
      <c r="BV401" s="26"/>
      <c r="BW401" s="26"/>
      <c r="BX401" s="26"/>
      <c r="BY401" s="18" t="str">
        <f t="shared" si="106"/>
        <v>IT</v>
      </c>
      <c r="BZ401" s="24" t="str">
        <f t="shared" si="100"/>
        <v>https://drive.google.com/open?id=1-CXaomhJI7JVdA2BkMGjDmtUbI1g1FV8</v>
      </c>
      <c r="CA401" s="24" t="str">
        <f t="shared" si="101"/>
        <v>https://drive.google.com/open?id=1vM-hFR3WMpR3k_O53-fDY9FhMFE7IXRr</v>
      </c>
      <c r="CB401" s="15" t="s">
        <v>2821</v>
      </c>
      <c r="CC401" s="15" t="s">
        <v>2821</v>
      </c>
      <c r="CD401" s="25" t="s">
        <v>2797</v>
      </c>
      <c r="CE401" s="18"/>
      <c r="CF401" s="18"/>
      <c r="CG401" s="18"/>
    </row>
    <row r="402" ht="18.75" hidden="1" customHeight="1">
      <c r="A402" s="14">
        <v>44735.46912790509</v>
      </c>
      <c r="B402" s="15" t="s">
        <v>2241</v>
      </c>
      <c r="C402" s="16" t="s">
        <v>12216</v>
      </c>
      <c r="D402" s="15" t="str">
        <f>IFERROR(__xludf.DUMMYFUNCTION("QUERY(TY_ALL_2023_Batch!$A$1:$E$824, ""SELECT E WHERE C='""&amp;B402&amp;""'"", 0)"),"IT")</f>
        <v>IT</v>
      </c>
      <c r="E402" s="15" t="s">
        <v>12217</v>
      </c>
      <c r="F402" s="15" t="s">
        <v>3098</v>
      </c>
      <c r="G402" s="15" t="s">
        <v>12218</v>
      </c>
      <c r="H402" s="15" t="s">
        <v>2785</v>
      </c>
      <c r="I402" s="17">
        <v>37117.0</v>
      </c>
      <c r="J402" s="15">
        <v>2019.0</v>
      </c>
      <c r="K402" s="15" t="s">
        <v>2786</v>
      </c>
      <c r="L402" s="15" t="s">
        <v>2787</v>
      </c>
      <c r="M402" s="18"/>
      <c r="N402" s="15" t="s">
        <v>12219</v>
      </c>
      <c r="O402" s="15" t="s">
        <v>2241</v>
      </c>
      <c r="P402" s="19" t="s">
        <v>12220</v>
      </c>
      <c r="Q402" s="15">
        <v>7.972132646E9</v>
      </c>
      <c r="R402" s="15">
        <v>7.038148573E9</v>
      </c>
      <c r="S402" s="18"/>
      <c r="T402" s="15" t="s">
        <v>3098</v>
      </c>
      <c r="U402" s="15" t="s">
        <v>11020</v>
      </c>
      <c r="V402" s="15" t="s">
        <v>12221</v>
      </c>
      <c r="W402" s="18"/>
      <c r="X402" s="15">
        <v>89.8</v>
      </c>
      <c r="Y402" s="15" t="s">
        <v>2795</v>
      </c>
      <c r="Z402" s="15">
        <v>9.05</v>
      </c>
      <c r="AA402" s="15">
        <v>9.29</v>
      </c>
      <c r="AB402" s="15" t="s">
        <v>2796</v>
      </c>
      <c r="AC402" s="15" t="s">
        <v>2796</v>
      </c>
      <c r="AD402" s="15" t="s">
        <v>2796</v>
      </c>
      <c r="AE402" s="15" t="s">
        <v>2796</v>
      </c>
      <c r="AF402" s="15">
        <v>7.84</v>
      </c>
      <c r="AG402" s="15">
        <v>8.86</v>
      </c>
      <c r="AH402" s="15">
        <v>73.08</v>
      </c>
      <c r="AI402" s="18"/>
      <c r="AJ402" s="15" t="s">
        <v>2787</v>
      </c>
      <c r="AK402" s="15" t="s">
        <v>2787</v>
      </c>
      <c r="AL402" s="15">
        <v>705.0</v>
      </c>
      <c r="AM402" s="15">
        <v>670.0</v>
      </c>
      <c r="AN402" s="15" t="s">
        <v>2797</v>
      </c>
      <c r="AO402" s="15" t="s">
        <v>8304</v>
      </c>
      <c r="AP402" s="15" t="s">
        <v>8304</v>
      </c>
      <c r="AQ402" s="15" t="s">
        <v>5356</v>
      </c>
      <c r="AR402" s="15" t="s">
        <v>8381</v>
      </c>
      <c r="AS402" s="15" t="s">
        <v>12222</v>
      </c>
      <c r="AT402" s="18"/>
      <c r="AU402" s="15" t="s">
        <v>12223</v>
      </c>
      <c r="AV402" s="15" t="s">
        <v>12224</v>
      </c>
      <c r="AW402" s="15" t="s">
        <v>12225</v>
      </c>
      <c r="AX402" s="18"/>
      <c r="AY402" s="15" t="s">
        <v>12226</v>
      </c>
      <c r="AZ402" s="15" t="s">
        <v>5335</v>
      </c>
      <c r="BA402" s="15" t="s">
        <v>12227</v>
      </c>
      <c r="BB402" s="15" t="s">
        <v>5649</v>
      </c>
      <c r="BC402" s="15" t="s">
        <v>3686</v>
      </c>
      <c r="BD402" s="15" t="s">
        <v>2807</v>
      </c>
      <c r="BE402" s="15" t="s">
        <v>12228</v>
      </c>
      <c r="BF402" s="18"/>
      <c r="BG402" s="18"/>
      <c r="BH402" s="18"/>
      <c r="BI402" s="15" t="s">
        <v>12229</v>
      </c>
      <c r="BJ402" s="19" t="s">
        <v>12230</v>
      </c>
      <c r="BK402" s="19" t="s">
        <v>12231</v>
      </c>
      <c r="BL402" s="19" t="s">
        <v>12232</v>
      </c>
      <c r="BM402" s="19" t="s">
        <v>12233</v>
      </c>
      <c r="BN402" s="19" t="s">
        <v>12234</v>
      </c>
      <c r="BO402" s="19" t="s">
        <v>12235</v>
      </c>
      <c r="BP402" s="19" t="s">
        <v>12236</v>
      </c>
      <c r="BQ402" s="15" t="s">
        <v>166</v>
      </c>
      <c r="BR402" s="26"/>
      <c r="BS402" s="26"/>
      <c r="BT402" s="26"/>
      <c r="BU402" s="26"/>
      <c r="BV402" s="26"/>
      <c r="BW402" s="26"/>
      <c r="BX402" s="26"/>
      <c r="BY402" s="18" t="str">
        <f t="shared" si="106"/>
        <v>IT</v>
      </c>
      <c r="BZ402" s="24" t="str">
        <f t="shared" si="100"/>
        <v>https://drive.google.com/open?id=1ivuudtMJvgk8ZPEvgEUVwUP6VpsCB_bL</v>
      </c>
      <c r="CA402" s="24" t="str">
        <f t="shared" si="101"/>
        <v>https://drive.google.com/open?id=10ijGiJ_kP6JDhn-dX5mjCmwaGKBu3YOy</v>
      </c>
      <c r="CB402" s="15" t="s">
        <v>2821</v>
      </c>
      <c r="CC402" s="15" t="s">
        <v>2821</v>
      </c>
      <c r="CD402" s="25" t="s">
        <v>2797</v>
      </c>
      <c r="CE402" s="18"/>
      <c r="CF402" s="18"/>
      <c r="CG402" s="18"/>
    </row>
    <row r="403" ht="18.75" hidden="1" customHeight="1">
      <c r="A403" s="14">
        <v>44770.69168027778</v>
      </c>
      <c r="B403" s="15" t="s">
        <v>2172</v>
      </c>
      <c r="C403" s="16" t="s">
        <v>12237</v>
      </c>
      <c r="D403" s="15" t="str">
        <f>IFERROR(__xludf.DUMMYFUNCTION("QUERY(TY_ALL_2023_Batch!$A$1:$E$824, ""SELECT E WHERE C='""&amp;B403&amp;""'"", 0)"),"IT")</f>
        <v>IT</v>
      </c>
      <c r="E403" s="15" t="s">
        <v>12238</v>
      </c>
      <c r="F403" s="18"/>
      <c r="G403" s="15" t="s">
        <v>4418</v>
      </c>
      <c r="H403" s="15" t="s">
        <v>2785</v>
      </c>
      <c r="I403" s="17">
        <v>36777.0</v>
      </c>
      <c r="J403" s="15">
        <v>2019.0</v>
      </c>
      <c r="K403" s="15" t="s">
        <v>2786</v>
      </c>
      <c r="L403" s="15" t="s">
        <v>2787</v>
      </c>
      <c r="M403" s="18"/>
      <c r="N403" s="15" t="s">
        <v>12239</v>
      </c>
      <c r="O403" s="15" t="s">
        <v>2172</v>
      </c>
      <c r="P403" s="19" t="s">
        <v>12240</v>
      </c>
      <c r="Q403" s="15">
        <v>8.340331141E9</v>
      </c>
      <c r="R403" s="15">
        <v>8.340331141E9</v>
      </c>
      <c r="S403" s="15">
        <v>8.603520485E9</v>
      </c>
      <c r="T403" s="15" t="s">
        <v>12241</v>
      </c>
      <c r="U403" s="15" t="s">
        <v>12242</v>
      </c>
      <c r="V403" s="15" t="s">
        <v>12243</v>
      </c>
      <c r="W403" s="15" t="s">
        <v>12244</v>
      </c>
      <c r="X403" s="15">
        <v>87.4</v>
      </c>
      <c r="Y403" s="15" t="s">
        <v>2795</v>
      </c>
      <c r="Z403" s="15">
        <v>8.18</v>
      </c>
      <c r="AA403" s="15">
        <v>8.69</v>
      </c>
      <c r="AB403" s="15">
        <v>8.1</v>
      </c>
      <c r="AC403" s="15">
        <v>8.33</v>
      </c>
      <c r="AD403" s="15" t="s">
        <v>2796</v>
      </c>
      <c r="AE403" s="15" t="s">
        <v>2796</v>
      </c>
      <c r="AF403" s="15">
        <v>7.67</v>
      </c>
      <c r="AG403" s="15">
        <v>8.05</v>
      </c>
      <c r="AH403" s="15">
        <v>62.0</v>
      </c>
      <c r="AI403" s="18"/>
      <c r="AJ403" s="15" t="s">
        <v>2787</v>
      </c>
      <c r="AK403" s="15" t="s">
        <v>2787</v>
      </c>
      <c r="AL403" s="15">
        <v>627.0</v>
      </c>
      <c r="AM403" s="15">
        <v>742.0</v>
      </c>
      <c r="AN403" s="15" t="s">
        <v>2787</v>
      </c>
      <c r="AO403" s="15" t="s">
        <v>2796</v>
      </c>
      <c r="AP403" s="15" t="s">
        <v>12245</v>
      </c>
      <c r="AQ403" s="15" t="s">
        <v>5464</v>
      </c>
      <c r="AR403" s="15" t="s">
        <v>2796</v>
      </c>
      <c r="AS403" s="15" t="s">
        <v>2796</v>
      </c>
      <c r="AT403" s="15" t="s">
        <v>2796</v>
      </c>
      <c r="AU403" s="15" t="s">
        <v>2796</v>
      </c>
      <c r="AV403" s="15" t="s">
        <v>12246</v>
      </c>
      <c r="AW403" s="15" t="s">
        <v>12247</v>
      </c>
      <c r="AX403" s="15" t="s">
        <v>12248</v>
      </c>
      <c r="AY403" s="15" t="s">
        <v>12249</v>
      </c>
      <c r="AZ403" s="15" t="s">
        <v>5335</v>
      </c>
      <c r="BA403" s="15" t="s">
        <v>2806</v>
      </c>
      <c r="BB403" s="15" t="s">
        <v>5803</v>
      </c>
      <c r="BC403" s="15" t="s">
        <v>3686</v>
      </c>
      <c r="BD403" s="15" t="s">
        <v>2807</v>
      </c>
      <c r="BE403" s="15" t="s">
        <v>12250</v>
      </c>
      <c r="BF403" s="18"/>
      <c r="BG403" s="18"/>
      <c r="BH403" s="15" t="s">
        <v>12251</v>
      </c>
      <c r="BI403" s="15" t="s">
        <v>12252</v>
      </c>
      <c r="BJ403" s="19" t="s">
        <v>12253</v>
      </c>
      <c r="BK403" s="19" t="s">
        <v>12254</v>
      </c>
      <c r="BL403" s="19" t="s">
        <v>12255</v>
      </c>
      <c r="BM403" s="19" t="s">
        <v>12256</v>
      </c>
      <c r="BN403" s="19" t="s">
        <v>12257</v>
      </c>
      <c r="BO403" s="19" t="s">
        <v>12258</v>
      </c>
      <c r="BP403" s="18"/>
      <c r="BQ403" s="15" t="s">
        <v>166</v>
      </c>
      <c r="BR403" s="26"/>
      <c r="BS403" s="26"/>
      <c r="BT403" s="26"/>
      <c r="BU403" s="26"/>
      <c r="BV403" s="26"/>
      <c r="BW403" s="15" t="s">
        <v>12259</v>
      </c>
      <c r="BX403" s="26"/>
      <c r="BY403" s="18" t="str">
        <f t="shared" si="106"/>
        <v>IT</v>
      </c>
      <c r="BZ403" s="24" t="str">
        <f t="shared" si="100"/>
        <v>https://drive.google.com/open?id=1kvNQ2woaY3nUJ2WTTB2FdvCaZA5QZofO</v>
      </c>
      <c r="CA403" s="24" t="str">
        <f t="shared" si="101"/>
        <v>https://drive.google.com/open?id=119H2tbKy6WZ6137Xv6PBUewkOZhyRuGE</v>
      </c>
      <c r="CB403" s="15" t="s">
        <v>2821</v>
      </c>
      <c r="CC403" s="15" t="s">
        <v>2821</v>
      </c>
      <c r="CD403" s="25" t="s">
        <v>2797</v>
      </c>
      <c r="CE403" s="18"/>
      <c r="CF403" s="18"/>
      <c r="CG403" s="18"/>
    </row>
    <row r="404" ht="18.75" hidden="1" customHeight="1">
      <c r="A404" s="14">
        <v>44752.40155253472</v>
      </c>
      <c r="B404" s="15" t="s">
        <v>2229</v>
      </c>
      <c r="C404" s="16" t="s">
        <v>12260</v>
      </c>
      <c r="D404" s="15" t="str">
        <f>IFERROR(__xludf.DUMMYFUNCTION("QUERY(TY_ALL_2023_Batch!$A$1:$E$824, ""SELECT E WHERE C='""&amp;B404&amp;""'"", 0)"),"IT")</f>
        <v>IT</v>
      </c>
      <c r="E404" s="15" t="s">
        <v>8100</v>
      </c>
      <c r="F404" s="15" t="s">
        <v>3268</v>
      </c>
      <c r="G404" s="15" t="s">
        <v>12153</v>
      </c>
      <c r="H404" s="15" t="s">
        <v>2785</v>
      </c>
      <c r="I404" s="17">
        <v>37051.0</v>
      </c>
      <c r="J404" s="15">
        <v>2019.0</v>
      </c>
      <c r="K404" s="15" t="s">
        <v>2786</v>
      </c>
      <c r="L404" s="15" t="s">
        <v>2787</v>
      </c>
      <c r="M404" s="18"/>
      <c r="N404" s="15" t="s">
        <v>12261</v>
      </c>
      <c r="O404" s="15" t="s">
        <v>2229</v>
      </c>
      <c r="P404" s="19" t="s">
        <v>12262</v>
      </c>
      <c r="Q404" s="15">
        <v>8.080024088E9</v>
      </c>
      <c r="R404" s="15">
        <v>8.080024088E9</v>
      </c>
      <c r="S404" s="18"/>
      <c r="T404" s="15" t="s">
        <v>12263</v>
      </c>
      <c r="U404" s="15" t="s">
        <v>12264</v>
      </c>
      <c r="V404" s="15" t="s">
        <v>12265</v>
      </c>
      <c r="W404" s="18"/>
      <c r="X404" s="15">
        <v>91.8</v>
      </c>
      <c r="Y404" s="15" t="s">
        <v>2795</v>
      </c>
      <c r="Z404" s="15">
        <v>9.0</v>
      </c>
      <c r="AA404" s="15">
        <v>9.0</v>
      </c>
      <c r="AB404" s="15" t="s">
        <v>2796</v>
      </c>
      <c r="AC404" s="15" t="s">
        <v>2796</v>
      </c>
      <c r="AD404" s="15" t="s">
        <v>2796</v>
      </c>
      <c r="AE404" s="15" t="s">
        <v>2796</v>
      </c>
      <c r="AF404" s="15">
        <v>8.5</v>
      </c>
      <c r="AG404" s="15">
        <v>8.53</v>
      </c>
      <c r="AH404" s="15">
        <v>83.38</v>
      </c>
      <c r="AI404" s="18"/>
      <c r="AJ404" s="15" t="s">
        <v>2787</v>
      </c>
      <c r="AK404" s="15" t="s">
        <v>2787</v>
      </c>
      <c r="AL404" s="15" t="s">
        <v>12266</v>
      </c>
      <c r="AM404" s="15" t="s">
        <v>12267</v>
      </c>
      <c r="AN404" s="15" t="s">
        <v>2797</v>
      </c>
      <c r="AO404" s="18"/>
      <c r="AP404" s="18"/>
      <c r="AQ404" s="15" t="s">
        <v>8840</v>
      </c>
      <c r="AR404" s="15" t="s">
        <v>12268</v>
      </c>
      <c r="AS404" s="18"/>
      <c r="AT404" s="18"/>
      <c r="AU404" s="15" t="s">
        <v>12269</v>
      </c>
      <c r="AV404" s="15" t="s">
        <v>12270</v>
      </c>
      <c r="AW404" s="15" t="s">
        <v>12271</v>
      </c>
      <c r="AX404" s="18"/>
      <c r="AY404" s="15" t="s">
        <v>12272</v>
      </c>
      <c r="AZ404" s="15" t="s">
        <v>5260</v>
      </c>
      <c r="BA404" s="15" t="s">
        <v>12273</v>
      </c>
      <c r="BB404" s="15" t="s">
        <v>12274</v>
      </c>
      <c r="BC404" s="15" t="s">
        <v>5604</v>
      </c>
      <c r="BD404" s="15" t="s">
        <v>3393</v>
      </c>
      <c r="BE404" s="15" t="s">
        <v>12275</v>
      </c>
      <c r="BF404" s="18"/>
      <c r="BG404" s="18"/>
      <c r="BH404" s="18"/>
      <c r="BI404" s="15" t="s">
        <v>12276</v>
      </c>
      <c r="BJ404" s="19" t="s">
        <v>12277</v>
      </c>
      <c r="BK404" s="19" t="s">
        <v>12278</v>
      </c>
      <c r="BL404" s="19" t="s">
        <v>12279</v>
      </c>
      <c r="BM404" s="19" t="s">
        <v>12280</v>
      </c>
      <c r="BN404" s="19" t="s">
        <v>12281</v>
      </c>
      <c r="BO404" s="19" t="s">
        <v>12282</v>
      </c>
      <c r="BP404" s="19" t="s">
        <v>12283</v>
      </c>
      <c r="BQ404" s="15" t="s">
        <v>166</v>
      </c>
      <c r="BR404" s="26"/>
      <c r="BS404" s="26"/>
      <c r="BT404" s="19" t="s">
        <v>12284</v>
      </c>
      <c r="BU404" s="26"/>
      <c r="BV404" s="26"/>
      <c r="BW404" s="15" t="s">
        <v>12285</v>
      </c>
      <c r="BX404" s="26"/>
      <c r="BY404" s="18" t="str">
        <f t="shared" si="106"/>
        <v>IT</v>
      </c>
      <c r="BZ404" s="24" t="str">
        <f t="shared" si="100"/>
        <v>https://drive.google.com/open?id=1w1fUTngOXZ1wrOd4NQnXK8vzUXAt-JbF</v>
      </c>
      <c r="CA404" s="24" t="str">
        <f t="shared" si="101"/>
        <v>https://drive.google.com/open?id=1XQA-Wq1UWBjY4Mtu4vZJGr_bNBSTuWix</v>
      </c>
      <c r="CB404" s="15" t="s">
        <v>2821</v>
      </c>
      <c r="CC404" s="15" t="s">
        <v>2821</v>
      </c>
      <c r="CD404" s="25" t="s">
        <v>2797</v>
      </c>
      <c r="CE404" s="18"/>
      <c r="CF404" s="18"/>
      <c r="CG404" s="18"/>
    </row>
    <row r="405" ht="18.75" hidden="1" customHeight="1">
      <c r="A405" s="14">
        <v>44736.426227766206</v>
      </c>
      <c r="B405" s="15" t="s">
        <v>1313</v>
      </c>
      <c r="C405" s="16" t="s">
        <v>12286</v>
      </c>
      <c r="D405" s="15" t="str">
        <f>IFERROR(__xludf.DUMMYFUNCTION("QUERY(TY_ALL_2023_Batch!$A$1:$E$824, ""SELECT E WHERE C='""&amp;B405&amp;""'"", 0)"),"IT")</f>
        <v>IT</v>
      </c>
      <c r="E405" s="15" t="s">
        <v>6793</v>
      </c>
      <c r="F405" s="15" t="s">
        <v>12287</v>
      </c>
      <c r="G405" s="15" t="s">
        <v>2973</v>
      </c>
      <c r="H405" s="15" t="s">
        <v>2785</v>
      </c>
      <c r="I405" s="17">
        <v>37163.0</v>
      </c>
      <c r="J405" s="15">
        <v>2020.0</v>
      </c>
      <c r="K405" s="15" t="s">
        <v>2941</v>
      </c>
      <c r="L405" s="15" t="s">
        <v>2787</v>
      </c>
      <c r="M405" s="18"/>
      <c r="N405" s="15" t="s">
        <v>12288</v>
      </c>
      <c r="O405" s="15" t="s">
        <v>1313</v>
      </c>
      <c r="P405" s="19" t="s">
        <v>12289</v>
      </c>
      <c r="Q405" s="15">
        <v>8.788414032E9</v>
      </c>
      <c r="R405" s="15">
        <v>8.788414032E9</v>
      </c>
      <c r="S405" s="15">
        <v>9.42298188E9</v>
      </c>
      <c r="T405" s="15" t="s">
        <v>12290</v>
      </c>
      <c r="U405" s="15" t="s">
        <v>12291</v>
      </c>
      <c r="V405" s="15" t="s">
        <v>12292</v>
      </c>
      <c r="W405" s="15" t="s">
        <v>12293</v>
      </c>
      <c r="X405" s="15">
        <v>95.6</v>
      </c>
      <c r="Y405" s="15" t="s">
        <v>2948</v>
      </c>
      <c r="Z405" s="15">
        <v>9.86</v>
      </c>
      <c r="AA405" s="15">
        <v>9.86</v>
      </c>
      <c r="AB405" s="15">
        <v>9.6</v>
      </c>
      <c r="AC405" s="15">
        <v>9.6</v>
      </c>
      <c r="AD405" s="15" t="s">
        <v>2796</v>
      </c>
      <c r="AE405" s="15" t="s">
        <v>2796</v>
      </c>
      <c r="AF405" s="18"/>
      <c r="AG405" s="18"/>
      <c r="AH405" s="18"/>
      <c r="AI405" s="15">
        <v>92.33</v>
      </c>
      <c r="AJ405" s="15" t="s">
        <v>2787</v>
      </c>
      <c r="AK405" s="15" t="s">
        <v>2787</v>
      </c>
      <c r="AL405" s="15">
        <v>800.0</v>
      </c>
      <c r="AM405" s="15">
        <v>800.0</v>
      </c>
      <c r="AN405" s="15" t="s">
        <v>2797</v>
      </c>
      <c r="AO405" s="18"/>
      <c r="AP405" s="18"/>
      <c r="AQ405" s="15" t="s">
        <v>5415</v>
      </c>
      <c r="AR405" s="15" t="s">
        <v>12294</v>
      </c>
      <c r="AS405" s="15" t="s">
        <v>12295</v>
      </c>
      <c r="AT405" s="18"/>
      <c r="AU405" s="18"/>
      <c r="AV405" s="15" t="s">
        <v>11549</v>
      </c>
      <c r="AW405" s="15" t="s">
        <v>12296</v>
      </c>
      <c r="AX405" s="18"/>
      <c r="AY405" s="15" t="s">
        <v>12297</v>
      </c>
      <c r="AZ405" s="15" t="s">
        <v>5287</v>
      </c>
      <c r="BA405" s="15" t="s">
        <v>11356</v>
      </c>
      <c r="BB405" s="15" t="s">
        <v>6754</v>
      </c>
      <c r="BC405" s="15" t="s">
        <v>12298</v>
      </c>
      <c r="BD405" s="15" t="s">
        <v>12299</v>
      </c>
      <c r="BE405" s="15" t="s">
        <v>12300</v>
      </c>
      <c r="BF405" s="18"/>
      <c r="BG405" s="18"/>
      <c r="BH405" s="15" t="s">
        <v>12301</v>
      </c>
      <c r="BI405" s="15" t="s">
        <v>12302</v>
      </c>
      <c r="BJ405" s="19" t="s">
        <v>12303</v>
      </c>
      <c r="BK405" s="19" t="s">
        <v>12304</v>
      </c>
      <c r="BL405" s="19" t="s">
        <v>12305</v>
      </c>
      <c r="BM405" s="19" t="s">
        <v>12306</v>
      </c>
      <c r="BN405" s="19" t="s">
        <v>12307</v>
      </c>
      <c r="BO405" s="19" t="s">
        <v>12308</v>
      </c>
      <c r="BP405" s="19" t="s">
        <v>12309</v>
      </c>
      <c r="BQ405" s="15" t="s">
        <v>166</v>
      </c>
      <c r="BR405" s="26"/>
      <c r="BS405" s="26"/>
      <c r="BT405" s="26"/>
      <c r="BU405" s="26"/>
      <c r="BV405" s="26"/>
      <c r="BW405" s="26"/>
      <c r="BX405" s="26"/>
      <c r="BY405" s="18" t="str">
        <f t="shared" si="106"/>
        <v>IT</v>
      </c>
      <c r="BZ405" s="24" t="str">
        <f t="shared" si="100"/>
        <v>https://drive.google.com/open?id=1d1oVvfRmGF5kliVcsmh3ULSWiRKCfG97</v>
      </c>
      <c r="CA405" s="24" t="str">
        <f t="shared" si="101"/>
        <v>https://drive.google.com/open?id=1roC_vu7g2KMie4poS1Qd6Nn2Hye6MY9Y</v>
      </c>
      <c r="CB405" s="15" t="s">
        <v>2821</v>
      </c>
      <c r="CC405" s="15" t="s">
        <v>2821</v>
      </c>
      <c r="CD405" s="25" t="s">
        <v>2797</v>
      </c>
      <c r="CE405" s="18"/>
      <c r="CF405" s="18"/>
      <c r="CG405" s="18"/>
    </row>
    <row r="406" ht="18.75" hidden="1" customHeight="1">
      <c r="A406" s="14">
        <v>44742.43888383102</v>
      </c>
      <c r="B406" s="15" t="s">
        <v>1298</v>
      </c>
      <c r="C406" s="16" t="s">
        <v>12310</v>
      </c>
      <c r="D406" s="15" t="str">
        <f>IFERROR(__xludf.DUMMYFUNCTION("QUERY(TY_ALL_2023_Batch!$A$1:$E$824, ""SELECT E WHERE C='""&amp;B406&amp;""'"", 0)"),"IT")</f>
        <v>IT</v>
      </c>
      <c r="E406" s="15" t="s">
        <v>4905</v>
      </c>
      <c r="F406" s="15" t="s">
        <v>9609</v>
      </c>
      <c r="G406" s="15" t="s">
        <v>2973</v>
      </c>
      <c r="H406" s="15" t="s">
        <v>2826</v>
      </c>
      <c r="I406" s="17">
        <v>37044.0</v>
      </c>
      <c r="J406" s="15">
        <v>2020.0</v>
      </c>
      <c r="K406" s="15" t="s">
        <v>2941</v>
      </c>
      <c r="L406" s="15" t="s">
        <v>2787</v>
      </c>
      <c r="M406" s="18"/>
      <c r="N406" s="15" t="s">
        <v>12311</v>
      </c>
      <c r="O406" s="15" t="s">
        <v>1298</v>
      </c>
      <c r="P406" s="19" t="s">
        <v>12312</v>
      </c>
      <c r="Q406" s="15">
        <v>9.02812396E9</v>
      </c>
      <c r="R406" s="15">
        <v>9.02812396E9</v>
      </c>
      <c r="S406" s="15">
        <v>9.881522663E9</v>
      </c>
      <c r="T406" s="15" t="s">
        <v>12313</v>
      </c>
      <c r="U406" s="15" t="s">
        <v>12314</v>
      </c>
      <c r="V406" s="15" t="s">
        <v>12315</v>
      </c>
      <c r="W406" s="18"/>
      <c r="X406" s="15">
        <v>91.2</v>
      </c>
      <c r="Y406" s="15" t="s">
        <v>2948</v>
      </c>
      <c r="Z406" s="15">
        <v>8.67</v>
      </c>
      <c r="AA406" s="15">
        <v>8.19</v>
      </c>
      <c r="AB406" s="15" t="s">
        <v>2796</v>
      </c>
      <c r="AC406" s="15" t="s">
        <v>2796</v>
      </c>
      <c r="AD406" s="15" t="s">
        <v>2796</v>
      </c>
      <c r="AE406" s="15" t="s">
        <v>2796</v>
      </c>
      <c r="AF406" s="18"/>
      <c r="AG406" s="18"/>
      <c r="AH406" s="18"/>
      <c r="AI406" s="15">
        <v>92.44</v>
      </c>
      <c r="AJ406" s="15" t="s">
        <v>2787</v>
      </c>
      <c r="AK406" s="15" t="s">
        <v>2787</v>
      </c>
      <c r="AL406" s="15">
        <v>516.67</v>
      </c>
      <c r="AM406" s="15">
        <v>653.33</v>
      </c>
      <c r="AN406" s="15" t="s">
        <v>2797</v>
      </c>
      <c r="AO406" s="18"/>
      <c r="AP406" s="18"/>
      <c r="AQ406" s="15" t="s">
        <v>12316</v>
      </c>
      <c r="AR406" s="15" t="s">
        <v>12317</v>
      </c>
      <c r="AS406" s="15" t="s">
        <v>12318</v>
      </c>
      <c r="AT406" s="18"/>
      <c r="AU406" s="15" t="s">
        <v>2796</v>
      </c>
      <c r="AV406" s="15" t="s">
        <v>12319</v>
      </c>
      <c r="AW406" s="15" t="s">
        <v>12320</v>
      </c>
      <c r="AX406" s="18"/>
      <c r="AY406" s="15" t="s">
        <v>12321</v>
      </c>
      <c r="AZ406" s="15" t="s">
        <v>5625</v>
      </c>
      <c r="BA406" s="15" t="s">
        <v>5552</v>
      </c>
      <c r="BB406" s="15" t="s">
        <v>7616</v>
      </c>
      <c r="BC406" s="15" t="s">
        <v>4644</v>
      </c>
      <c r="BD406" s="15" t="s">
        <v>2807</v>
      </c>
      <c r="BE406" s="15" t="s">
        <v>2796</v>
      </c>
      <c r="BF406" s="18"/>
      <c r="BG406" s="18"/>
      <c r="BH406" s="18"/>
      <c r="BI406" s="15" t="s">
        <v>12322</v>
      </c>
      <c r="BJ406" s="19" t="s">
        <v>12323</v>
      </c>
      <c r="BK406" s="19" t="s">
        <v>12324</v>
      </c>
      <c r="BL406" s="19" t="s">
        <v>12325</v>
      </c>
      <c r="BM406" s="19" t="s">
        <v>12326</v>
      </c>
      <c r="BN406" s="19" t="s">
        <v>12327</v>
      </c>
      <c r="BO406" s="19" t="s">
        <v>12328</v>
      </c>
      <c r="BP406" s="19" t="s">
        <v>12329</v>
      </c>
      <c r="BQ406" s="15" t="s">
        <v>166</v>
      </c>
      <c r="BR406" s="19" t="s">
        <v>12330</v>
      </c>
      <c r="BS406" s="26"/>
      <c r="BT406" s="19" t="s">
        <v>12331</v>
      </c>
      <c r="BU406" s="19" t="s">
        <v>12332</v>
      </c>
      <c r="BV406" s="26"/>
      <c r="BW406" s="15" t="s">
        <v>12333</v>
      </c>
      <c r="BX406" s="26"/>
      <c r="BY406" s="18" t="str">
        <f t="shared" si="106"/>
        <v>IT</v>
      </c>
      <c r="BZ406" s="24" t="str">
        <f t="shared" si="100"/>
        <v>https://drive.google.com/open?id=1HY-9vecWiJJfrWHMJS3IKFOW6UEXH-8J</v>
      </c>
      <c r="CA406" s="24" t="str">
        <f t="shared" si="101"/>
        <v>https://drive.google.com/open?id=1gAlNORynPMV4z9BN8U3Pj-gHYrqu0ASf</v>
      </c>
      <c r="CB406" s="15" t="s">
        <v>2821</v>
      </c>
      <c r="CC406" s="15" t="s">
        <v>2821</v>
      </c>
      <c r="CD406" s="25" t="s">
        <v>2787</v>
      </c>
      <c r="CE406" s="18"/>
      <c r="CF406" s="18"/>
      <c r="CG406" s="18"/>
    </row>
    <row r="407" ht="18.75" hidden="1" customHeight="1">
      <c r="A407" s="14">
        <v>44734.769689189816</v>
      </c>
      <c r="B407" s="15" t="s">
        <v>1307</v>
      </c>
      <c r="C407" s="16" t="s">
        <v>12334</v>
      </c>
      <c r="D407" s="15" t="str">
        <f>IFERROR(__xludf.DUMMYFUNCTION("QUERY(TY_ALL_2023_Batch!$A$1:$E$824, ""SELECT E WHERE C='""&amp;B407&amp;""'"", 0)"),"IT")</f>
        <v>IT</v>
      </c>
      <c r="E407" s="15" t="s">
        <v>12335</v>
      </c>
      <c r="F407" s="15" t="s">
        <v>6767</v>
      </c>
      <c r="G407" s="15" t="s">
        <v>2973</v>
      </c>
      <c r="H407" s="15" t="s">
        <v>2826</v>
      </c>
      <c r="I407" s="17">
        <v>36957.0</v>
      </c>
      <c r="J407" s="15">
        <v>2020.0</v>
      </c>
      <c r="K407" s="15" t="s">
        <v>2941</v>
      </c>
      <c r="L407" s="15" t="s">
        <v>2787</v>
      </c>
      <c r="M407" s="18"/>
      <c r="N407" s="15" t="s">
        <v>12336</v>
      </c>
      <c r="O407" s="15" t="s">
        <v>1307</v>
      </c>
      <c r="P407" s="19" t="s">
        <v>12337</v>
      </c>
      <c r="Q407" s="15">
        <v>7.499665497E9</v>
      </c>
      <c r="R407" s="15">
        <v>7.499665497E9</v>
      </c>
      <c r="S407" s="15">
        <v>8.600981839E9</v>
      </c>
      <c r="T407" s="15" t="s">
        <v>6767</v>
      </c>
      <c r="U407" s="15" t="s">
        <v>3383</v>
      </c>
      <c r="V407" s="15" t="s">
        <v>12338</v>
      </c>
      <c r="W407" s="15" t="s">
        <v>12339</v>
      </c>
      <c r="X407" s="15">
        <v>97.8</v>
      </c>
      <c r="Y407" s="15" t="s">
        <v>2948</v>
      </c>
      <c r="Z407" s="15">
        <v>9.24</v>
      </c>
      <c r="AA407" s="15">
        <v>9.76</v>
      </c>
      <c r="AB407" s="15">
        <v>9.1</v>
      </c>
      <c r="AC407" s="15">
        <v>9.3</v>
      </c>
      <c r="AD407" s="15" t="s">
        <v>2796</v>
      </c>
      <c r="AE407" s="15" t="s">
        <v>2796</v>
      </c>
      <c r="AF407" s="18"/>
      <c r="AG407" s="18"/>
      <c r="AH407" s="18"/>
      <c r="AI407" s="15">
        <v>9.2</v>
      </c>
      <c r="AJ407" s="15" t="s">
        <v>2787</v>
      </c>
      <c r="AK407" s="15" t="s">
        <v>2787</v>
      </c>
      <c r="AL407" s="15">
        <v>81.0</v>
      </c>
      <c r="AM407" s="15">
        <v>98.67</v>
      </c>
      <c r="AN407" s="15" t="s">
        <v>2797</v>
      </c>
      <c r="AO407" s="15" t="s">
        <v>2796</v>
      </c>
      <c r="AP407" s="15" t="s">
        <v>2796</v>
      </c>
      <c r="AQ407" s="15" t="s">
        <v>7352</v>
      </c>
      <c r="AR407" s="15" t="s">
        <v>12340</v>
      </c>
      <c r="AS407" s="18"/>
      <c r="AT407" s="18"/>
      <c r="AU407" s="15" t="s">
        <v>12341</v>
      </c>
      <c r="AV407" s="15" t="s">
        <v>2796</v>
      </c>
      <c r="AW407" s="15" t="s">
        <v>12342</v>
      </c>
      <c r="AX407" s="18"/>
      <c r="AY407" s="16" t="s">
        <v>12343</v>
      </c>
      <c r="AZ407" s="15" t="s">
        <v>5260</v>
      </c>
      <c r="BA407" s="15" t="s">
        <v>5552</v>
      </c>
      <c r="BB407" s="15" t="s">
        <v>7616</v>
      </c>
      <c r="BC407" s="15" t="s">
        <v>5577</v>
      </c>
      <c r="BD407" s="15" t="s">
        <v>2842</v>
      </c>
      <c r="BE407" s="15" t="s">
        <v>12344</v>
      </c>
      <c r="BF407" s="15" t="s">
        <v>12345</v>
      </c>
      <c r="BG407" s="15" t="s">
        <v>12346</v>
      </c>
      <c r="BH407" s="15" t="s">
        <v>12347</v>
      </c>
      <c r="BI407" s="15" t="s">
        <v>12348</v>
      </c>
      <c r="BJ407" s="19" t="s">
        <v>12349</v>
      </c>
      <c r="BK407" s="19" t="s">
        <v>12350</v>
      </c>
      <c r="BL407" s="19" t="s">
        <v>12351</v>
      </c>
      <c r="BM407" s="19" t="s">
        <v>12352</v>
      </c>
      <c r="BN407" s="19" t="s">
        <v>12353</v>
      </c>
      <c r="BO407" s="19" t="s">
        <v>12354</v>
      </c>
      <c r="BP407" s="19" t="s">
        <v>12355</v>
      </c>
      <c r="BQ407" s="15" t="s">
        <v>166</v>
      </c>
      <c r="BR407" s="26"/>
      <c r="BS407" s="26"/>
      <c r="BT407" s="26"/>
      <c r="BU407" s="26"/>
      <c r="BV407" s="26"/>
      <c r="BW407" s="26"/>
      <c r="BX407" s="26"/>
      <c r="BY407" s="18" t="str">
        <f t="shared" si="106"/>
        <v>IT</v>
      </c>
      <c r="BZ407" s="24" t="str">
        <f t="shared" si="100"/>
        <v>https://drive.google.com/open?id=1qiDI7Eu2rvIqrPQjq2s_OJg3_gUYv2TF</v>
      </c>
      <c r="CA407" s="24" t="str">
        <f t="shared" si="101"/>
        <v>https://drive.google.com/open?id=1OU7JjPHOBE6lqxCe80RingEKIN9svD4J</v>
      </c>
      <c r="CB407" s="15" t="s">
        <v>2821</v>
      </c>
      <c r="CC407" s="15" t="s">
        <v>2821</v>
      </c>
      <c r="CD407" s="25" t="s">
        <v>2797</v>
      </c>
      <c r="CE407" s="18"/>
      <c r="CF407" s="18"/>
      <c r="CG407" s="18"/>
    </row>
    <row r="408" ht="18.75" hidden="1" customHeight="1">
      <c r="A408" s="14">
        <v>44734.55480607639</v>
      </c>
      <c r="B408" s="15" t="s">
        <v>1292</v>
      </c>
      <c r="C408" s="16" t="s">
        <v>12356</v>
      </c>
      <c r="D408" s="15" t="str">
        <f>IFERROR(__xludf.DUMMYFUNCTION("QUERY(TY_ALL_2023_Batch!$A$1:$E$824, ""SELECT E WHERE C='""&amp;B408&amp;""'"", 0)"),"IT")</f>
        <v>IT</v>
      </c>
      <c r="E408" s="15" t="s">
        <v>7249</v>
      </c>
      <c r="F408" s="15" t="s">
        <v>3166</v>
      </c>
      <c r="G408" s="15" t="s">
        <v>5539</v>
      </c>
      <c r="H408" s="15" t="s">
        <v>2785</v>
      </c>
      <c r="I408" s="17">
        <v>37447.0</v>
      </c>
      <c r="J408" s="15">
        <v>2020.0</v>
      </c>
      <c r="K408" s="15" t="s">
        <v>2941</v>
      </c>
      <c r="L408" s="15" t="s">
        <v>2787</v>
      </c>
      <c r="M408" s="18"/>
      <c r="N408" s="15" t="s">
        <v>12357</v>
      </c>
      <c r="O408" s="15" t="s">
        <v>1292</v>
      </c>
      <c r="P408" s="19" t="s">
        <v>12358</v>
      </c>
      <c r="Q408" s="15">
        <v>8.329108177E9</v>
      </c>
      <c r="R408" s="15">
        <v>8.329108177E9</v>
      </c>
      <c r="S408" s="15">
        <v>8.329108177E9</v>
      </c>
      <c r="T408" s="15" t="s">
        <v>12359</v>
      </c>
      <c r="U408" s="15" t="s">
        <v>12360</v>
      </c>
      <c r="V408" s="15" t="s">
        <v>12361</v>
      </c>
      <c r="W408" s="18"/>
      <c r="X408" s="15">
        <v>85.6</v>
      </c>
      <c r="Y408" s="15" t="s">
        <v>2948</v>
      </c>
      <c r="Z408" s="15">
        <v>9.43</v>
      </c>
      <c r="AA408" s="15">
        <v>9.62</v>
      </c>
      <c r="AB408" s="15">
        <v>9.2</v>
      </c>
      <c r="AC408" s="15">
        <v>9.3</v>
      </c>
      <c r="AD408" s="15" t="s">
        <v>2796</v>
      </c>
      <c r="AE408" s="15" t="s">
        <v>2796</v>
      </c>
      <c r="AF408" s="18"/>
      <c r="AG408" s="18"/>
      <c r="AH408" s="18"/>
      <c r="AI408" s="15">
        <v>92.86</v>
      </c>
      <c r="AJ408" s="15" t="s">
        <v>2787</v>
      </c>
      <c r="AK408" s="15" t="s">
        <v>2787</v>
      </c>
      <c r="AL408" s="15">
        <v>578.0</v>
      </c>
      <c r="AM408" s="15">
        <v>635.0</v>
      </c>
      <c r="AN408" s="15" t="s">
        <v>2797</v>
      </c>
      <c r="AO408" s="18"/>
      <c r="AP408" s="18"/>
      <c r="AQ408" s="15" t="s">
        <v>5356</v>
      </c>
      <c r="AR408" s="15" t="s">
        <v>12362</v>
      </c>
      <c r="AS408" s="15" t="s">
        <v>12363</v>
      </c>
      <c r="AT408" s="18"/>
      <c r="AU408" s="15" t="s">
        <v>12364</v>
      </c>
      <c r="AV408" s="15" t="s">
        <v>12365</v>
      </c>
      <c r="AW408" s="15" t="s">
        <v>12366</v>
      </c>
      <c r="AX408" s="15" t="s">
        <v>12367</v>
      </c>
      <c r="AY408" s="15" t="s">
        <v>12368</v>
      </c>
      <c r="AZ408" s="15" t="s">
        <v>5287</v>
      </c>
      <c r="BA408" s="15" t="s">
        <v>12369</v>
      </c>
      <c r="BB408" s="15" t="s">
        <v>12370</v>
      </c>
      <c r="BC408" s="15" t="s">
        <v>3686</v>
      </c>
      <c r="BD408" s="15" t="s">
        <v>2807</v>
      </c>
      <c r="BE408" s="15" t="s">
        <v>12371</v>
      </c>
      <c r="BF408" s="15" t="s">
        <v>12372</v>
      </c>
      <c r="BG408" s="18"/>
      <c r="BH408" s="18"/>
      <c r="BI408" s="15" t="s">
        <v>12373</v>
      </c>
      <c r="BJ408" s="19" t="s">
        <v>12374</v>
      </c>
      <c r="BK408" s="19" t="s">
        <v>12375</v>
      </c>
      <c r="BL408" s="19" t="s">
        <v>12376</v>
      </c>
      <c r="BM408" s="19" t="s">
        <v>12377</v>
      </c>
      <c r="BN408" s="19" t="s">
        <v>12378</v>
      </c>
      <c r="BO408" s="19" t="s">
        <v>12379</v>
      </c>
      <c r="BP408" s="19" t="s">
        <v>12380</v>
      </c>
      <c r="BQ408" s="15" t="s">
        <v>166</v>
      </c>
      <c r="BR408" s="26"/>
      <c r="BS408" s="26"/>
      <c r="BT408" s="26"/>
      <c r="BU408" s="26"/>
      <c r="BV408" s="26"/>
      <c r="BW408" s="26"/>
      <c r="BX408" s="26"/>
      <c r="BY408" s="18" t="str">
        <f t="shared" si="106"/>
        <v>IT</v>
      </c>
      <c r="BZ408" s="24" t="str">
        <f t="shared" si="100"/>
        <v>https://drive.google.com/open?id=1FK8yk76_4JaLGHffuzg4Vx7E2TeYR05i</v>
      </c>
      <c r="CA408" s="24" t="str">
        <f t="shared" si="101"/>
        <v>https://drive.google.com/open?id=1iQ2jLGLu39ou2000a6H8CghSZzcHhV4b</v>
      </c>
      <c r="CB408" s="15" t="s">
        <v>2821</v>
      </c>
      <c r="CC408" s="15" t="s">
        <v>2821</v>
      </c>
      <c r="CD408" s="25" t="s">
        <v>2797</v>
      </c>
      <c r="CE408" s="18"/>
      <c r="CF408" s="18"/>
      <c r="CG408" s="18"/>
    </row>
    <row r="409" ht="18.75" hidden="1" customHeight="1">
      <c r="A409" s="14">
        <v>44741.9704769213</v>
      </c>
      <c r="B409" s="15" t="s">
        <v>1304</v>
      </c>
      <c r="C409" s="16" t="s">
        <v>12381</v>
      </c>
      <c r="D409" s="15" t="str">
        <f>IFERROR(__xludf.DUMMYFUNCTION("QUERY(TY_ALL_2023_Batch!$A$1:$E$824, ""SELECT E WHERE C='""&amp;B409&amp;""'"", 0)"),"IT")</f>
        <v>IT</v>
      </c>
      <c r="E409" s="15" t="s">
        <v>11169</v>
      </c>
      <c r="F409" s="15" t="s">
        <v>6868</v>
      </c>
      <c r="G409" s="15" t="s">
        <v>12382</v>
      </c>
      <c r="H409" s="15" t="s">
        <v>2826</v>
      </c>
      <c r="I409" s="17">
        <v>37022.0</v>
      </c>
      <c r="J409" s="15">
        <v>2020.0</v>
      </c>
      <c r="K409" s="15" t="s">
        <v>2941</v>
      </c>
      <c r="L409" s="15" t="s">
        <v>2787</v>
      </c>
      <c r="M409" s="18"/>
      <c r="N409" s="15" t="s">
        <v>12383</v>
      </c>
      <c r="O409" s="15" t="s">
        <v>1304</v>
      </c>
      <c r="P409" s="19" t="s">
        <v>12384</v>
      </c>
      <c r="Q409" s="15">
        <v>8.485031136E9</v>
      </c>
      <c r="R409" s="15">
        <v>8.485031136E9</v>
      </c>
      <c r="S409" s="15">
        <v>7.51705625E9</v>
      </c>
      <c r="T409" s="15" t="s">
        <v>6868</v>
      </c>
      <c r="U409" s="15" t="s">
        <v>12385</v>
      </c>
      <c r="V409" s="15" t="s">
        <v>12386</v>
      </c>
      <c r="W409" s="15" t="s">
        <v>12387</v>
      </c>
      <c r="X409" s="15">
        <v>76.2</v>
      </c>
      <c r="Y409" s="15" t="s">
        <v>2948</v>
      </c>
      <c r="Z409" s="15">
        <v>7.9</v>
      </c>
      <c r="AA409" s="15">
        <v>7.86</v>
      </c>
      <c r="AB409" s="15" t="s">
        <v>2796</v>
      </c>
      <c r="AC409" s="15" t="s">
        <v>2796</v>
      </c>
      <c r="AD409" s="15" t="s">
        <v>2796</v>
      </c>
      <c r="AE409" s="15" t="s">
        <v>2796</v>
      </c>
      <c r="AF409" s="18"/>
      <c r="AG409" s="18"/>
      <c r="AH409" s="18"/>
      <c r="AI409" s="15">
        <v>88.63</v>
      </c>
      <c r="AJ409" s="15" t="s">
        <v>2787</v>
      </c>
      <c r="AK409" s="15" t="s">
        <v>2787</v>
      </c>
      <c r="AL409" s="15">
        <v>44.73</v>
      </c>
      <c r="AM409" s="15">
        <v>84.66</v>
      </c>
      <c r="AN409" s="15" t="s">
        <v>2787</v>
      </c>
      <c r="AO409" s="15" t="s">
        <v>12388</v>
      </c>
      <c r="AP409" s="15" t="s">
        <v>12388</v>
      </c>
      <c r="AQ409" s="15" t="s">
        <v>12389</v>
      </c>
      <c r="AR409" s="15" t="s">
        <v>2796</v>
      </c>
      <c r="AS409" s="15" t="s">
        <v>2796</v>
      </c>
      <c r="AT409" s="15" t="s">
        <v>2796</v>
      </c>
      <c r="AU409" s="15" t="s">
        <v>2796</v>
      </c>
      <c r="AV409" s="15" t="s">
        <v>12390</v>
      </c>
      <c r="AW409" s="15" t="s">
        <v>12391</v>
      </c>
      <c r="AX409" s="15" t="s">
        <v>2796</v>
      </c>
      <c r="AY409" s="15" t="s">
        <v>12392</v>
      </c>
      <c r="AZ409" s="15" t="s">
        <v>5335</v>
      </c>
      <c r="BA409" s="15" t="s">
        <v>2839</v>
      </c>
      <c r="BB409" s="15" t="s">
        <v>5729</v>
      </c>
      <c r="BC409" s="15" t="s">
        <v>5554</v>
      </c>
      <c r="BD409" s="15" t="s">
        <v>2807</v>
      </c>
      <c r="BE409" s="15" t="s">
        <v>2796</v>
      </c>
      <c r="BF409" s="15" t="s">
        <v>2796</v>
      </c>
      <c r="BG409" s="15" t="s">
        <v>2796</v>
      </c>
      <c r="BH409" s="15" t="s">
        <v>2796</v>
      </c>
      <c r="BI409" s="15" t="s">
        <v>2796</v>
      </c>
      <c r="BJ409" s="19" t="s">
        <v>12393</v>
      </c>
      <c r="BK409" s="19" t="s">
        <v>12394</v>
      </c>
      <c r="BL409" s="19" t="s">
        <v>12395</v>
      </c>
      <c r="BM409" s="19" t="s">
        <v>12396</v>
      </c>
      <c r="BN409" s="19" t="s">
        <v>12397</v>
      </c>
      <c r="BO409" s="19" t="s">
        <v>12398</v>
      </c>
      <c r="BP409" s="18"/>
      <c r="BQ409" s="15" t="s">
        <v>166</v>
      </c>
      <c r="BR409" s="26"/>
      <c r="BS409" s="26"/>
      <c r="BT409" s="19" t="s">
        <v>12399</v>
      </c>
      <c r="BU409" s="19" t="s">
        <v>12400</v>
      </c>
      <c r="BV409" s="19" t="s">
        <v>12401</v>
      </c>
      <c r="BW409" s="15" t="s">
        <v>3005</v>
      </c>
      <c r="BX409" s="26"/>
      <c r="BY409" s="18" t="str">
        <f t="shared" si="106"/>
        <v>IT</v>
      </c>
      <c r="BZ409" s="24" t="str">
        <f t="shared" si="100"/>
        <v>https://drive.google.com/open?id=1Ao6Exj4McW0J_0Waco9n2GrYKgVlLt0p</v>
      </c>
      <c r="CA409" s="24" t="str">
        <f t="shared" si="101"/>
        <v>https://drive.google.com/open?id=1m8jy7mcipoFq3V-pnJxbsYQfIvCdEpnV</v>
      </c>
      <c r="CB409" s="15" t="s">
        <v>2821</v>
      </c>
      <c r="CC409" s="15" t="s">
        <v>2821</v>
      </c>
      <c r="CD409" s="25" t="s">
        <v>2787</v>
      </c>
      <c r="CE409" s="18"/>
      <c r="CF409" s="18"/>
      <c r="CG409" s="18"/>
    </row>
    <row r="410" ht="18.75" hidden="1" customHeight="1">
      <c r="A410" s="14">
        <v>44756.88657101852</v>
      </c>
      <c r="B410" s="15" t="s">
        <v>2448</v>
      </c>
      <c r="C410" s="16" t="s">
        <v>12402</v>
      </c>
      <c r="D410" s="15" t="str">
        <f>IFERROR(__xludf.DUMMYFUNCTION("QUERY(TY_ALL_2023_Batch!$A$1:$E$824, ""SELECT E WHERE C='""&amp;B410&amp;""'"", 0)"),"MECH")</f>
        <v>MECH</v>
      </c>
      <c r="E410" s="15" t="s">
        <v>4003</v>
      </c>
      <c r="F410" s="15" t="s">
        <v>12403</v>
      </c>
      <c r="G410" s="15" t="s">
        <v>8085</v>
      </c>
      <c r="H410" s="15" t="s">
        <v>2826</v>
      </c>
      <c r="I410" s="17">
        <v>37081.0</v>
      </c>
      <c r="J410" s="15">
        <v>2019.0</v>
      </c>
      <c r="K410" s="15" t="s">
        <v>2786</v>
      </c>
      <c r="L410" s="15" t="s">
        <v>2787</v>
      </c>
      <c r="M410" s="18"/>
      <c r="N410" s="15" t="s">
        <v>12404</v>
      </c>
      <c r="O410" s="15" t="s">
        <v>2448</v>
      </c>
      <c r="P410" s="19" t="s">
        <v>12405</v>
      </c>
      <c r="Q410" s="15">
        <v>9.511872469E9</v>
      </c>
      <c r="R410" s="15">
        <v>9.511872469E9</v>
      </c>
      <c r="S410" s="18"/>
      <c r="T410" s="15" t="s">
        <v>12406</v>
      </c>
      <c r="U410" s="15" t="s">
        <v>12407</v>
      </c>
      <c r="V410" s="15" t="s">
        <v>12408</v>
      </c>
      <c r="W410" s="18"/>
      <c r="X410" s="15">
        <v>94.6</v>
      </c>
      <c r="Y410" s="15" t="s">
        <v>2795</v>
      </c>
      <c r="Z410" s="15">
        <v>8.33</v>
      </c>
      <c r="AA410" s="15">
        <v>8.19</v>
      </c>
      <c r="AB410" s="15" t="s">
        <v>2796</v>
      </c>
      <c r="AC410" s="15" t="s">
        <v>2796</v>
      </c>
      <c r="AD410" s="15" t="s">
        <v>2796</v>
      </c>
      <c r="AE410" s="15" t="s">
        <v>2796</v>
      </c>
      <c r="AF410" s="15">
        <v>8.69</v>
      </c>
      <c r="AG410" s="15">
        <v>7.67</v>
      </c>
      <c r="AH410" s="15">
        <v>71.38</v>
      </c>
      <c r="AI410" s="18"/>
      <c r="AJ410" s="15" t="s">
        <v>2787</v>
      </c>
      <c r="AK410" s="15" t="s">
        <v>2787</v>
      </c>
      <c r="AL410" s="15">
        <v>645.0</v>
      </c>
      <c r="AM410" s="15">
        <v>626.66</v>
      </c>
      <c r="AN410" s="15" t="s">
        <v>2787</v>
      </c>
      <c r="AO410" s="18"/>
      <c r="AP410" s="15" t="s">
        <v>12409</v>
      </c>
      <c r="AQ410" s="15" t="s">
        <v>12410</v>
      </c>
      <c r="AR410" s="15" t="s">
        <v>12411</v>
      </c>
      <c r="AS410" s="15" t="s">
        <v>12412</v>
      </c>
      <c r="AT410" s="18"/>
      <c r="AU410" s="18"/>
      <c r="AV410" s="15" t="s">
        <v>12413</v>
      </c>
      <c r="AW410" s="15" t="s">
        <v>12414</v>
      </c>
      <c r="AX410" s="15" t="s">
        <v>12415</v>
      </c>
      <c r="AY410" s="15" t="s">
        <v>12416</v>
      </c>
      <c r="AZ410" s="15" t="s">
        <v>5287</v>
      </c>
      <c r="BA410" s="15" t="s">
        <v>5552</v>
      </c>
      <c r="BB410" s="15" t="s">
        <v>7462</v>
      </c>
      <c r="BC410" s="15" t="s">
        <v>6490</v>
      </c>
      <c r="BD410" s="15" t="s">
        <v>2807</v>
      </c>
      <c r="BE410" s="15" t="s">
        <v>2796</v>
      </c>
      <c r="BF410" s="18"/>
      <c r="BG410" s="18"/>
      <c r="BH410" s="15" t="s">
        <v>12417</v>
      </c>
      <c r="BI410" s="15" t="s">
        <v>12418</v>
      </c>
      <c r="BJ410" s="19" t="s">
        <v>12419</v>
      </c>
      <c r="BK410" s="19" t="s">
        <v>12420</v>
      </c>
      <c r="BL410" s="19" t="s">
        <v>12421</v>
      </c>
      <c r="BM410" s="19" t="s">
        <v>12422</v>
      </c>
      <c r="BN410" s="19" t="s">
        <v>12423</v>
      </c>
      <c r="BO410" s="19" t="s">
        <v>12424</v>
      </c>
      <c r="BP410" s="19" t="s">
        <v>12425</v>
      </c>
      <c r="BQ410" s="15" t="s">
        <v>166</v>
      </c>
      <c r="BR410" s="26"/>
      <c r="BS410" s="19" t="s">
        <v>12426</v>
      </c>
      <c r="BT410" s="19" t="s">
        <v>12427</v>
      </c>
      <c r="BU410" s="26"/>
      <c r="BV410" s="26"/>
      <c r="BW410" s="15" t="s">
        <v>12428</v>
      </c>
      <c r="BX410" s="26"/>
      <c r="BY410" s="18" t="str">
        <f t="shared" si="106"/>
        <v>IT</v>
      </c>
      <c r="BZ410" s="24" t="str">
        <f t="shared" si="100"/>
        <v>https://drive.google.com/open?id=1BFAWA4cwwg2T3bTq1ajO97JY-rsjL91n</v>
      </c>
      <c r="CA410" s="24" t="str">
        <f t="shared" si="101"/>
        <v>https://drive.google.com/open?id=17_h8Xj3BgrOVvChdGs50SEJEjiBBmr_a</v>
      </c>
      <c r="CB410" s="15" t="s">
        <v>2821</v>
      </c>
      <c r="CC410" s="15" t="s">
        <v>2821</v>
      </c>
      <c r="CD410" s="25" t="s">
        <v>2797</v>
      </c>
      <c r="CE410" s="18"/>
      <c r="CF410" s="18"/>
      <c r="CG410" s="18"/>
    </row>
    <row r="411" ht="18.75" hidden="1" customHeight="1">
      <c r="A411" s="14">
        <v>44744.00660971065</v>
      </c>
      <c r="B411" s="15" t="s">
        <v>12429</v>
      </c>
      <c r="C411" s="16" t="s">
        <v>12430</v>
      </c>
      <c r="D411" s="15" t="str">
        <f>IFERROR(__xludf.DUMMYFUNCTION("QUERY(TY_ALL_2023_Batch!$A$1:$E$824, ""SELECT E WHERE C='""&amp;B411&amp;""'"", 0)"),"#N/A")</f>
        <v>#N/A</v>
      </c>
      <c r="E411" s="15" t="s">
        <v>4616</v>
      </c>
      <c r="F411" s="15" t="s">
        <v>12431</v>
      </c>
      <c r="G411" s="15" t="s">
        <v>12432</v>
      </c>
      <c r="H411" s="15" t="s">
        <v>2826</v>
      </c>
      <c r="I411" s="17">
        <v>37140.0</v>
      </c>
      <c r="J411" s="15">
        <v>2019.0</v>
      </c>
      <c r="K411" s="15" t="s">
        <v>2786</v>
      </c>
      <c r="L411" s="15" t="s">
        <v>2787</v>
      </c>
      <c r="M411" s="18"/>
      <c r="N411" s="15" t="s">
        <v>12433</v>
      </c>
      <c r="O411" s="15" t="s">
        <v>12429</v>
      </c>
      <c r="P411" s="19" t="s">
        <v>12434</v>
      </c>
      <c r="Q411" s="15">
        <v>7.745046724E9</v>
      </c>
      <c r="R411" s="15">
        <v>9.82265444E9</v>
      </c>
      <c r="S411" s="18"/>
      <c r="T411" s="15" t="s">
        <v>12435</v>
      </c>
      <c r="U411" s="15" t="s">
        <v>12436</v>
      </c>
      <c r="V411" s="15" t="s">
        <v>12437</v>
      </c>
      <c r="W411" s="18"/>
      <c r="X411" s="15">
        <v>85.8</v>
      </c>
      <c r="Y411" s="15" t="s">
        <v>2795</v>
      </c>
      <c r="Z411" s="15">
        <v>8.71</v>
      </c>
      <c r="AA411" s="15">
        <v>8.38</v>
      </c>
      <c r="AB411" s="15" t="s">
        <v>2796</v>
      </c>
      <c r="AC411" s="15" t="s">
        <v>2796</v>
      </c>
      <c r="AD411" s="15" t="s">
        <v>2796</v>
      </c>
      <c r="AE411" s="15" t="s">
        <v>2796</v>
      </c>
      <c r="AF411" s="15">
        <v>7.32</v>
      </c>
      <c r="AG411" s="15">
        <v>8.43</v>
      </c>
      <c r="AH411" s="15">
        <v>56.0</v>
      </c>
      <c r="AI411" s="18"/>
      <c r="AJ411" s="15" t="s">
        <v>2787</v>
      </c>
      <c r="AK411" s="15" t="s">
        <v>2787</v>
      </c>
      <c r="AL411" s="15">
        <v>696.0</v>
      </c>
      <c r="AM411" s="15">
        <v>703.0</v>
      </c>
      <c r="AN411" s="15" t="s">
        <v>2797</v>
      </c>
      <c r="AO411" s="18"/>
      <c r="AP411" s="18"/>
      <c r="AQ411" s="15" t="s">
        <v>12438</v>
      </c>
      <c r="AR411" s="15" t="s">
        <v>12439</v>
      </c>
      <c r="AS411" s="15" t="s">
        <v>6686</v>
      </c>
      <c r="AT411" s="18"/>
      <c r="AU411" s="18"/>
      <c r="AV411" s="18"/>
      <c r="AW411" s="15" t="s">
        <v>12440</v>
      </c>
      <c r="AX411" s="18"/>
      <c r="AY411" s="15" t="s">
        <v>12441</v>
      </c>
      <c r="AZ411" s="15" t="s">
        <v>5260</v>
      </c>
      <c r="BA411" s="15" t="s">
        <v>5468</v>
      </c>
      <c r="BB411" s="15" t="s">
        <v>5363</v>
      </c>
      <c r="BC411" s="15" t="s">
        <v>3686</v>
      </c>
      <c r="BD411" s="15" t="s">
        <v>2807</v>
      </c>
      <c r="BE411" s="15" t="s">
        <v>2796</v>
      </c>
      <c r="BF411" s="18"/>
      <c r="BG411" s="18"/>
      <c r="BH411" s="18"/>
      <c r="BI411" s="18"/>
      <c r="BJ411" s="19" t="s">
        <v>12442</v>
      </c>
      <c r="BK411" s="19" t="s">
        <v>12443</v>
      </c>
      <c r="BL411" s="19" t="s">
        <v>12444</v>
      </c>
      <c r="BM411" s="19" t="s">
        <v>12445</v>
      </c>
      <c r="BN411" s="19" t="s">
        <v>12446</v>
      </c>
      <c r="BO411" s="19" t="s">
        <v>12447</v>
      </c>
      <c r="BP411" s="18"/>
      <c r="BQ411" s="15" t="s">
        <v>166</v>
      </c>
      <c r="BR411" s="26"/>
      <c r="BS411" s="26"/>
      <c r="BT411" s="26"/>
      <c r="BU411" s="19" t="s">
        <v>12448</v>
      </c>
      <c r="BV411" s="19" t="s">
        <v>12449</v>
      </c>
      <c r="BW411" s="15" t="s">
        <v>12450</v>
      </c>
      <c r="BX411" s="26"/>
      <c r="BY411" s="18" t="str">
        <f t="shared" si="106"/>
        <v>IT</v>
      </c>
      <c r="BZ411" s="24" t="str">
        <f t="shared" si="100"/>
        <v>https://drive.google.com/open?id=1JF9zT-DYzWZdxego0QurIrzaIzy7QW0g</v>
      </c>
      <c r="CA411" s="24" t="str">
        <f t="shared" si="101"/>
        <v>https://drive.google.com/open?id=1klZn1l73MnOBU8tIeGyNJ4hFgBOppqlU</v>
      </c>
      <c r="CB411" s="15" t="s">
        <v>2821</v>
      </c>
      <c r="CC411" s="15" t="s">
        <v>2821</v>
      </c>
      <c r="CD411" s="25" t="s">
        <v>2797</v>
      </c>
      <c r="CE411" s="18"/>
      <c r="CF411" s="18"/>
      <c r="CG411" s="18"/>
    </row>
    <row r="412" ht="18.75" hidden="1" customHeight="1">
      <c r="A412" s="14">
        <v>44736.45001478009</v>
      </c>
      <c r="B412" s="15" t="s">
        <v>12451</v>
      </c>
      <c r="C412" s="16" t="s">
        <v>12452</v>
      </c>
      <c r="D412" s="15" t="str">
        <f>IFERROR(__xludf.DUMMYFUNCTION("QUERY(TY_ALL_2023_Batch!$A$1:$E$824, ""SELECT E WHERE C='""&amp;B412&amp;""'"", 0)"),"#N/A")</f>
        <v>#N/A</v>
      </c>
      <c r="E412" s="15" t="s">
        <v>6766</v>
      </c>
      <c r="F412" s="15" t="s">
        <v>5988</v>
      </c>
      <c r="G412" s="15" t="s">
        <v>12453</v>
      </c>
      <c r="H412" s="15" t="s">
        <v>2785</v>
      </c>
      <c r="I412" s="17">
        <v>37413.0</v>
      </c>
      <c r="J412" s="15">
        <v>2020.0</v>
      </c>
      <c r="K412" s="15" t="s">
        <v>2941</v>
      </c>
      <c r="L412" s="15" t="s">
        <v>2787</v>
      </c>
      <c r="M412" s="18"/>
      <c r="N412" s="15" t="s">
        <v>1286</v>
      </c>
      <c r="O412" s="15" t="s">
        <v>12451</v>
      </c>
      <c r="P412" s="19" t="s">
        <v>12454</v>
      </c>
      <c r="Q412" s="15">
        <v>7.498120156E9</v>
      </c>
      <c r="R412" s="15">
        <v>7.498120156E9</v>
      </c>
      <c r="S412" s="18"/>
      <c r="T412" s="15" t="s">
        <v>5988</v>
      </c>
      <c r="U412" s="15" t="s">
        <v>11020</v>
      </c>
      <c r="V412" s="15" t="s">
        <v>12455</v>
      </c>
      <c r="W412" s="15" t="s">
        <v>12456</v>
      </c>
      <c r="X412" s="15">
        <v>90.8</v>
      </c>
      <c r="Y412" s="15" t="s">
        <v>2948</v>
      </c>
      <c r="Z412" s="15">
        <v>9.5</v>
      </c>
      <c r="AA412" s="15">
        <v>9.33</v>
      </c>
      <c r="AB412" s="15" t="s">
        <v>2796</v>
      </c>
      <c r="AC412" s="15" t="s">
        <v>2796</v>
      </c>
      <c r="AD412" s="15" t="s">
        <v>2796</v>
      </c>
      <c r="AE412" s="15" t="s">
        <v>2796</v>
      </c>
      <c r="AF412" s="18"/>
      <c r="AG412" s="18"/>
      <c r="AH412" s="18"/>
      <c r="AI412" s="15">
        <v>92.63</v>
      </c>
      <c r="AJ412" s="15" t="s">
        <v>2787</v>
      </c>
      <c r="AK412" s="15" t="s">
        <v>2787</v>
      </c>
      <c r="AL412" s="15">
        <v>623.33</v>
      </c>
      <c r="AM412" s="15" t="s">
        <v>12457</v>
      </c>
      <c r="AN412" s="15" t="s">
        <v>2797</v>
      </c>
      <c r="AO412" s="18"/>
      <c r="AP412" s="18"/>
      <c r="AQ412" s="15" t="s">
        <v>6408</v>
      </c>
      <c r="AR412" s="18"/>
      <c r="AS412" s="18"/>
      <c r="AT412" s="18"/>
      <c r="AU412" s="18"/>
      <c r="AV412" s="15" t="s">
        <v>12458</v>
      </c>
      <c r="AW412" s="15" t="s">
        <v>12458</v>
      </c>
      <c r="AX412" s="18"/>
      <c r="AY412" s="15" t="s">
        <v>12459</v>
      </c>
      <c r="AZ412" s="15" t="s">
        <v>5335</v>
      </c>
      <c r="BA412" s="15" t="s">
        <v>2806</v>
      </c>
      <c r="BB412" s="15" t="s">
        <v>12460</v>
      </c>
      <c r="BC412" s="15" t="s">
        <v>6612</v>
      </c>
      <c r="BD412" s="15" t="s">
        <v>2807</v>
      </c>
      <c r="BE412" s="15" t="s">
        <v>12461</v>
      </c>
      <c r="BF412" s="18"/>
      <c r="BG412" s="18"/>
      <c r="BH412" s="18"/>
      <c r="BI412" s="15" t="s">
        <v>12462</v>
      </c>
      <c r="BJ412" s="19" t="s">
        <v>12463</v>
      </c>
      <c r="BK412" s="19" t="s">
        <v>12464</v>
      </c>
      <c r="BL412" s="19" t="s">
        <v>12465</v>
      </c>
      <c r="BM412" s="19" t="s">
        <v>12466</v>
      </c>
      <c r="BN412" s="19" t="s">
        <v>12467</v>
      </c>
      <c r="BO412" s="19" t="s">
        <v>12468</v>
      </c>
      <c r="BP412" s="19" t="s">
        <v>12469</v>
      </c>
      <c r="BQ412" s="15" t="s">
        <v>166</v>
      </c>
      <c r="BR412" s="26"/>
      <c r="BS412" s="26"/>
      <c r="BT412" s="26"/>
      <c r="BU412" s="26"/>
      <c r="BV412" s="26"/>
      <c r="BW412" s="26"/>
      <c r="BX412" s="26"/>
      <c r="BY412" s="18" t="str">
        <f t="shared" si="106"/>
        <v>IT</v>
      </c>
      <c r="BZ412" s="24" t="str">
        <f t="shared" si="100"/>
        <v>https://drive.google.com/open?id=1GcmUx74ClDwXLCoY2VQhmAp80ebR6hql</v>
      </c>
      <c r="CA412" s="24" t="str">
        <f t="shared" si="101"/>
        <v>https://drive.google.com/open?id=1iwjej4NTTgfqDDay3tDiGY5IU1Y8toFf</v>
      </c>
      <c r="CB412" s="15" t="s">
        <v>2821</v>
      </c>
      <c r="CC412" s="15" t="s">
        <v>2821</v>
      </c>
      <c r="CD412" s="25" t="s">
        <v>2797</v>
      </c>
      <c r="CE412" s="18"/>
      <c r="CF412" s="18"/>
      <c r="CG412" s="18"/>
    </row>
    <row r="413" ht="18.75" hidden="1" customHeight="1">
      <c r="A413" s="14">
        <v>44736.610537025466</v>
      </c>
      <c r="B413" s="15" t="s">
        <v>12470</v>
      </c>
      <c r="C413" s="16" t="s">
        <v>12471</v>
      </c>
      <c r="D413" s="15" t="str">
        <f>IFERROR(__xludf.DUMMYFUNCTION("QUERY(TY_ALL_2023_Batch!$A$1:$E$824, ""SELECT E WHERE C='""&amp;B413&amp;""'"", 0)"),"#N/A")</f>
        <v>#N/A</v>
      </c>
      <c r="E413" s="15" t="s">
        <v>12472</v>
      </c>
      <c r="F413" s="15" t="s">
        <v>6742</v>
      </c>
      <c r="G413" s="15" t="s">
        <v>12473</v>
      </c>
      <c r="H413" s="15" t="s">
        <v>2785</v>
      </c>
      <c r="I413" s="17">
        <v>37220.0</v>
      </c>
      <c r="J413" s="15">
        <v>2020.0</v>
      </c>
      <c r="K413" s="15" t="s">
        <v>2941</v>
      </c>
      <c r="L413" s="15" t="s">
        <v>2787</v>
      </c>
      <c r="M413" s="18"/>
      <c r="N413" s="15" t="s">
        <v>1310</v>
      </c>
      <c r="O413" s="15" t="s">
        <v>12470</v>
      </c>
      <c r="P413" s="19" t="s">
        <v>12474</v>
      </c>
      <c r="Q413" s="15">
        <v>9.545508862E9</v>
      </c>
      <c r="R413" s="15">
        <v>9.545508862E9</v>
      </c>
      <c r="S413" s="18"/>
      <c r="T413" s="15" t="s">
        <v>6742</v>
      </c>
      <c r="U413" s="15" t="s">
        <v>5991</v>
      </c>
      <c r="V413" s="15" t="s">
        <v>12475</v>
      </c>
      <c r="W413" s="15" t="s">
        <v>12476</v>
      </c>
      <c r="X413" s="15">
        <v>77.8</v>
      </c>
      <c r="Y413" s="15" t="s">
        <v>2948</v>
      </c>
      <c r="Z413" s="15">
        <v>9.57</v>
      </c>
      <c r="AA413" s="15">
        <v>9.29</v>
      </c>
      <c r="AB413" s="15" t="s">
        <v>5798</v>
      </c>
      <c r="AC413" s="15" t="s">
        <v>5798</v>
      </c>
      <c r="AD413" s="15" t="s">
        <v>5798</v>
      </c>
      <c r="AE413" s="15" t="s">
        <v>5798</v>
      </c>
      <c r="AF413" s="18"/>
      <c r="AG413" s="18"/>
      <c r="AH413" s="18"/>
      <c r="AI413" s="15">
        <v>92.69</v>
      </c>
      <c r="AJ413" s="15" t="s">
        <v>2787</v>
      </c>
      <c r="AK413" s="15" t="s">
        <v>2787</v>
      </c>
      <c r="AL413" s="15">
        <v>560.0</v>
      </c>
      <c r="AM413" s="15">
        <v>566.66</v>
      </c>
      <c r="AN413" s="15" t="s">
        <v>2797</v>
      </c>
      <c r="AO413" s="18"/>
      <c r="AP413" s="18"/>
      <c r="AQ413" s="15" t="s">
        <v>5356</v>
      </c>
      <c r="AR413" s="18"/>
      <c r="AS413" s="18"/>
      <c r="AT413" s="18"/>
      <c r="AU413" s="18"/>
      <c r="AV413" s="18"/>
      <c r="AW413" s="15" t="s">
        <v>12477</v>
      </c>
      <c r="AX413" s="18"/>
      <c r="AY413" s="15" t="s">
        <v>12478</v>
      </c>
      <c r="AZ413" s="15" t="s">
        <v>5335</v>
      </c>
      <c r="BA413" s="15" t="s">
        <v>5552</v>
      </c>
      <c r="BB413" s="15" t="s">
        <v>5337</v>
      </c>
      <c r="BC413" s="15" t="s">
        <v>5554</v>
      </c>
      <c r="BD413" s="15" t="s">
        <v>2807</v>
      </c>
      <c r="BE413" s="15" t="s">
        <v>12479</v>
      </c>
      <c r="BF413" s="15" t="s">
        <v>12480</v>
      </c>
      <c r="BG413" s="18"/>
      <c r="BH413" s="15" t="s">
        <v>12481</v>
      </c>
      <c r="BI413" s="18"/>
      <c r="BJ413" s="19" t="s">
        <v>12482</v>
      </c>
      <c r="BK413" s="19" t="s">
        <v>12483</v>
      </c>
      <c r="BL413" s="18"/>
      <c r="BM413" s="18"/>
      <c r="BN413" s="18"/>
      <c r="BO413" s="19" t="s">
        <v>12484</v>
      </c>
      <c r="BP413" s="18"/>
      <c r="BQ413" s="15" t="s">
        <v>166</v>
      </c>
      <c r="BR413" s="26"/>
      <c r="BS413" s="26"/>
      <c r="BT413" s="26"/>
      <c r="BU413" s="26"/>
      <c r="BV413" s="26"/>
      <c r="BW413" s="26"/>
      <c r="BX413" s="26"/>
      <c r="BY413" s="18" t="str">
        <f t="shared" si="106"/>
        <v>IT</v>
      </c>
      <c r="BZ413" s="18" t="str">
        <f t="shared" si="100"/>
        <v/>
      </c>
      <c r="CA413" s="18" t="str">
        <f t="shared" si="101"/>
        <v/>
      </c>
      <c r="CB413" s="15" t="s">
        <v>2908</v>
      </c>
      <c r="CC413" s="15" t="s">
        <v>2908</v>
      </c>
      <c r="CD413" s="25" t="s">
        <v>2797</v>
      </c>
      <c r="CE413" s="18"/>
      <c r="CF413" s="18"/>
      <c r="CG413" s="18"/>
    </row>
    <row r="414" ht="18.75" hidden="1" customHeight="1">
      <c r="A414" s="14">
        <v>44735.56440190972</v>
      </c>
      <c r="B414" s="15" t="s">
        <v>12485</v>
      </c>
      <c r="C414" s="16" t="s">
        <v>12486</v>
      </c>
      <c r="D414" s="15" t="str">
        <f>IFERROR(__xludf.DUMMYFUNCTION("QUERY(TY_ALL_2023_Batch!$A$1:$E$824, ""SELECT E WHERE C='""&amp;B414&amp;""'"", 0)"),"#N/A")</f>
        <v>#N/A</v>
      </c>
      <c r="E414" s="15" t="s">
        <v>11807</v>
      </c>
      <c r="F414" s="15" t="s">
        <v>4277</v>
      </c>
      <c r="G414" s="15" t="s">
        <v>12487</v>
      </c>
      <c r="H414" s="15" t="s">
        <v>2785</v>
      </c>
      <c r="I414" s="17">
        <v>36737.0</v>
      </c>
      <c r="J414" s="15">
        <v>2019.0</v>
      </c>
      <c r="K414" s="15" t="s">
        <v>2786</v>
      </c>
      <c r="L414" s="15" t="s">
        <v>2787</v>
      </c>
      <c r="M414" s="18"/>
      <c r="N414" s="15" t="s">
        <v>12488</v>
      </c>
      <c r="O414" s="15" t="s">
        <v>12485</v>
      </c>
      <c r="P414" s="19" t="s">
        <v>12489</v>
      </c>
      <c r="Q414" s="15">
        <v>7.499890148E9</v>
      </c>
      <c r="R414" s="15">
        <v>7.499890148E9</v>
      </c>
      <c r="S414" s="15">
        <v>9.158942858E9</v>
      </c>
      <c r="T414" s="15" t="s">
        <v>12490</v>
      </c>
      <c r="U414" s="15" t="s">
        <v>12491</v>
      </c>
      <c r="V414" s="15" t="s">
        <v>12492</v>
      </c>
      <c r="W414" s="18"/>
      <c r="X414" s="15">
        <v>94.0</v>
      </c>
      <c r="Y414" s="15" t="s">
        <v>2795</v>
      </c>
      <c r="Z414" s="15">
        <v>8.71</v>
      </c>
      <c r="AA414" s="15">
        <v>8.66</v>
      </c>
      <c r="AB414" s="15" t="s">
        <v>2796</v>
      </c>
      <c r="AC414" s="15" t="s">
        <v>2796</v>
      </c>
      <c r="AD414" s="15" t="s">
        <v>2796</v>
      </c>
      <c r="AE414" s="15" t="s">
        <v>2796</v>
      </c>
      <c r="AF414" s="15">
        <v>8.05</v>
      </c>
      <c r="AG414" s="15">
        <v>6.81</v>
      </c>
      <c r="AH414" s="15">
        <v>89.4</v>
      </c>
      <c r="AI414" s="18"/>
      <c r="AJ414" s="15" t="s">
        <v>2787</v>
      </c>
      <c r="AK414" s="15" t="s">
        <v>2787</v>
      </c>
      <c r="AL414" s="15">
        <v>87.33</v>
      </c>
      <c r="AM414" s="15">
        <v>95.33</v>
      </c>
      <c r="AN414" s="15" t="s">
        <v>2797</v>
      </c>
      <c r="AO414" s="18"/>
      <c r="AP414" s="18"/>
      <c r="AQ414" s="15" t="s">
        <v>12493</v>
      </c>
      <c r="AR414" s="18"/>
      <c r="AS414" s="18"/>
      <c r="AT414" s="18"/>
      <c r="AU414" s="18"/>
      <c r="AV414" s="18"/>
      <c r="AW414" s="15" t="s">
        <v>12494</v>
      </c>
      <c r="AX414" s="18"/>
      <c r="AY414" s="15" t="s">
        <v>12495</v>
      </c>
      <c r="AZ414" s="15" t="s">
        <v>5335</v>
      </c>
      <c r="BA414" s="15" t="s">
        <v>2806</v>
      </c>
      <c r="BB414" s="15" t="s">
        <v>4554</v>
      </c>
      <c r="BC414" s="15" t="s">
        <v>4702</v>
      </c>
      <c r="BD414" s="15" t="s">
        <v>2807</v>
      </c>
      <c r="BE414" s="15" t="s">
        <v>2796</v>
      </c>
      <c r="BF414" s="18"/>
      <c r="BG414" s="18"/>
      <c r="BH414" s="18"/>
      <c r="BI414" s="18"/>
      <c r="BJ414" s="19" t="s">
        <v>12496</v>
      </c>
      <c r="BK414" s="19" t="s">
        <v>12497</v>
      </c>
      <c r="BL414" s="18"/>
      <c r="BM414" s="18"/>
      <c r="BN414" s="18"/>
      <c r="BO414" s="19" t="s">
        <v>12498</v>
      </c>
      <c r="BP414" s="18"/>
      <c r="BQ414" s="15" t="s">
        <v>166</v>
      </c>
      <c r="BR414" s="26"/>
      <c r="BS414" s="26"/>
      <c r="BT414" s="26"/>
      <c r="BU414" s="26"/>
      <c r="BV414" s="26"/>
      <c r="BW414" s="26"/>
      <c r="BX414" s="26"/>
      <c r="BY414" s="18" t="str">
        <f t="shared" si="106"/>
        <v>IT</v>
      </c>
      <c r="BZ414" s="18" t="str">
        <f t="shared" si="100"/>
        <v/>
      </c>
      <c r="CA414" s="18" t="str">
        <f t="shared" si="101"/>
        <v/>
      </c>
      <c r="CB414" s="15" t="s">
        <v>2908</v>
      </c>
      <c r="CC414" s="15" t="s">
        <v>2908</v>
      </c>
      <c r="CD414" s="25" t="s">
        <v>2797</v>
      </c>
      <c r="CE414" s="18"/>
      <c r="CF414" s="18"/>
      <c r="CG414" s="18"/>
    </row>
    <row r="415" ht="18.75" hidden="1" customHeight="1">
      <c r="A415" s="14">
        <v>44735.8838852662</v>
      </c>
      <c r="B415" s="15" t="s">
        <v>12499</v>
      </c>
      <c r="C415" s="16" t="s">
        <v>12500</v>
      </c>
      <c r="D415" s="15" t="str">
        <f>IFERROR(__xludf.DUMMYFUNCTION("QUERY(TY_ALL_2023_Batch!$A$1:$E$824, ""SELECT E WHERE C='""&amp;B415&amp;""'"", 0)"),"#N/A")</f>
        <v>#N/A</v>
      </c>
      <c r="E415" s="15" t="s">
        <v>12501</v>
      </c>
      <c r="F415" s="15" t="s">
        <v>12502</v>
      </c>
      <c r="G415" s="15" t="s">
        <v>12503</v>
      </c>
      <c r="H415" s="15" t="s">
        <v>2826</v>
      </c>
      <c r="I415" s="17">
        <v>37048.0</v>
      </c>
      <c r="J415" s="15">
        <v>2020.0</v>
      </c>
      <c r="K415" s="15" t="s">
        <v>2941</v>
      </c>
      <c r="L415" s="15" t="s">
        <v>2787</v>
      </c>
      <c r="M415" s="18"/>
      <c r="N415" s="15" t="s">
        <v>1289</v>
      </c>
      <c r="O415" s="15" t="s">
        <v>12504</v>
      </c>
      <c r="P415" s="19" t="s">
        <v>12505</v>
      </c>
      <c r="Q415" s="15">
        <v>9.85008582E9</v>
      </c>
      <c r="R415" s="15">
        <v>9.85008582E9</v>
      </c>
      <c r="S415" s="18"/>
      <c r="T415" s="15" t="s">
        <v>12506</v>
      </c>
      <c r="U415" s="15" t="s">
        <v>3333</v>
      </c>
      <c r="V415" s="16" t="s">
        <v>12507</v>
      </c>
      <c r="W415" s="18"/>
      <c r="X415" s="15">
        <v>96.2</v>
      </c>
      <c r="Y415" s="15" t="s">
        <v>2948</v>
      </c>
      <c r="Z415" s="15">
        <v>9.24</v>
      </c>
      <c r="AA415" s="15">
        <v>9.24</v>
      </c>
      <c r="AB415" s="15">
        <v>8.8</v>
      </c>
      <c r="AC415" s="15">
        <v>8.2</v>
      </c>
      <c r="AD415" s="15" t="s">
        <v>2796</v>
      </c>
      <c r="AE415" s="15" t="s">
        <v>2796</v>
      </c>
      <c r="AF415" s="18"/>
      <c r="AG415" s="18"/>
      <c r="AH415" s="18"/>
      <c r="AI415" s="15">
        <v>92.0</v>
      </c>
      <c r="AJ415" s="15" t="s">
        <v>2787</v>
      </c>
      <c r="AK415" s="15" t="s">
        <v>2787</v>
      </c>
      <c r="AL415" s="18"/>
      <c r="AM415" s="18"/>
      <c r="AN415" s="15" t="s">
        <v>2797</v>
      </c>
      <c r="AO415" s="18"/>
      <c r="AP415" s="18"/>
      <c r="AQ415" s="15" t="s">
        <v>12508</v>
      </c>
      <c r="AR415" s="18"/>
      <c r="AS415" s="15" t="s">
        <v>12509</v>
      </c>
      <c r="AT415" s="18"/>
      <c r="AU415" s="18"/>
      <c r="AV415" s="18"/>
      <c r="AW415" s="15" t="s">
        <v>12510</v>
      </c>
      <c r="AX415" s="18"/>
      <c r="AY415" s="15" t="s">
        <v>12511</v>
      </c>
      <c r="AZ415" s="15" t="s">
        <v>5260</v>
      </c>
      <c r="BA415" s="15" t="s">
        <v>5552</v>
      </c>
      <c r="BB415" s="15" t="s">
        <v>7616</v>
      </c>
      <c r="BC415" s="15" t="s">
        <v>3686</v>
      </c>
      <c r="BD415" s="15" t="s">
        <v>2807</v>
      </c>
      <c r="BE415" s="15" t="s">
        <v>2796</v>
      </c>
      <c r="BF415" s="18"/>
      <c r="BG415" s="18"/>
      <c r="BH415" s="18"/>
      <c r="BI415" s="18"/>
      <c r="BJ415" s="19" t="s">
        <v>12512</v>
      </c>
      <c r="BK415" s="19" t="s">
        <v>12513</v>
      </c>
      <c r="BL415" s="18"/>
      <c r="BM415" s="19" t="s">
        <v>12514</v>
      </c>
      <c r="BN415" s="18"/>
      <c r="BO415" s="19" t="s">
        <v>12515</v>
      </c>
      <c r="BP415" s="18"/>
      <c r="BQ415" s="15" t="s">
        <v>166</v>
      </c>
      <c r="BR415" s="26"/>
      <c r="BS415" s="26"/>
      <c r="BT415" s="26"/>
      <c r="BU415" s="26"/>
      <c r="BV415" s="26"/>
      <c r="BW415" s="26"/>
      <c r="BX415" s="26"/>
      <c r="BY415" s="18" t="str">
        <f t="shared" si="106"/>
        <v>IT</v>
      </c>
      <c r="BZ415" s="18" t="str">
        <f t="shared" si="100"/>
        <v/>
      </c>
      <c r="CA415" s="24" t="str">
        <f t="shared" si="101"/>
        <v>https://drive.google.com/open?id=1OBI8-6LL_NrgV6OrdLdvZ32KvOy_ZPVy</v>
      </c>
      <c r="CB415" s="15" t="s">
        <v>2908</v>
      </c>
      <c r="CC415" s="15" t="s">
        <v>2821</v>
      </c>
      <c r="CD415" s="25" t="s">
        <v>2797</v>
      </c>
      <c r="CE415" s="18"/>
      <c r="CF415" s="18"/>
      <c r="CG415" s="18"/>
    </row>
    <row r="416" ht="18.75" hidden="1" customHeight="1">
      <c r="A416" s="14">
        <v>44739.63393902778</v>
      </c>
      <c r="B416" s="15" t="s">
        <v>12516</v>
      </c>
      <c r="C416" s="16" t="s">
        <v>12517</v>
      </c>
      <c r="D416" s="15" t="str">
        <f>IFERROR(__xludf.DUMMYFUNCTION("QUERY(TY_ALL_2023_Batch!$A$1:$E$824, ""SELECT E WHERE C='""&amp;B416&amp;""'"", 0)"),"#N/A")</f>
        <v>#N/A</v>
      </c>
      <c r="E416" s="15" t="s">
        <v>2911</v>
      </c>
      <c r="F416" s="15" t="s">
        <v>3946</v>
      </c>
      <c r="G416" s="15" t="s">
        <v>3852</v>
      </c>
      <c r="H416" s="15" t="s">
        <v>2785</v>
      </c>
      <c r="I416" s="17">
        <v>37165.0</v>
      </c>
      <c r="J416" s="15">
        <v>2020.0</v>
      </c>
      <c r="K416" s="15" t="s">
        <v>2941</v>
      </c>
      <c r="L416" s="15" t="s">
        <v>2787</v>
      </c>
      <c r="M416" s="18"/>
      <c r="N416" s="15" t="s">
        <v>1301</v>
      </c>
      <c r="O416" s="15" t="s">
        <v>12516</v>
      </c>
      <c r="P416" s="19" t="s">
        <v>12518</v>
      </c>
      <c r="Q416" s="15">
        <v>8.793822046E9</v>
      </c>
      <c r="R416" s="15">
        <v>8.793822046E9</v>
      </c>
      <c r="S416" s="15">
        <v>9.604715538E9</v>
      </c>
      <c r="T416" s="15" t="s">
        <v>3946</v>
      </c>
      <c r="U416" s="15" t="s">
        <v>3885</v>
      </c>
      <c r="V416" s="15" t="s">
        <v>12519</v>
      </c>
      <c r="W416" s="18"/>
      <c r="X416" s="15">
        <v>80.2</v>
      </c>
      <c r="Y416" s="15" t="s">
        <v>2948</v>
      </c>
      <c r="Z416" s="15">
        <v>9.29</v>
      </c>
      <c r="AA416" s="15">
        <v>9.23</v>
      </c>
      <c r="AB416" s="15" t="s">
        <v>2796</v>
      </c>
      <c r="AC416" s="15" t="s">
        <v>2796</v>
      </c>
      <c r="AD416" s="15" t="s">
        <v>2796</v>
      </c>
      <c r="AE416" s="15" t="s">
        <v>2796</v>
      </c>
      <c r="AF416" s="18"/>
      <c r="AG416" s="18"/>
      <c r="AH416" s="18"/>
      <c r="AI416" s="15">
        <v>92.34</v>
      </c>
      <c r="AJ416" s="15" t="s">
        <v>2787</v>
      </c>
      <c r="AK416" s="15" t="s">
        <v>2787</v>
      </c>
      <c r="AL416" s="15">
        <v>621.0</v>
      </c>
      <c r="AM416" s="15">
        <v>608.0</v>
      </c>
      <c r="AN416" s="15" t="s">
        <v>2797</v>
      </c>
      <c r="AO416" s="18"/>
      <c r="AP416" s="18"/>
      <c r="AQ416" s="15" t="s">
        <v>12520</v>
      </c>
      <c r="AR416" s="18"/>
      <c r="AS416" s="18"/>
      <c r="AT416" s="18"/>
      <c r="AU416" s="18"/>
      <c r="AV416" s="18"/>
      <c r="AW416" s="15" t="s">
        <v>12521</v>
      </c>
      <c r="AX416" s="18"/>
      <c r="AY416" s="15" t="s">
        <v>12522</v>
      </c>
      <c r="AZ416" s="15" t="s">
        <v>5260</v>
      </c>
      <c r="BA416" s="15" t="s">
        <v>5468</v>
      </c>
      <c r="BB416" s="15" t="s">
        <v>5337</v>
      </c>
      <c r="BC416" s="15" t="s">
        <v>5604</v>
      </c>
      <c r="BD416" s="15" t="s">
        <v>2807</v>
      </c>
      <c r="BE416" s="15" t="s">
        <v>2796</v>
      </c>
      <c r="BF416" s="15" t="s">
        <v>12523</v>
      </c>
      <c r="BG416" s="18"/>
      <c r="BH416" s="18"/>
      <c r="BI416" s="15" t="s">
        <v>12524</v>
      </c>
      <c r="BJ416" s="19" t="s">
        <v>12525</v>
      </c>
      <c r="BK416" s="19" t="s">
        <v>12526</v>
      </c>
      <c r="BL416" s="18"/>
      <c r="BM416" s="18"/>
      <c r="BN416" s="18"/>
      <c r="BO416" s="19" t="s">
        <v>12527</v>
      </c>
      <c r="BP416" s="18"/>
      <c r="BQ416" s="15" t="s">
        <v>166</v>
      </c>
      <c r="BR416" s="18"/>
      <c r="BS416" s="18"/>
      <c r="BT416" s="18"/>
      <c r="BU416" s="18"/>
      <c r="BV416" s="18"/>
      <c r="BW416" s="15" t="s">
        <v>12528</v>
      </c>
      <c r="BX416" s="18"/>
      <c r="BY416" s="18" t="str">
        <f t="shared" si="106"/>
        <v>IT</v>
      </c>
      <c r="BZ416" s="18" t="str">
        <f t="shared" si="100"/>
        <v/>
      </c>
      <c r="CA416" s="18" t="str">
        <f t="shared" si="101"/>
        <v/>
      </c>
      <c r="CB416" s="15" t="s">
        <v>2908</v>
      </c>
      <c r="CC416" s="15" t="s">
        <v>2908</v>
      </c>
      <c r="CD416" s="25" t="s">
        <v>2797</v>
      </c>
      <c r="CE416" s="18"/>
      <c r="CF416" s="18"/>
      <c r="CG416" s="18"/>
    </row>
    <row r="417" ht="18.75" hidden="1" customHeight="1">
      <c r="A417" s="14">
        <v>44736.44430050926</v>
      </c>
      <c r="B417" s="15" t="s">
        <v>12529</v>
      </c>
      <c r="C417" s="16" t="s">
        <v>12530</v>
      </c>
      <c r="D417" s="15" t="str">
        <f>IFERROR(__xludf.DUMMYFUNCTION("QUERY(TY_ALL_2023_Batch!$A$1:$E$824, ""SELECT E WHERE C='""&amp;B417&amp;""'"", 0)"),"#N/A")</f>
        <v>#N/A</v>
      </c>
      <c r="E417" s="15" t="s">
        <v>12531</v>
      </c>
      <c r="F417" s="15" t="s">
        <v>9814</v>
      </c>
      <c r="G417" s="15" t="s">
        <v>12532</v>
      </c>
      <c r="H417" s="15" t="s">
        <v>2785</v>
      </c>
      <c r="I417" s="17">
        <v>37184.0</v>
      </c>
      <c r="J417" s="15">
        <v>2020.0</v>
      </c>
      <c r="K417" s="15" t="s">
        <v>2941</v>
      </c>
      <c r="L417" s="15" t="s">
        <v>2787</v>
      </c>
      <c r="M417" s="18"/>
      <c r="N417" s="15" t="s">
        <v>1295</v>
      </c>
      <c r="O417" s="15" t="s">
        <v>12529</v>
      </c>
      <c r="P417" s="19" t="s">
        <v>12533</v>
      </c>
      <c r="Q417" s="15">
        <v>9.146725202E9</v>
      </c>
      <c r="R417" s="15">
        <v>9.146725202E9</v>
      </c>
      <c r="S417" s="15">
        <v>9.975701574E9</v>
      </c>
      <c r="T417" s="15" t="s">
        <v>9814</v>
      </c>
      <c r="U417" s="15" t="s">
        <v>11191</v>
      </c>
      <c r="V417" s="15" t="s">
        <v>12534</v>
      </c>
      <c r="W417" s="18"/>
      <c r="X417" s="15">
        <v>67.4</v>
      </c>
      <c r="Y417" s="15" t="s">
        <v>2948</v>
      </c>
      <c r="Z417" s="15">
        <v>8.48</v>
      </c>
      <c r="AA417" s="15">
        <v>8.76</v>
      </c>
      <c r="AB417" s="15" t="s">
        <v>2796</v>
      </c>
      <c r="AC417" s="15" t="s">
        <v>2796</v>
      </c>
      <c r="AD417" s="15" t="s">
        <v>2796</v>
      </c>
      <c r="AE417" s="15" t="s">
        <v>3005</v>
      </c>
      <c r="AF417" s="18"/>
      <c r="AG417" s="18"/>
      <c r="AH417" s="18"/>
      <c r="AI417" s="15">
        <v>70.44</v>
      </c>
      <c r="AJ417" s="15" t="s">
        <v>2787</v>
      </c>
      <c r="AK417" s="15" t="s">
        <v>2787</v>
      </c>
      <c r="AL417" s="15">
        <v>601.66</v>
      </c>
      <c r="AM417" s="15">
        <v>703.33</v>
      </c>
      <c r="AN417" s="15" t="s">
        <v>2797</v>
      </c>
      <c r="AO417" s="18"/>
      <c r="AP417" s="18"/>
      <c r="AQ417" s="15" t="s">
        <v>12535</v>
      </c>
      <c r="AR417" s="15" t="s">
        <v>12536</v>
      </c>
      <c r="AS417" s="18"/>
      <c r="AT417" s="18"/>
      <c r="AU417" s="18"/>
      <c r="AV417" s="18"/>
      <c r="AW417" s="15" t="s">
        <v>12537</v>
      </c>
      <c r="AX417" s="18"/>
      <c r="AY417" s="15" t="s">
        <v>12538</v>
      </c>
      <c r="AZ417" s="15" t="s">
        <v>5260</v>
      </c>
      <c r="BA417" s="15" t="s">
        <v>8111</v>
      </c>
      <c r="BB417" s="15" t="s">
        <v>12539</v>
      </c>
      <c r="BC417" s="15" t="s">
        <v>12540</v>
      </c>
      <c r="BD417" s="15" t="s">
        <v>2807</v>
      </c>
      <c r="BE417" s="15" t="s">
        <v>12541</v>
      </c>
      <c r="BF417" s="15" t="s">
        <v>12542</v>
      </c>
      <c r="BG417" s="18"/>
      <c r="BH417" s="18"/>
      <c r="BI417" s="15" t="s">
        <v>12543</v>
      </c>
      <c r="BJ417" s="19" t="s">
        <v>12544</v>
      </c>
      <c r="BK417" s="19" t="s">
        <v>12545</v>
      </c>
      <c r="BL417" s="18"/>
      <c r="BM417" s="18"/>
      <c r="BN417" s="19" t="s">
        <v>12546</v>
      </c>
      <c r="BO417" s="19" t="s">
        <v>12547</v>
      </c>
      <c r="BP417" s="18"/>
      <c r="BQ417" s="15" t="s">
        <v>166</v>
      </c>
      <c r="BR417" s="26"/>
      <c r="BS417" s="26"/>
      <c r="BT417" s="26"/>
      <c r="BU417" s="26"/>
      <c r="BV417" s="26"/>
      <c r="BW417" s="26"/>
      <c r="BX417" s="26"/>
      <c r="BY417" s="18" t="str">
        <f t="shared" si="106"/>
        <v>IT</v>
      </c>
      <c r="BZ417" s="18" t="str">
        <f t="shared" si="100"/>
        <v/>
      </c>
      <c r="CA417" s="18" t="str">
        <f t="shared" si="101"/>
        <v/>
      </c>
      <c r="CB417" s="15" t="s">
        <v>2908</v>
      </c>
      <c r="CC417" s="15" t="s">
        <v>2908</v>
      </c>
      <c r="CD417" s="25" t="s">
        <v>2797</v>
      </c>
      <c r="CE417" s="18"/>
      <c r="CF417" s="18"/>
      <c r="CG417" s="18"/>
    </row>
    <row r="418" ht="18.75" hidden="1" customHeight="1">
      <c r="A418" s="14">
        <v>44742.778588726855</v>
      </c>
      <c r="B418" s="15" t="s">
        <v>12548</v>
      </c>
      <c r="C418" s="16" t="s">
        <v>12549</v>
      </c>
      <c r="D418" s="15" t="str">
        <f>IFERROR(__xludf.DUMMYFUNCTION("QUERY(TY_ALL_2023_Batch!$A$1:$E$824, ""SELECT E WHERE C='""&amp;B418&amp;""'"", 0)"),"#N/A")</f>
        <v>#N/A</v>
      </c>
      <c r="E418" s="15" t="s">
        <v>12550</v>
      </c>
      <c r="F418" s="15" t="s">
        <v>12551</v>
      </c>
      <c r="G418" s="15" t="s">
        <v>12552</v>
      </c>
      <c r="H418" s="15" t="s">
        <v>2785</v>
      </c>
      <c r="I418" s="17">
        <v>36853.0</v>
      </c>
      <c r="J418" s="15">
        <v>2020.0</v>
      </c>
      <c r="K418" s="15" t="s">
        <v>2941</v>
      </c>
      <c r="L418" s="15" t="s">
        <v>2787</v>
      </c>
      <c r="M418" s="18"/>
      <c r="N418" s="15" t="s">
        <v>1316</v>
      </c>
      <c r="O418" s="15" t="s">
        <v>12548</v>
      </c>
      <c r="P418" s="19" t="s">
        <v>12553</v>
      </c>
      <c r="Q418" s="15">
        <v>9.28421783E9</v>
      </c>
      <c r="R418" s="15">
        <v>9.28421783E9</v>
      </c>
      <c r="S418" s="18"/>
      <c r="T418" s="15" t="s">
        <v>12551</v>
      </c>
      <c r="U418" s="15" t="s">
        <v>12554</v>
      </c>
      <c r="V418" s="15" t="s">
        <v>12555</v>
      </c>
      <c r="W418" s="18"/>
      <c r="X418" s="15">
        <v>84.8</v>
      </c>
      <c r="Y418" s="15" t="s">
        <v>2948</v>
      </c>
      <c r="Z418" s="15">
        <v>9.0</v>
      </c>
      <c r="AA418" s="15">
        <v>9.14</v>
      </c>
      <c r="AB418" s="15" t="s">
        <v>2796</v>
      </c>
      <c r="AC418" s="15" t="s">
        <v>2796</v>
      </c>
      <c r="AD418" s="15" t="s">
        <v>2796</v>
      </c>
      <c r="AE418" s="15" t="s">
        <v>2796</v>
      </c>
      <c r="AF418" s="18"/>
      <c r="AG418" s="18"/>
      <c r="AH418" s="18"/>
      <c r="AI418" s="15">
        <v>92.06</v>
      </c>
      <c r="AJ418" s="15" t="s">
        <v>2787</v>
      </c>
      <c r="AK418" s="15" t="s">
        <v>2787</v>
      </c>
      <c r="AL418" s="15">
        <v>550.0</v>
      </c>
      <c r="AM418" s="15">
        <v>563.33</v>
      </c>
      <c r="AN418" s="15" t="s">
        <v>2797</v>
      </c>
      <c r="AO418" s="18"/>
      <c r="AP418" s="18"/>
      <c r="AQ418" s="15" t="s">
        <v>5356</v>
      </c>
      <c r="AR418" s="15" t="s">
        <v>12556</v>
      </c>
      <c r="AS418" s="18"/>
      <c r="AT418" s="18"/>
      <c r="AU418" s="18"/>
      <c r="AV418" s="18"/>
      <c r="AW418" s="15" t="s">
        <v>12557</v>
      </c>
      <c r="AX418" s="18"/>
      <c r="AY418" s="15" t="s">
        <v>12558</v>
      </c>
      <c r="AZ418" s="15" t="s">
        <v>5625</v>
      </c>
      <c r="BA418" s="15" t="s">
        <v>6193</v>
      </c>
      <c r="BB418" s="15" t="s">
        <v>12559</v>
      </c>
      <c r="BC418" s="15" t="s">
        <v>11423</v>
      </c>
      <c r="BD418" s="15" t="s">
        <v>2807</v>
      </c>
      <c r="BE418" s="15" t="s">
        <v>12560</v>
      </c>
      <c r="BF418" s="15" t="s">
        <v>12561</v>
      </c>
      <c r="BG418" s="18"/>
      <c r="BH418" s="18"/>
      <c r="BI418" s="15" t="s">
        <v>12562</v>
      </c>
      <c r="BJ418" s="19" t="s">
        <v>12563</v>
      </c>
      <c r="BK418" s="19" t="s">
        <v>12564</v>
      </c>
      <c r="BL418" s="18"/>
      <c r="BM418" s="18"/>
      <c r="BN418" s="19" t="s">
        <v>12565</v>
      </c>
      <c r="BO418" s="19" t="s">
        <v>12566</v>
      </c>
      <c r="BP418" s="18"/>
      <c r="BQ418" s="15" t="s">
        <v>166</v>
      </c>
      <c r="BR418" s="19" t="s">
        <v>12567</v>
      </c>
      <c r="BS418" s="19" t="s">
        <v>12568</v>
      </c>
      <c r="BT418" s="19" t="s">
        <v>12569</v>
      </c>
      <c r="BU418" s="19" t="s">
        <v>12570</v>
      </c>
      <c r="BV418" s="19" t="s">
        <v>12571</v>
      </c>
      <c r="BW418" s="15" t="s">
        <v>12572</v>
      </c>
      <c r="BX418" s="26"/>
      <c r="BY418" s="18" t="str">
        <f t="shared" si="106"/>
        <v>IT</v>
      </c>
      <c r="BZ418" s="24" t="str">
        <f t="shared" si="100"/>
        <v>https://drive.google.com/open?id=1kkE-zoilZJwETG_1Dr1jOIWUdpxp6YZB</v>
      </c>
      <c r="CA418" s="24" t="str">
        <f t="shared" si="101"/>
        <v>https://drive.google.com/open?id=1NVN5gUiYlkjRdcfJS6ldKw1qIL_zWpBZ</v>
      </c>
      <c r="CB418" s="15" t="s">
        <v>2821</v>
      </c>
      <c r="CC418" s="15" t="s">
        <v>2821</v>
      </c>
      <c r="CD418" s="25" t="s">
        <v>2787</v>
      </c>
      <c r="CE418" s="18"/>
      <c r="CF418" s="18"/>
      <c r="CG418" s="18"/>
    </row>
    <row r="419" ht="18.75" hidden="1" customHeight="1">
      <c r="A419" s="14">
        <v>44742.44245605324</v>
      </c>
      <c r="B419" s="15" t="s">
        <v>12573</v>
      </c>
      <c r="C419" s="16" t="s">
        <v>12574</v>
      </c>
      <c r="D419" s="15" t="str">
        <f>IFERROR(__xludf.DUMMYFUNCTION("QUERY(TY_ALL_2023_Batch!$A$1:$E$824, ""SELECT E WHERE C='""&amp;B419&amp;""'"", 0)"),"#N/A")</f>
        <v>#N/A</v>
      </c>
      <c r="E419" s="15" t="s">
        <v>5538</v>
      </c>
      <c r="F419" s="15" t="s">
        <v>12575</v>
      </c>
      <c r="G419" s="15" t="s">
        <v>12576</v>
      </c>
      <c r="H419" s="15" t="s">
        <v>2785</v>
      </c>
      <c r="I419" s="17">
        <v>37103.0</v>
      </c>
      <c r="J419" s="15">
        <v>2019.0</v>
      </c>
      <c r="K419" s="15" t="s">
        <v>2786</v>
      </c>
      <c r="L419" s="15" t="s">
        <v>2787</v>
      </c>
      <c r="M419" s="18"/>
      <c r="N419" s="15" t="s">
        <v>12577</v>
      </c>
      <c r="O419" s="15" t="s">
        <v>12573</v>
      </c>
      <c r="P419" s="19" t="s">
        <v>12578</v>
      </c>
      <c r="Q419" s="15">
        <v>9.307766369E9</v>
      </c>
      <c r="R419" s="15">
        <v>9.307766369E9</v>
      </c>
      <c r="S419" s="15">
        <v>9.307766369E9</v>
      </c>
      <c r="T419" s="15" t="s">
        <v>12579</v>
      </c>
      <c r="U419" s="15" t="s">
        <v>12580</v>
      </c>
      <c r="V419" s="15" t="s">
        <v>12581</v>
      </c>
      <c r="W419" s="15" t="s">
        <v>12581</v>
      </c>
      <c r="X419" s="15">
        <v>50.0</v>
      </c>
      <c r="Y419" s="15" t="s">
        <v>2795</v>
      </c>
      <c r="Z419" s="15">
        <v>6.95</v>
      </c>
      <c r="AA419" s="15">
        <v>6.95</v>
      </c>
      <c r="AB419" s="15" t="s">
        <v>2796</v>
      </c>
      <c r="AC419" s="15" t="s">
        <v>2796</v>
      </c>
      <c r="AD419" s="15" t="s">
        <v>2796</v>
      </c>
      <c r="AE419" s="15" t="s">
        <v>2796</v>
      </c>
      <c r="AF419" s="15">
        <v>6.95</v>
      </c>
      <c r="AG419" s="15">
        <v>6.95</v>
      </c>
      <c r="AH419" s="15">
        <v>53.0</v>
      </c>
      <c r="AI419" s="18"/>
      <c r="AJ419" s="15" t="s">
        <v>2787</v>
      </c>
      <c r="AK419" s="15" t="s">
        <v>2797</v>
      </c>
      <c r="AL419" s="18"/>
      <c r="AM419" s="18"/>
      <c r="AN419" s="15" t="s">
        <v>2787</v>
      </c>
      <c r="AO419" s="18"/>
      <c r="AP419" s="18"/>
      <c r="AQ419" s="15" t="s">
        <v>8682</v>
      </c>
      <c r="AR419" s="15" t="s">
        <v>12582</v>
      </c>
      <c r="AS419" s="15" t="s">
        <v>12583</v>
      </c>
      <c r="AT419" s="18"/>
      <c r="AU419" s="15" t="s">
        <v>12584</v>
      </c>
      <c r="AV419" s="15" t="s">
        <v>12585</v>
      </c>
      <c r="AW419" s="15" t="s">
        <v>12586</v>
      </c>
      <c r="AX419" s="18"/>
      <c r="AY419" s="15" t="s">
        <v>12587</v>
      </c>
      <c r="AZ419" s="15" t="s">
        <v>5260</v>
      </c>
      <c r="BA419" s="15" t="s">
        <v>6926</v>
      </c>
      <c r="BB419" s="15" t="s">
        <v>5673</v>
      </c>
      <c r="BC419" s="15" t="s">
        <v>4702</v>
      </c>
      <c r="BD419" s="15" t="s">
        <v>3393</v>
      </c>
      <c r="BE419" s="15" t="s">
        <v>2796</v>
      </c>
      <c r="BF419" s="18"/>
      <c r="BG419" s="18"/>
      <c r="BH419" s="18"/>
      <c r="BI419" s="18"/>
      <c r="BJ419" s="19" t="s">
        <v>12588</v>
      </c>
      <c r="BK419" s="19" t="s">
        <v>12589</v>
      </c>
      <c r="BL419" s="18"/>
      <c r="BM419" s="18"/>
      <c r="BN419" s="19" t="s">
        <v>12590</v>
      </c>
      <c r="BO419" s="19" t="s">
        <v>12591</v>
      </c>
      <c r="BP419" s="19" t="s">
        <v>12592</v>
      </c>
      <c r="BQ419" s="15" t="s">
        <v>166</v>
      </c>
      <c r="BR419" s="26"/>
      <c r="BS419" s="19" t="s">
        <v>12593</v>
      </c>
      <c r="BT419" s="19" t="s">
        <v>12594</v>
      </c>
      <c r="BU419" s="26"/>
      <c r="BV419" s="26"/>
      <c r="BW419" s="15" t="s">
        <v>12595</v>
      </c>
      <c r="BX419" s="26"/>
      <c r="BY419" s="18" t="str">
        <f t="shared" si="106"/>
        <v>IT</v>
      </c>
      <c r="BZ419" s="18" t="str">
        <f t="shared" si="100"/>
        <v/>
      </c>
      <c r="CA419" s="18" t="str">
        <f t="shared" si="101"/>
        <v/>
      </c>
      <c r="CB419" s="15" t="s">
        <v>2908</v>
      </c>
      <c r="CC419" s="15" t="s">
        <v>2908</v>
      </c>
      <c r="CD419" s="25" t="s">
        <v>2787</v>
      </c>
      <c r="CE419" s="18"/>
      <c r="CF419" s="18"/>
      <c r="CG419" s="18"/>
    </row>
    <row r="420" ht="18.75" hidden="1" customHeight="1">
      <c r="A420" s="30">
        <v>44736.93815215278</v>
      </c>
      <c r="B420" s="5" t="s">
        <v>12596</v>
      </c>
      <c r="C420" s="31" t="s">
        <v>12597</v>
      </c>
      <c r="E420" s="5" t="s">
        <v>3498</v>
      </c>
      <c r="F420" s="5" t="s">
        <v>2824</v>
      </c>
      <c r="G420" s="5" t="s">
        <v>12598</v>
      </c>
      <c r="H420" s="5" t="s">
        <v>2785</v>
      </c>
      <c r="I420" s="32">
        <v>36940.0</v>
      </c>
      <c r="J420" s="5">
        <v>2019.0</v>
      </c>
      <c r="K420" s="5" t="s">
        <v>2786</v>
      </c>
      <c r="L420" s="5" t="s">
        <v>2787</v>
      </c>
      <c r="N420" s="5" t="s">
        <v>12599</v>
      </c>
      <c r="O420" s="5" t="s">
        <v>12596</v>
      </c>
      <c r="P420" s="33" t="s">
        <v>12600</v>
      </c>
      <c r="Q420" s="5">
        <v>7.038733671E9</v>
      </c>
      <c r="R420" s="5">
        <v>7.038733671E9</v>
      </c>
      <c r="S420" s="5">
        <v>9.373934885E9</v>
      </c>
      <c r="T420" s="5" t="s">
        <v>2824</v>
      </c>
      <c r="U420" s="5" t="s">
        <v>11893</v>
      </c>
      <c r="V420" s="5" t="s">
        <v>12601</v>
      </c>
      <c r="X420" s="5">
        <v>78.2</v>
      </c>
      <c r="Y420" s="5" t="s">
        <v>2795</v>
      </c>
      <c r="Z420" s="5">
        <v>8.71</v>
      </c>
      <c r="AA420" s="5">
        <v>7.95</v>
      </c>
      <c r="AB420" s="5" t="s">
        <v>2796</v>
      </c>
      <c r="AC420" s="5" t="s">
        <v>2796</v>
      </c>
      <c r="AD420" s="5" t="s">
        <v>2796</v>
      </c>
      <c r="AE420" s="5" t="s">
        <v>2796</v>
      </c>
      <c r="AF420" s="5">
        <v>6.63</v>
      </c>
      <c r="AG420" s="5">
        <v>7.48</v>
      </c>
      <c r="AH420" s="5">
        <v>61.08</v>
      </c>
      <c r="AJ420" s="5" t="s">
        <v>2787</v>
      </c>
      <c r="AK420" s="5" t="s">
        <v>2787</v>
      </c>
      <c r="AL420" s="5">
        <v>68.0</v>
      </c>
      <c r="AM420" s="5">
        <v>88.67</v>
      </c>
      <c r="AN420" s="5" t="s">
        <v>2787</v>
      </c>
      <c r="AP420" s="5" t="s">
        <v>12602</v>
      </c>
      <c r="AQ420" s="5" t="s">
        <v>12603</v>
      </c>
      <c r="AR420" s="5" t="s">
        <v>12604</v>
      </c>
      <c r="AU420" s="5" t="s">
        <v>12605</v>
      </c>
      <c r="AV420" s="5" t="s">
        <v>12606</v>
      </c>
      <c r="AW420" s="5" t="s">
        <v>12607</v>
      </c>
      <c r="AY420" s="5" t="s">
        <v>12608</v>
      </c>
      <c r="AZ420" s="5" t="s">
        <v>5287</v>
      </c>
      <c r="BA420" s="5" t="s">
        <v>6193</v>
      </c>
      <c r="BB420" s="5" t="s">
        <v>3514</v>
      </c>
      <c r="BC420" s="5" t="s">
        <v>3686</v>
      </c>
      <c r="BD420" s="5" t="s">
        <v>2807</v>
      </c>
      <c r="BE420" s="5" t="s">
        <v>2796</v>
      </c>
      <c r="BI420" s="5" t="s">
        <v>12609</v>
      </c>
      <c r="BJ420" s="33" t="s">
        <v>12610</v>
      </c>
      <c r="BK420" s="33" t="s">
        <v>12611</v>
      </c>
      <c r="BL420" s="47" t="s">
        <v>12612</v>
      </c>
      <c r="BM420" s="33" t="s">
        <v>12613</v>
      </c>
      <c r="BN420" s="33" t="s">
        <v>12614</v>
      </c>
      <c r="BO420" s="33" t="s">
        <v>12615</v>
      </c>
      <c r="BQ420" s="5" t="s">
        <v>166</v>
      </c>
      <c r="BR420" s="4"/>
      <c r="BS420" s="4"/>
      <c r="BT420" s="4"/>
      <c r="BU420" s="33" t="s">
        <v>12616</v>
      </c>
      <c r="BV420" s="33" t="s">
        <v>12617</v>
      </c>
      <c r="BW420" s="5" t="s">
        <v>12618</v>
      </c>
      <c r="BX420" s="4"/>
      <c r="BZ420" s="24" t="str">
        <f t="shared" si="100"/>
        <v>https://drive.google.com/open?id=1kINJOANjF9luRQEl-4B3OGT7QgcR3sy0</v>
      </c>
      <c r="CA420" s="24" t="str">
        <f t="shared" si="101"/>
        <v>https://drive.google.com/open?id=1ZuJs_P_Ktob40hlM_NIPtIu1En0fkYMm</v>
      </c>
      <c r="CB420" s="5" t="s">
        <v>2821</v>
      </c>
      <c r="CC420" s="5" t="s">
        <v>2821</v>
      </c>
      <c r="CD420" s="25" t="s">
        <v>2797</v>
      </c>
      <c r="CG420" s="18"/>
    </row>
    <row r="421" ht="18.75" hidden="1" customHeight="1">
      <c r="A421" s="30">
        <v>44744.32989363426</v>
      </c>
      <c r="B421" s="5" t="s">
        <v>2190</v>
      </c>
      <c r="C421" s="31" t="s">
        <v>12619</v>
      </c>
      <c r="E421" s="5" t="s">
        <v>3360</v>
      </c>
      <c r="F421" s="5" t="s">
        <v>12620</v>
      </c>
      <c r="G421" s="5" t="s">
        <v>5059</v>
      </c>
      <c r="H421" s="5" t="s">
        <v>2785</v>
      </c>
      <c r="I421" s="32">
        <v>37310.0</v>
      </c>
      <c r="J421" s="5">
        <v>2019.0</v>
      </c>
      <c r="K421" s="5" t="s">
        <v>2786</v>
      </c>
      <c r="L421" s="5" t="s">
        <v>2787</v>
      </c>
      <c r="N421" s="5" t="s">
        <v>12621</v>
      </c>
      <c r="O421" s="5" t="s">
        <v>2190</v>
      </c>
      <c r="P421" s="33" t="s">
        <v>12622</v>
      </c>
      <c r="Q421" s="5">
        <v>7.083387528E9</v>
      </c>
      <c r="R421" s="5">
        <v>7.083387528E9</v>
      </c>
      <c r="S421" s="5">
        <v>9.922209593E9</v>
      </c>
      <c r="T421" s="5" t="s">
        <v>12623</v>
      </c>
      <c r="U421" s="5" t="s">
        <v>12624</v>
      </c>
      <c r="V421" s="5" t="s">
        <v>12625</v>
      </c>
      <c r="X421" s="5">
        <v>91.0</v>
      </c>
      <c r="Y421" s="5" t="s">
        <v>2795</v>
      </c>
      <c r="Z421" s="5">
        <v>9.62</v>
      </c>
      <c r="AA421" s="5">
        <v>8.67</v>
      </c>
      <c r="AB421" s="5" t="s">
        <v>2796</v>
      </c>
      <c r="AC421" s="5" t="s">
        <v>2796</v>
      </c>
      <c r="AD421" s="5" t="s">
        <v>2796</v>
      </c>
      <c r="AE421" s="5" t="s">
        <v>2796</v>
      </c>
      <c r="AF421" s="5">
        <v>8.68</v>
      </c>
      <c r="AG421" s="5">
        <v>8.29</v>
      </c>
      <c r="AH421" s="5">
        <v>62.77</v>
      </c>
      <c r="AJ421" s="5" t="s">
        <v>2787</v>
      </c>
      <c r="AK421" s="5" t="s">
        <v>2787</v>
      </c>
      <c r="AL421" s="5">
        <v>85.33</v>
      </c>
      <c r="AM421" s="5">
        <v>88.67</v>
      </c>
      <c r="AN421" s="5" t="s">
        <v>2787</v>
      </c>
      <c r="AP421" s="5" t="s">
        <v>12626</v>
      </c>
      <c r="AQ421" s="5" t="s">
        <v>12627</v>
      </c>
      <c r="AR421" s="5" t="s">
        <v>12628</v>
      </c>
      <c r="AS421" s="5" t="s">
        <v>12629</v>
      </c>
      <c r="AU421" s="5" t="s">
        <v>12630</v>
      </c>
      <c r="AV421" s="5" t="s">
        <v>12631</v>
      </c>
      <c r="AW421" s="5" t="s">
        <v>12607</v>
      </c>
      <c r="AY421" s="5" t="s">
        <v>12632</v>
      </c>
      <c r="AZ421" s="5" t="s">
        <v>5335</v>
      </c>
      <c r="BA421" s="5" t="s">
        <v>6193</v>
      </c>
      <c r="BB421" s="5" t="s">
        <v>3514</v>
      </c>
      <c r="BC421" s="5" t="s">
        <v>3686</v>
      </c>
      <c r="BD421" s="5" t="s">
        <v>2807</v>
      </c>
      <c r="BE421" s="5" t="s">
        <v>2796</v>
      </c>
      <c r="BI421" s="5" t="s">
        <v>12633</v>
      </c>
      <c r="BJ421" s="33" t="s">
        <v>12634</v>
      </c>
      <c r="BK421" s="33" t="s">
        <v>12635</v>
      </c>
      <c r="BL421" s="33" t="s">
        <v>12636</v>
      </c>
      <c r="BM421" s="33" t="s">
        <v>12637</v>
      </c>
      <c r="BN421" s="33" t="s">
        <v>12638</v>
      </c>
      <c r="BO421" s="33" t="s">
        <v>12639</v>
      </c>
      <c r="BQ421" s="5" t="s">
        <v>166</v>
      </c>
      <c r="BR421" s="4"/>
      <c r="BS421" s="4"/>
      <c r="BT421" s="33" t="s">
        <v>12640</v>
      </c>
      <c r="BU421" s="33" t="s">
        <v>12641</v>
      </c>
      <c r="BV421" s="33" t="s">
        <v>12642</v>
      </c>
      <c r="BW421" s="5" t="s">
        <v>12643</v>
      </c>
      <c r="BX421" s="4"/>
      <c r="BZ421" s="24" t="str">
        <f t="shared" si="100"/>
        <v>https://drive.google.com/open?id=1lL1r7tyCc62shMyJZkTjv60ZE_Fi2XCZ</v>
      </c>
      <c r="CA421" s="24" t="str">
        <f t="shared" si="101"/>
        <v>https://drive.google.com/open?id=1UaL2wXN6nK_prK7M2NZbQP6cxTDtZFCg</v>
      </c>
      <c r="CB421" s="5" t="s">
        <v>2821</v>
      </c>
      <c r="CC421" s="5" t="s">
        <v>2821</v>
      </c>
      <c r="CD421" s="34" t="s">
        <v>2787</v>
      </c>
      <c r="CG421" s="18"/>
    </row>
    <row r="422" ht="18.75" hidden="1" customHeight="1">
      <c r="A422" s="30">
        <v>44736.061355300924</v>
      </c>
      <c r="B422" s="5" t="s">
        <v>12644</v>
      </c>
      <c r="C422" s="31" t="s">
        <v>12645</v>
      </c>
      <c r="E422" s="5" t="s">
        <v>12646</v>
      </c>
      <c r="F422" s="5" t="s">
        <v>12647</v>
      </c>
      <c r="G422" s="5" t="s">
        <v>4471</v>
      </c>
      <c r="H422" s="5" t="s">
        <v>2785</v>
      </c>
      <c r="I422" s="32">
        <v>37025.0</v>
      </c>
      <c r="J422" s="5">
        <v>2019.0</v>
      </c>
      <c r="K422" s="5" t="s">
        <v>2786</v>
      </c>
      <c r="L422" s="5" t="s">
        <v>2787</v>
      </c>
      <c r="N422" s="5" t="s">
        <v>12648</v>
      </c>
      <c r="O422" s="5" t="s">
        <v>12644</v>
      </c>
      <c r="P422" s="33" t="s">
        <v>12649</v>
      </c>
      <c r="Q422" s="5">
        <v>9.834604385E9</v>
      </c>
      <c r="R422" s="5">
        <v>9.834604385E9</v>
      </c>
      <c r="S422" s="5">
        <v>8.928522851E9</v>
      </c>
      <c r="T422" s="5" t="s">
        <v>12650</v>
      </c>
      <c r="U422" s="5" t="s">
        <v>12651</v>
      </c>
      <c r="V422" s="5" t="s">
        <v>12652</v>
      </c>
      <c r="X422" s="5">
        <v>68.6</v>
      </c>
      <c r="Y422" s="5" t="s">
        <v>2795</v>
      </c>
      <c r="Z422" s="5">
        <v>8.14</v>
      </c>
      <c r="AA422" s="5">
        <v>8.48</v>
      </c>
      <c r="AB422" s="5" t="s">
        <v>2796</v>
      </c>
      <c r="AC422" s="5" t="s">
        <v>2796</v>
      </c>
      <c r="AD422" s="5" t="s">
        <v>2796</v>
      </c>
      <c r="AE422" s="5" t="s">
        <v>2796</v>
      </c>
      <c r="AF422" s="5">
        <v>8.53</v>
      </c>
      <c r="AG422" s="5">
        <v>8.05</v>
      </c>
      <c r="AH422" s="5">
        <v>60.0</v>
      </c>
      <c r="AJ422" s="5" t="s">
        <v>2787</v>
      </c>
      <c r="AK422" s="5" t="s">
        <v>2787</v>
      </c>
      <c r="AL422" s="5">
        <v>95.6</v>
      </c>
      <c r="AM422" s="5">
        <v>98.3</v>
      </c>
      <c r="AN422" s="5" t="s">
        <v>2787</v>
      </c>
      <c r="AP422" s="5" t="s">
        <v>12653</v>
      </c>
      <c r="AQ422" s="5" t="s">
        <v>12654</v>
      </c>
      <c r="AV422" s="5" t="s">
        <v>12655</v>
      </c>
      <c r="AW422" s="5" t="s">
        <v>12656</v>
      </c>
      <c r="AX422" s="5" t="s">
        <v>12657</v>
      </c>
      <c r="AY422" s="5" t="s">
        <v>12658</v>
      </c>
      <c r="AZ422" s="5" t="s">
        <v>5625</v>
      </c>
      <c r="BA422" s="5" t="s">
        <v>6193</v>
      </c>
      <c r="BB422" s="5" t="s">
        <v>12659</v>
      </c>
      <c r="BC422" s="5" t="s">
        <v>4644</v>
      </c>
      <c r="BD422" s="5" t="s">
        <v>2807</v>
      </c>
      <c r="BE422" s="5" t="s">
        <v>12660</v>
      </c>
      <c r="BH422" s="5" t="s">
        <v>12661</v>
      </c>
      <c r="BJ422" s="33" t="s">
        <v>12662</v>
      </c>
      <c r="BK422" s="33" t="s">
        <v>12663</v>
      </c>
      <c r="BL422" s="33" t="s">
        <v>12664</v>
      </c>
      <c r="BM422" s="33" t="s">
        <v>12665</v>
      </c>
      <c r="BN422" s="33" t="s">
        <v>12666</v>
      </c>
      <c r="BO422" s="33" t="s">
        <v>12667</v>
      </c>
      <c r="BP422" s="33" t="s">
        <v>12668</v>
      </c>
      <c r="BQ422" s="5" t="s">
        <v>166</v>
      </c>
      <c r="BR422" s="4"/>
      <c r="BS422" s="4"/>
      <c r="BT422" s="4"/>
      <c r="BU422" s="4"/>
      <c r="BV422" s="4"/>
      <c r="BW422" s="4"/>
      <c r="BX422" s="4"/>
      <c r="BZ422" s="24" t="str">
        <f t="shared" si="100"/>
        <v>https://drive.google.com/open?id=1voxpNRMleD3RUW2iDxXnThpnRFzhXkYD</v>
      </c>
      <c r="CA422" s="24" t="str">
        <f t="shared" si="101"/>
        <v>https://drive.google.com/open?id=105wE3MudpGw-zEIhSbkFecsYE9TK3MT7</v>
      </c>
      <c r="CB422" s="5" t="s">
        <v>2821</v>
      </c>
      <c r="CC422" s="5" t="s">
        <v>2821</v>
      </c>
      <c r="CD422" s="34" t="s">
        <v>2797</v>
      </c>
      <c r="CG422" s="18"/>
    </row>
    <row r="423" ht="18.75" hidden="1" customHeight="1">
      <c r="A423" s="30">
        <v>44742.976738136575</v>
      </c>
      <c r="B423" s="5" t="s">
        <v>2286</v>
      </c>
      <c r="C423" s="31" t="s">
        <v>12669</v>
      </c>
      <c r="E423" s="5" t="s">
        <v>7854</v>
      </c>
      <c r="F423" s="5" t="s">
        <v>12670</v>
      </c>
      <c r="G423" s="5" t="s">
        <v>12671</v>
      </c>
      <c r="H423" s="5" t="s">
        <v>2785</v>
      </c>
      <c r="I423" s="32">
        <v>37156.0</v>
      </c>
      <c r="J423" s="5">
        <v>2019.0</v>
      </c>
      <c r="K423" s="5" t="s">
        <v>2786</v>
      </c>
      <c r="L423" s="5" t="s">
        <v>2787</v>
      </c>
      <c r="N423" s="5" t="s">
        <v>12672</v>
      </c>
      <c r="O423" s="5" t="s">
        <v>2286</v>
      </c>
      <c r="P423" s="33" t="s">
        <v>12673</v>
      </c>
      <c r="Q423" s="5">
        <v>9.867107228E9</v>
      </c>
      <c r="R423" s="5">
        <v>9.867107228E9</v>
      </c>
      <c r="S423" s="5">
        <v>9.136017928E9</v>
      </c>
      <c r="T423" s="5" t="s">
        <v>12674</v>
      </c>
      <c r="U423" s="5" t="s">
        <v>12675</v>
      </c>
      <c r="V423" s="5" t="s">
        <v>12676</v>
      </c>
      <c r="X423" s="5">
        <v>82.0</v>
      </c>
      <c r="Y423" s="5" t="s">
        <v>2795</v>
      </c>
      <c r="Z423" s="5">
        <v>8.57</v>
      </c>
      <c r="AA423" s="5">
        <v>8.14</v>
      </c>
      <c r="AB423" s="5" t="s">
        <v>2796</v>
      </c>
      <c r="AC423" s="5" t="s">
        <v>2796</v>
      </c>
      <c r="AD423" s="5" t="s">
        <v>2796</v>
      </c>
      <c r="AE423" s="5" t="s">
        <v>2796</v>
      </c>
      <c r="AF423" s="5">
        <v>8.79</v>
      </c>
      <c r="AG423" s="5">
        <v>8.38</v>
      </c>
      <c r="AH423" s="5">
        <v>65.0</v>
      </c>
      <c r="AJ423" s="5" t="s">
        <v>2787</v>
      </c>
      <c r="AK423" s="5" t="s">
        <v>2787</v>
      </c>
      <c r="AL423" s="5">
        <v>691.0</v>
      </c>
      <c r="AM423" s="5">
        <v>675.0</v>
      </c>
      <c r="AN423" s="5" t="s">
        <v>2797</v>
      </c>
      <c r="AQ423" s="5" t="s">
        <v>12677</v>
      </c>
      <c r="AS423" s="5" t="s">
        <v>5356</v>
      </c>
      <c r="AU423" s="5" t="s">
        <v>12678</v>
      </c>
      <c r="AV423" s="5" t="s">
        <v>12679</v>
      </c>
      <c r="AW423" s="5" t="s">
        <v>12680</v>
      </c>
      <c r="AY423" s="5" t="s">
        <v>12681</v>
      </c>
      <c r="AZ423" s="5" t="s">
        <v>5335</v>
      </c>
      <c r="BA423" s="5" t="s">
        <v>6193</v>
      </c>
      <c r="BB423" s="5" t="s">
        <v>12682</v>
      </c>
      <c r="BC423" s="5" t="s">
        <v>12683</v>
      </c>
      <c r="BD423" s="5" t="s">
        <v>11358</v>
      </c>
      <c r="BE423" s="5" t="s">
        <v>12684</v>
      </c>
      <c r="BF423" s="5" t="s">
        <v>12685</v>
      </c>
      <c r="BI423" s="5" t="s">
        <v>12686</v>
      </c>
      <c r="BJ423" s="33" t="s">
        <v>12687</v>
      </c>
      <c r="BK423" s="33" t="s">
        <v>12688</v>
      </c>
      <c r="BL423" s="33" t="s">
        <v>12689</v>
      </c>
      <c r="BM423" s="33" t="s">
        <v>12690</v>
      </c>
      <c r="BO423" s="33" t="s">
        <v>12691</v>
      </c>
      <c r="BP423" s="33" t="s">
        <v>12692</v>
      </c>
      <c r="BQ423" s="5" t="s">
        <v>166</v>
      </c>
      <c r="BR423" s="4"/>
      <c r="BS423" s="4"/>
      <c r="BT423" s="4"/>
      <c r="BU423" s="4"/>
      <c r="BV423" s="4"/>
      <c r="BW423" s="5" t="s">
        <v>12693</v>
      </c>
      <c r="BX423" s="4"/>
      <c r="BZ423" s="24" t="str">
        <f t="shared" si="100"/>
        <v>https://drive.google.com/open?id=1zzmtSeVaMSrFCeiExpCpKBgpOJN8bzsT</v>
      </c>
      <c r="CA423" s="24" t="str">
        <f t="shared" si="101"/>
        <v>https://drive.google.com/open?id=1veZdcVYQDnceZhf3id1EgnsFYm4ylduD</v>
      </c>
      <c r="CB423" s="5" t="s">
        <v>2821</v>
      </c>
      <c r="CC423" s="5" t="s">
        <v>2821</v>
      </c>
      <c r="CD423" s="34" t="s">
        <v>2797</v>
      </c>
      <c r="CG423" s="18"/>
    </row>
    <row r="424" ht="18.75" hidden="1" customHeight="1">
      <c r="A424" s="30">
        <v>44742.6460478125</v>
      </c>
      <c r="B424" s="5" t="s">
        <v>2130</v>
      </c>
      <c r="C424" s="5">
        <v>1.20190357E8</v>
      </c>
      <c r="E424" s="5" t="s">
        <v>3328</v>
      </c>
      <c r="F424" s="5" t="s">
        <v>4935</v>
      </c>
      <c r="G424" s="5" t="s">
        <v>12694</v>
      </c>
      <c r="H424" s="5" t="s">
        <v>2785</v>
      </c>
      <c r="I424" s="32">
        <v>37337.0</v>
      </c>
      <c r="J424" s="5">
        <v>2019.0</v>
      </c>
      <c r="K424" s="5" t="s">
        <v>2786</v>
      </c>
      <c r="L424" s="5" t="s">
        <v>2787</v>
      </c>
      <c r="N424" s="5" t="s">
        <v>12695</v>
      </c>
      <c r="O424" s="5" t="s">
        <v>2130</v>
      </c>
      <c r="P424" s="33" t="s">
        <v>12696</v>
      </c>
      <c r="Q424" s="5">
        <v>8.329766708E9</v>
      </c>
      <c r="R424" s="5">
        <v>8.329766708E9</v>
      </c>
      <c r="S424" s="5">
        <v>9.923634577E9</v>
      </c>
      <c r="T424" s="5" t="s">
        <v>12697</v>
      </c>
      <c r="U424" s="5" t="s">
        <v>12698</v>
      </c>
      <c r="V424" s="5" t="s">
        <v>12699</v>
      </c>
      <c r="X424" s="5">
        <v>82.0</v>
      </c>
      <c r="Y424" s="5" t="s">
        <v>2795</v>
      </c>
      <c r="Z424" s="5">
        <v>7.55</v>
      </c>
      <c r="AA424" s="5">
        <v>7.31</v>
      </c>
      <c r="AB424" s="5" t="s">
        <v>2796</v>
      </c>
      <c r="AC424" s="5" t="s">
        <v>2796</v>
      </c>
      <c r="AD424" s="5" t="s">
        <v>2796</v>
      </c>
      <c r="AE424" s="5" t="s">
        <v>2796</v>
      </c>
      <c r="AF424" s="5">
        <v>7.52</v>
      </c>
      <c r="AG424" s="5">
        <v>7.71</v>
      </c>
      <c r="AH424" s="5">
        <v>74.0</v>
      </c>
      <c r="AJ424" s="5" t="s">
        <v>2787</v>
      </c>
      <c r="AK424" s="5" t="s">
        <v>2787</v>
      </c>
      <c r="AL424" s="5">
        <v>639.0</v>
      </c>
      <c r="AM424" s="5">
        <v>629.0</v>
      </c>
      <c r="AN424" s="5" t="s">
        <v>2797</v>
      </c>
      <c r="AQ424" s="5" t="s">
        <v>12700</v>
      </c>
      <c r="AR424" s="5" t="s">
        <v>12701</v>
      </c>
      <c r="AW424" s="5" t="s">
        <v>12702</v>
      </c>
      <c r="AY424" s="5" t="s">
        <v>12703</v>
      </c>
      <c r="AZ424" s="5" t="s">
        <v>5287</v>
      </c>
      <c r="BA424" s="5" t="s">
        <v>12704</v>
      </c>
      <c r="BB424" s="5" t="s">
        <v>7000</v>
      </c>
      <c r="BC424" s="5" t="s">
        <v>6980</v>
      </c>
      <c r="BD424" s="5" t="s">
        <v>2807</v>
      </c>
      <c r="BE424" s="5" t="s">
        <v>2796</v>
      </c>
      <c r="BI424" s="5" t="s">
        <v>12705</v>
      </c>
      <c r="BJ424" s="33" t="s">
        <v>12706</v>
      </c>
      <c r="BK424" s="33" t="s">
        <v>12707</v>
      </c>
      <c r="BL424" s="33" t="s">
        <v>12708</v>
      </c>
      <c r="BM424" s="33" t="s">
        <v>12709</v>
      </c>
      <c r="BN424" s="33" t="s">
        <v>12710</v>
      </c>
      <c r="BO424" s="33" t="s">
        <v>12711</v>
      </c>
      <c r="BP424" s="33" t="s">
        <v>12712</v>
      </c>
      <c r="BQ424" s="5" t="s">
        <v>166</v>
      </c>
      <c r="BR424" s="33" t="s">
        <v>12713</v>
      </c>
      <c r="BS424" s="4"/>
      <c r="BT424" s="33" t="s">
        <v>12714</v>
      </c>
      <c r="BU424" s="4"/>
      <c r="BV424" s="4"/>
      <c r="BW424" s="5" t="s">
        <v>12715</v>
      </c>
      <c r="BX424" s="4"/>
      <c r="BZ424" s="24" t="str">
        <f t="shared" si="100"/>
        <v>https://drive.google.com/open?id=1ZFIDgn8UuS7mqshXBpgjEXoXIiZbtpp_</v>
      </c>
      <c r="CA424" s="24" t="str">
        <f t="shared" si="101"/>
        <v>https://drive.google.com/open?id=1oiXGSwM4R9PdJrD2hY7-Igom7Y-HUo-h</v>
      </c>
      <c r="CB424" s="5" t="s">
        <v>2821</v>
      </c>
      <c r="CC424" s="5" t="s">
        <v>2821</v>
      </c>
      <c r="CD424" s="34" t="s">
        <v>2787</v>
      </c>
      <c r="CG424" s="18"/>
    </row>
    <row r="425" ht="18.75" hidden="1" customHeight="1">
      <c r="A425" s="30">
        <v>44736.41289670139</v>
      </c>
      <c r="B425" s="5" t="s">
        <v>2205</v>
      </c>
      <c r="C425" s="31" t="s">
        <v>12716</v>
      </c>
      <c r="E425" s="5" t="s">
        <v>12717</v>
      </c>
      <c r="F425" s="5" t="s">
        <v>2939</v>
      </c>
      <c r="G425" s="5" t="s">
        <v>12718</v>
      </c>
      <c r="H425" s="5" t="s">
        <v>2826</v>
      </c>
      <c r="I425" s="32">
        <v>37406.0</v>
      </c>
      <c r="J425" s="5">
        <v>2019.0</v>
      </c>
      <c r="K425" s="5" t="s">
        <v>2786</v>
      </c>
      <c r="L425" s="5" t="s">
        <v>2787</v>
      </c>
      <c r="N425" s="5" t="s">
        <v>12719</v>
      </c>
      <c r="O425" s="5" t="s">
        <v>2205</v>
      </c>
      <c r="P425" s="33" t="s">
        <v>12720</v>
      </c>
      <c r="Q425" s="5">
        <v>9.552668475E9</v>
      </c>
      <c r="R425" s="5">
        <v>9.552668475E9</v>
      </c>
      <c r="S425" s="5">
        <v>9.657392164E9</v>
      </c>
      <c r="T425" s="5" t="s">
        <v>2939</v>
      </c>
      <c r="U425" s="5" t="s">
        <v>3383</v>
      </c>
      <c r="V425" s="5" t="s">
        <v>12721</v>
      </c>
      <c r="W425" s="5" t="s">
        <v>12722</v>
      </c>
      <c r="X425" s="5">
        <v>79.4</v>
      </c>
      <c r="Y425" s="5" t="s">
        <v>2795</v>
      </c>
      <c r="Z425" s="5">
        <v>8.69</v>
      </c>
      <c r="AA425" s="5">
        <v>8.81</v>
      </c>
      <c r="AB425" s="5" t="s">
        <v>2796</v>
      </c>
      <c r="AC425" s="5" t="s">
        <v>2796</v>
      </c>
      <c r="AD425" s="5" t="s">
        <v>2796</v>
      </c>
      <c r="AE425" s="5" t="s">
        <v>2796</v>
      </c>
      <c r="AF425" s="5">
        <v>8.16</v>
      </c>
      <c r="AG425" s="5">
        <v>8.39</v>
      </c>
      <c r="AH425" s="5">
        <v>60.46</v>
      </c>
      <c r="AJ425" s="5" t="s">
        <v>2787</v>
      </c>
      <c r="AK425" s="5" t="s">
        <v>2787</v>
      </c>
      <c r="AL425" s="5">
        <v>97.3</v>
      </c>
      <c r="AM425" s="5">
        <v>38.0</v>
      </c>
      <c r="AN425" s="5" t="s">
        <v>2787</v>
      </c>
      <c r="AO425" s="5">
        <v>0.0</v>
      </c>
      <c r="AP425" s="5" t="s">
        <v>12723</v>
      </c>
      <c r="AQ425" s="5" t="s">
        <v>12724</v>
      </c>
      <c r="AS425" s="5" t="s">
        <v>6409</v>
      </c>
      <c r="AU425" s="5" t="s">
        <v>12725</v>
      </c>
      <c r="AV425" s="5" t="s">
        <v>12726</v>
      </c>
      <c r="AW425" s="5" t="s">
        <v>12727</v>
      </c>
      <c r="AY425" s="5" t="s">
        <v>12728</v>
      </c>
      <c r="AZ425" s="5" t="s">
        <v>5260</v>
      </c>
      <c r="BA425" s="5" t="s">
        <v>5951</v>
      </c>
      <c r="BB425" s="5" t="s">
        <v>5673</v>
      </c>
      <c r="BC425" s="5" t="s">
        <v>3686</v>
      </c>
      <c r="BD425" s="5" t="s">
        <v>2842</v>
      </c>
      <c r="BE425" s="5" t="s">
        <v>2796</v>
      </c>
      <c r="BI425" s="5" t="s">
        <v>12729</v>
      </c>
      <c r="BJ425" s="33" t="s">
        <v>12730</v>
      </c>
      <c r="BK425" s="33" t="s">
        <v>12731</v>
      </c>
      <c r="BL425" s="33" t="s">
        <v>12732</v>
      </c>
      <c r="BM425" s="33" t="s">
        <v>12733</v>
      </c>
      <c r="BN425" s="33" t="s">
        <v>12734</v>
      </c>
      <c r="BO425" s="33" t="s">
        <v>12735</v>
      </c>
      <c r="BP425" s="33" t="s">
        <v>12736</v>
      </c>
      <c r="BQ425" s="5" t="s">
        <v>166</v>
      </c>
      <c r="BR425" s="4"/>
      <c r="BS425" s="4"/>
      <c r="BT425" s="4"/>
      <c r="BU425" s="4"/>
      <c r="BV425" s="4"/>
      <c r="BW425" s="4"/>
      <c r="BX425" s="4"/>
      <c r="BZ425" s="24" t="str">
        <f t="shared" si="100"/>
        <v>https://drive.google.com/open?id=17Swufh97E988scwbpS2RlQvFhzhdOIAZ</v>
      </c>
      <c r="CA425" s="24" t="str">
        <f t="shared" si="101"/>
        <v>https://drive.google.com/open?id=1zzKjTZDFli5GeAZ5K3C3hNmz73mo8KLG</v>
      </c>
      <c r="CB425" s="5" t="s">
        <v>2821</v>
      </c>
      <c r="CC425" s="5" t="s">
        <v>2821</v>
      </c>
      <c r="CD425" s="34" t="s">
        <v>2797</v>
      </c>
      <c r="CG425" s="18"/>
    </row>
    <row r="426" ht="18.75" hidden="1" customHeight="1">
      <c r="A426" s="30">
        <v>44750.49593824074</v>
      </c>
      <c r="B426" s="5" t="s">
        <v>2250</v>
      </c>
      <c r="C426" s="31" t="s">
        <v>12737</v>
      </c>
      <c r="E426" s="5" t="s">
        <v>12738</v>
      </c>
      <c r="G426" s="5" t="s">
        <v>12739</v>
      </c>
      <c r="H426" s="5" t="s">
        <v>2826</v>
      </c>
      <c r="I426" s="32">
        <v>37178.0</v>
      </c>
      <c r="J426" s="5">
        <v>2019.0</v>
      </c>
      <c r="K426" s="5" t="s">
        <v>2786</v>
      </c>
      <c r="L426" s="5" t="s">
        <v>2787</v>
      </c>
      <c r="N426" s="5" t="s">
        <v>12740</v>
      </c>
      <c r="O426" s="5" t="s">
        <v>2250</v>
      </c>
      <c r="P426" s="33" t="s">
        <v>12741</v>
      </c>
      <c r="Q426" s="5">
        <v>9.304728534E9</v>
      </c>
      <c r="R426" s="5">
        <v>9.304728534E9</v>
      </c>
      <c r="S426" s="5">
        <v>9.304728534E9</v>
      </c>
      <c r="T426" s="5" t="s">
        <v>12742</v>
      </c>
      <c r="U426" s="5" t="s">
        <v>8863</v>
      </c>
      <c r="V426" s="5" t="s">
        <v>12743</v>
      </c>
      <c r="W426" s="5" t="s">
        <v>12744</v>
      </c>
      <c r="X426" s="5">
        <v>7.4</v>
      </c>
      <c r="Y426" s="5" t="s">
        <v>2795</v>
      </c>
      <c r="Z426" s="5">
        <v>7.0</v>
      </c>
      <c r="AA426" s="5">
        <v>5.68</v>
      </c>
      <c r="AB426" s="5" t="s">
        <v>2796</v>
      </c>
      <c r="AC426" s="5" t="s">
        <v>2796</v>
      </c>
      <c r="AD426" s="5" t="s">
        <v>2796</v>
      </c>
      <c r="AE426" s="5" t="s">
        <v>2796</v>
      </c>
      <c r="AF426" s="5">
        <v>6.74</v>
      </c>
      <c r="AG426" s="5">
        <v>7.29</v>
      </c>
      <c r="AH426" s="5">
        <v>59.0</v>
      </c>
      <c r="AJ426" s="5" t="s">
        <v>2787</v>
      </c>
      <c r="AK426" s="5" t="s">
        <v>2787</v>
      </c>
      <c r="AN426" s="5" t="s">
        <v>2787</v>
      </c>
      <c r="AO426" s="5" t="s">
        <v>12745</v>
      </c>
      <c r="AP426" s="5" t="s">
        <v>12746</v>
      </c>
      <c r="AQ426" s="5" t="s">
        <v>12747</v>
      </c>
      <c r="AR426" s="5" t="s">
        <v>12748</v>
      </c>
      <c r="AS426" s="5" t="s">
        <v>12749</v>
      </c>
      <c r="AW426" s="5" t="s">
        <v>12750</v>
      </c>
      <c r="AY426" s="5" t="s">
        <v>12751</v>
      </c>
      <c r="AZ426" s="5" t="s">
        <v>8440</v>
      </c>
      <c r="BA426" s="5" t="s">
        <v>12752</v>
      </c>
      <c r="BB426" s="5" t="s">
        <v>8773</v>
      </c>
      <c r="BC426" s="5" t="s">
        <v>5604</v>
      </c>
      <c r="BD426" s="5" t="s">
        <v>2807</v>
      </c>
      <c r="BE426" s="5" t="s">
        <v>12753</v>
      </c>
      <c r="BH426" s="5" t="s">
        <v>12754</v>
      </c>
      <c r="BJ426" s="33" t="s">
        <v>12755</v>
      </c>
      <c r="BK426" s="33" t="s">
        <v>12756</v>
      </c>
      <c r="BO426" s="33" t="s">
        <v>12757</v>
      </c>
      <c r="BQ426" s="5" t="s">
        <v>166</v>
      </c>
      <c r="BR426" s="4"/>
      <c r="BS426" s="4"/>
      <c r="BT426" s="33" t="s">
        <v>12758</v>
      </c>
      <c r="BU426" s="4"/>
      <c r="BV426" s="4"/>
      <c r="BW426" s="5" t="s">
        <v>6951</v>
      </c>
      <c r="BX426" s="4"/>
      <c r="BZ426" s="18" t="str">
        <f t="shared" si="100"/>
        <v/>
      </c>
      <c r="CA426" s="18" t="str">
        <f t="shared" si="101"/>
        <v/>
      </c>
      <c r="CB426" s="5" t="s">
        <v>2908</v>
      </c>
      <c r="CC426" s="5" t="s">
        <v>2908</v>
      </c>
      <c r="CD426" s="34" t="s">
        <v>2797</v>
      </c>
      <c r="CG426" s="18"/>
    </row>
    <row r="427" ht="18.75" hidden="1" customHeight="1">
      <c r="A427" s="30">
        <v>44736.5151019676</v>
      </c>
      <c r="B427" s="5" t="s">
        <v>2118</v>
      </c>
      <c r="C427" s="31" t="s">
        <v>12759</v>
      </c>
      <c r="E427" s="5" t="s">
        <v>12760</v>
      </c>
      <c r="G427" s="5" t="s">
        <v>12761</v>
      </c>
      <c r="H427" s="5" t="s">
        <v>2785</v>
      </c>
      <c r="I427" s="32">
        <v>37301.0</v>
      </c>
      <c r="J427" s="5">
        <v>2019.0</v>
      </c>
      <c r="K427" s="5" t="s">
        <v>2786</v>
      </c>
      <c r="L427" s="5" t="s">
        <v>2787</v>
      </c>
      <c r="N427" s="5" t="s">
        <v>12762</v>
      </c>
      <c r="O427" s="5" t="s">
        <v>2118</v>
      </c>
      <c r="P427" s="33" t="s">
        <v>12763</v>
      </c>
      <c r="Q427" s="5">
        <v>9.525570097E9</v>
      </c>
      <c r="R427" s="5">
        <v>9.525570097E9</v>
      </c>
      <c r="T427" s="5" t="s">
        <v>12764</v>
      </c>
      <c r="U427" s="5" t="s">
        <v>12765</v>
      </c>
      <c r="V427" s="5" t="s">
        <v>12766</v>
      </c>
      <c r="W427" s="5" t="s">
        <v>12767</v>
      </c>
      <c r="X427" s="5">
        <v>91.2</v>
      </c>
      <c r="Y427" s="5" t="s">
        <v>2795</v>
      </c>
      <c r="Z427" s="5">
        <v>9.29</v>
      </c>
      <c r="AA427" s="5">
        <v>8.67</v>
      </c>
      <c r="AB427" s="5" t="s">
        <v>2796</v>
      </c>
      <c r="AC427" s="5" t="s">
        <v>2796</v>
      </c>
      <c r="AD427" s="5" t="s">
        <v>2796</v>
      </c>
      <c r="AE427" s="5" t="s">
        <v>2796</v>
      </c>
      <c r="AF427" s="5">
        <v>7.95</v>
      </c>
      <c r="AG427" s="5">
        <v>8.57</v>
      </c>
      <c r="AH427" s="5">
        <v>65.8</v>
      </c>
      <c r="AJ427" s="5" t="s">
        <v>2797</v>
      </c>
      <c r="AK427" s="5" t="s">
        <v>2787</v>
      </c>
      <c r="AM427" s="5">
        <v>95.0</v>
      </c>
      <c r="AN427" s="5" t="s">
        <v>2787</v>
      </c>
      <c r="AP427" s="5" t="s">
        <v>12768</v>
      </c>
      <c r="AQ427" s="5" t="s">
        <v>3063</v>
      </c>
      <c r="AR427" s="5" t="s">
        <v>12769</v>
      </c>
      <c r="AW427" s="5" t="s">
        <v>12770</v>
      </c>
      <c r="AX427" s="5" t="s">
        <v>12771</v>
      </c>
      <c r="AY427" s="5" t="s">
        <v>12771</v>
      </c>
      <c r="AZ427" s="5" t="s">
        <v>5625</v>
      </c>
      <c r="BA427" s="5" t="s">
        <v>4727</v>
      </c>
      <c r="BB427" s="5" t="s">
        <v>2807</v>
      </c>
      <c r="BC427" s="5" t="s">
        <v>3686</v>
      </c>
      <c r="BD427" s="5" t="s">
        <v>2807</v>
      </c>
      <c r="BE427" s="5" t="s">
        <v>2796</v>
      </c>
      <c r="BF427" s="5" t="s">
        <v>2796</v>
      </c>
      <c r="BI427" s="5" t="s">
        <v>12772</v>
      </c>
      <c r="BJ427" s="33" t="s">
        <v>12773</v>
      </c>
      <c r="BK427" s="33" t="s">
        <v>12774</v>
      </c>
      <c r="BM427" s="33" t="s">
        <v>12775</v>
      </c>
      <c r="BN427" s="33" t="s">
        <v>12776</v>
      </c>
      <c r="BO427" s="33" t="s">
        <v>12777</v>
      </c>
      <c r="BQ427" s="5" t="s">
        <v>166</v>
      </c>
      <c r="BR427" s="4"/>
      <c r="BS427" s="4"/>
      <c r="BT427" s="4"/>
      <c r="BU427" s="4"/>
      <c r="BV427" s="4"/>
      <c r="BW427" s="4"/>
      <c r="BX427" s="4"/>
      <c r="BZ427" s="18" t="str">
        <f t="shared" si="100"/>
        <v/>
      </c>
      <c r="CA427" s="24" t="str">
        <f t="shared" si="101"/>
        <v>https://drive.google.com/open?id=1QjDc50DhJiKkb82aE9croZYruCf_Bapo</v>
      </c>
      <c r="CB427" s="5" t="s">
        <v>2908</v>
      </c>
      <c r="CC427" s="5" t="s">
        <v>2821</v>
      </c>
      <c r="CD427" s="34" t="s">
        <v>2797</v>
      </c>
      <c r="CG427" s="18"/>
    </row>
    <row r="428" ht="18.75" hidden="1" customHeight="1">
      <c r="A428" s="30">
        <v>44739.62605479167</v>
      </c>
      <c r="B428" s="5" t="s">
        <v>12778</v>
      </c>
      <c r="C428" s="31" t="s">
        <v>12779</v>
      </c>
      <c r="E428" s="5" t="s">
        <v>10588</v>
      </c>
      <c r="G428" s="5" t="s">
        <v>5816</v>
      </c>
      <c r="H428" s="5" t="s">
        <v>2785</v>
      </c>
      <c r="I428" s="32">
        <v>37506.0</v>
      </c>
      <c r="J428" s="5">
        <v>2019.0</v>
      </c>
      <c r="K428" s="5" t="s">
        <v>2786</v>
      </c>
      <c r="L428" s="5" t="s">
        <v>2787</v>
      </c>
      <c r="N428" s="5" t="s">
        <v>12780</v>
      </c>
      <c r="O428" s="5" t="s">
        <v>12781</v>
      </c>
      <c r="P428" s="33" t="s">
        <v>12782</v>
      </c>
      <c r="Q428" s="5">
        <v>6.204714105E9</v>
      </c>
      <c r="R428" s="5">
        <v>6.204714105E9</v>
      </c>
      <c r="S428" s="5">
        <v>9.801809501E9</v>
      </c>
      <c r="T428" s="5" t="s">
        <v>12783</v>
      </c>
      <c r="U428" s="5" t="s">
        <v>12784</v>
      </c>
      <c r="V428" s="5" t="s">
        <v>12785</v>
      </c>
      <c r="W428" s="5" t="s">
        <v>12786</v>
      </c>
      <c r="X428" s="5">
        <v>60.8</v>
      </c>
      <c r="Y428" s="5" t="s">
        <v>2795</v>
      </c>
      <c r="Z428" s="5">
        <v>8.42</v>
      </c>
      <c r="AA428" s="5">
        <v>7.95</v>
      </c>
      <c r="AB428" s="5" t="s">
        <v>2796</v>
      </c>
      <c r="AC428" s="5" t="s">
        <v>2796</v>
      </c>
      <c r="AD428" s="5" t="s">
        <v>2796</v>
      </c>
      <c r="AE428" s="5" t="s">
        <v>2796</v>
      </c>
      <c r="AF428" s="5">
        <v>8.38</v>
      </c>
      <c r="AG428" s="5">
        <v>8.0</v>
      </c>
      <c r="AH428" s="5">
        <v>64.6</v>
      </c>
      <c r="AJ428" s="5" t="s">
        <v>2787</v>
      </c>
      <c r="AK428" s="5" t="s">
        <v>2787</v>
      </c>
      <c r="AN428" s="5" t="s">
        <v>2797</v>
      </c>
      <c r="AQ428" s="5" t="s">
        <v>12787</v>
      </c>
      <c r="AR428" s="5" t="s">
        <v>12788</v>
      </c>
      <c r="AV428" s="5" t="s">
        <v>12789</v>
      </c>
      <c r="AW428" s="5" t="s">
        <v>12787</v>
      </c>
      <c r="AY428" s="5" t="s">
        <v>12787</v>
      </c>
      <c r="AZ428" s="5" t="s">
        <v>5625</v>
      </c>
      <c r="BA428" s="5" t="s">
        <v>8441</v>
      </c>
      <c r="BB428" s="5" t="s">
        <v>12790</v>
      </c>
      <c r="BC428" s="5" t="s">
        <v>3686</v>
      </c>
      <c r="BD428" s="5" t="s">
        <v>2842</v>
      </c>
      <c r="BE428" s="5" t="s">
        <v>12787</v>
      </c>
      <c r="BJ428" s="33" t="s">
        <v>12791</v>
      </c>
      <c r="BK428" s="33" t="s">
        <v>12792</v>
      </c>
      <c r="BM428" s="33" t="s">
        <v>12793</v>
      </c>
      <c r="BN428" s="33" t="s">
        <v>12794</v>
      </c>
      <c r="BO428" s="33" t="s">
        <v>12795</v>
      </c>
      <c r="BP428" s="33" t="s">
        <v>12796</v>
      </c>
      <c r="BQ428" s="5" t="s">
        <v>166</v>
      </c>
      <c r="BR428" s="33" t="s">
        <v>12797</v>
      </c>
      <c r="BW428" s="5" t="s">
        <v>12798</v>
      </c>
      <c r="BZ428" s="18" t="str">
        <f t="shared" si="100"/>
        <v/>
      </c>
      <c r="CA428" s="24" t="str">
        <f t="shared" si="101"/>
        <v>https://drive.google.com/open?id=1xFUHioS_SEadHKB14irz92HZVINKq5ge</v>
      </c>
      <c r="CB428" s="5" t="s">
        <v>2908</v>
      </c>
      <c r="CC428" s="5" t="s">
        <v>2821</v>
      </c>
      <c r="CD428" s="34" t="s">
        <v>2787</v>
      </c>
      <c r="CG428" s="18"/>
    </row>
    <row r="429" ht="18.75" hidden="1" customHeight="1">
      <c r="A429" s="30">
        <v>44743.64564188657</v>
      </c>
      <c r="B429" s="5" t="s">
        <v>2277</v>
      </c>
      <c r="C429" s="31" t="s">
        <v>12799</v>
      </c>
      <c r="E429" s="5" t="s">
        <v>6294</v>
      </c>
      <c r="F429" s="5" t="s">
        <v>7947</v>
      </c>
      <c r="G429" s="5" t="s">
        <v>12800</v>
      </c>
      <c r="H429" s="5" t="s">
        <v>2785</v>
      </c>
      <c r="I429" s="32">
        <v>36938.0</v>
      </c>
      <c r="J429" s="5">
        <v>2019.0</v>
      </c>
      <c r="K429" s="5" t="s">
        <v>2786</v>
      </c>
      <c r="L429" s="5" t="s">
        <v>2787</v>
      </c>
      <c r="N429" s="5" t="s">
        <v>12801</v>
      </c>
      <c r="O429" s="5" t="s">
        <v>2277</v>
      </c>
      <c r="P429" s="33" t="s">
        <v>12802</v>
      </c>
      <c r="Q429" s="5">
        <v>9.011231446E9</v>
      </c>
      <c r="R429" s="5">
        <v>9.011231446E9</v>
      </c>
      <c r="S429" s="5">
        <v>9.049144214E9</v>
      </c>
      <c r="T429" s="5" t="s">
        <v>7947</v>
      </c>
      <c r="U429" s="5" t="s">
        <v>12803</v>
      </c>
      <c r="V429" s="5" t="s">
        <v>12804</v>
      </c>
      <c r="W429" s="5" t="s">
        <v>12805</v>
      </c>
      <c r="X429" s="5">
        <v>70.4</v>
      </c>
      <c r="Y429" s="5" t="s">
        <v>2795</v>
      </c>
      <c r="Z429" s="5">
        <v>8.05</v>
      </c>
      <c r="AA429" s="5">
        <v>8.0</v>
      </c>
      <c r="AB429" s="5" t="s">
        <v>2796</v>
      </c>
      <c r="AC429" s="5" t="s">
        <v>2796</v>
      </c>
      <c r="AD429" s="5" t="s">
        <v>2796</v>
      </c>
      <c r="AE429" s="5" t="s">
        <v>2796</v>
      </c>
      <c r="AF429" s="5">
        <v>8.05</v>
      </c>
      <c r="AG429" s="5">
        <v>8.43</v>
      </c>
      <c r="AH429" s="5">
        <v>59.38</v>
      </c>
      <c r="AJ429" s="5" t="s">
        <v>2787</v>
      </c>
      <c r="AK429" s="5" t="s">
        <v>2787</v>
      </c>
      <c r="AM429" s="5">
        <v>92.0</v>
      </c>
      <c r="AN429" s="5" t="s">
        <v>2787</v>
      </c>
      <c r="AP429" s="5" t="s">
        <v>12806</v>
      </c>
      <c r="AQ429" s="5" t="s">
        <v>12807</v>
      </c>
      <c r="AR429" s="5" t="s">
        <v>12808</v>
      </c>
      <c r="AS429" s="5" t="s">
        <v>5254</v>
      </c>
      <c r="AV429" s="5" t="s">
        <v>12809</v>
      </c>
      <c r="AW429" s="5" t="s">
        <v>12810</v>
      </c>
      <c r="AY429" s="5" t="s">
        <v>12811</v>
      </c>
      <c r="AZ429" s="5" t="s">
        <v>5335</v>
      </c>
      <c r="BA429" s="5" t="s">
        <v>6488</v>
      </c>
      <c r="BB429" s="5" t="s">
        <v>8142</v>
      </c>
      <c r="BC429" s="5" t="s">
        <v>3686</v>
      </c>
      <c r="BD429" s="5" t="s">
        <v>2807</v>
      </c>
      <c r="BE429" s="5" t="s">
        <v>12812</v>
      </c>
      <c r="BH429" s="5" t="s">
        <v>12813</v>
      </c>
      <c r="BI429" s="5" t="s">
        <v>12814</v>
      </c>
      <c r="BJ429" s="33" t="s">
        <v>12815</v>
      </c>
      <c r="BK429" s="33" t="s">
        <v>12816</v>
      </c>
      <c r="BL429" s="33" t="s">
        <v>12817</v>
      </c>
      <c r="BM429" s="33" t="s">
        <v>12818</v>
      </c>
      <c r="BN429" s="33" t="s">
        <v>12819</v>
      </c>
      <c r="BO429" s="33" t="s">
        <v>12820</v>
      </c>
      <c r="BQ429" s="5" t="s">
        <v>166</v>
      </c>
      <c r="BW429" s="5" t="s">
        <v>2796</v>
      </c>
      <c r="BZ429" s="24" t="str">
        <f t="shared" si="100"/>
        <v>https://drive.google.com/open?id=1VodI-Bs9izGyTbi_VzmHl7mncnTuCRY9</v>
      </c>
      <c r="CA429" s="24" t="str">
        <f t="shared" si="101"/>
        <v>https://drive.google.com/open?id=1cx85Pt-Qs1SQfZbEdOOu5pZxKm7H5-jd</v>
      </c>
      <c r="CB429" s="5" t="s">
        <v>2821</v>
      </c>
      <c r="CC429" s="5" t="s">
        <v>2821</v>
      </c>
      <c r="CD429" s="34" t="s">
        <v>2797</v>
      </c>
      <c r="CG429" s="18"/>
    </row>
    <row r="430" ht="18.75" hidden="1" customHeight="1">
      <c r="A430" s="14">
        <v>44734.704794861114</v>
      </c>
      <c r="B430" s="15" t="s">
        <v>2442</v>
      </c>
      <c r="C430" s="16" t="s">
        <v>12821</v>
      </c>
      <c r="D430" s="15" t="str">
        <f>IFERROR(__xludf.DUMMYFUNCTION("QUERY(TY_ALL_2023_Batch!$A$1:$E$824, ""SELECT E WHERE C='""&amp;B430&amp;""'"", 0)"),"MECH")</f>
        <v>MECH</v>
      </c>
      <c r="E430" s="15" t="s">
        <v>12822</v>
      </c>
      <c r="F430" s="15" t="s">
        <v>7521</v>
      </c>
      <c r="G430" s="15" t="s">
        <v>12823</v>
      </c>
      <c r="H430" s="15" t="s">
        <v>2785</v>
      </c>
      <c r="I430" s="17">
        <v>36854.0</v>
      </c>
      <c r="J430" s="15">
        <v>2019.0</v>
      </c>
      <c r="K430" s="15" t="s">
        <v>2786</v>
      </c>
      <c r="L430" s="15" t="s">
        <v>2787</v>
      </c>
      <c r="M430" s="18"/>
      <c r="N430" s="15" t="s">
        <v>12824</v>
      </c>
      <c r="O430" s="15" t="s">
        <v>2442</v>
      </c>
      <c r="P430" s="19" t="s">
        <v>12825</v>
      </c>
      <c r="Q430" s="15">
        <v>9.096374265E9</v>
      </c>
      <c r="R430" s="15">
        <v>9.096374265E9</v>
      </c>
      <c r="S430" s="15">
        <v>9.970815317E9</v>
      </c>
      <c r="T430" s="15" t="s">
        <v>7521</v>
      </c>
      <c r="U430" s="15" t="s">
        <v>4786</v>
      </c>
      <c r="V430" s="15" t="s">
        <v>12826</v>
      </c>
      <c r="W430" s="18"/>
      <c r="X430" s="15">
        <v>86.4</v>
      </c>
      <c r="Y430" s="15" t="s">
        <v>2795</v>
      </c>
      <c r="Z430" s="15">
        <v>9.38</v>
      </c>
      <c r="AA430" s="15">
        <v>8.9</v>
      </c>
      <c r="AB430" s="15" t="s">
        <v>2796</v>
      </c>
      <c r="AC430" s="15" t="s">
        <v>2796</v>
      </c>
      <c r="AD430" s="15" t="s">
        <v>2796</v>
      </c>
      <c r="AE430" s="15" t="s">
        <v>2796</v>
      </c>
      <c r="AF430" s="15">
        <v>9.05</v>
      </c>
      <c r="AG430" s="15">
        <v>9.48</v>
      </c>
      <c r="AH430" s="15">
        <v>74.31</v>
      </c>
      <c r="AI430" s="18"/>
      <c r="AJ430" s="15" t="s">
        <v>2787</v>
      </c>
      <c r="AK430" s="15" t="s">
        <v>2787</v>
      </c>
      <c r="AL430" s="15">
        <v>670.0</v>
      </c>
      <c r="AM430" s="15">
        <v>645.0</v>
      </c>
      <c r="AN430" s="15" t="s">
        <v>2797</v>
      </c>
      <c r="AO430" s="18"/>
      <c r="AP430" s="18"/>
      <c r="AQ430" s="15" t="s">
        <v>12827</v>
      </c>
      <c r="AR430" s="15" t="s">
        <v>12828</v>
      </c>
      <c r="AS430" s="18"/>
      <c r="AT430" s="18"/>
      <c r="AU430" s="18"/>
      <c r="AV430" s="15" t="s">
        <v>12829</v>
      </c>
      <c r="AW430" s="15" t="s">
        <v>12830</v>
      </c>
      <c r="AX430" s="18"/>
      <c r="AY430" s="15" t="s">
        <v>12831</v>
      </c>
      <c r="AZ430" s="15" t="s">
        <v>9648</v>
      </c>
      <c r="BA430" s="15" t="s">
        <v>4727</v>
      </c>
      <c r="BB430" s="15" t="s">
        <v>2807</v>
      </c>
      <c r="BC430" s="15" t="s">
        <v>12832</v>
      </c>
      <c r="BD430" s="15" t="s">
        <v>2807</v>
      </c>
      <c r="BE430" s="15" t="s">
        <v>12833</v>
      </c>
      <c r="BF430" s="18"/>
      <c r="BG430" s="18"/>
      <c r="BH430" s="15" t="s">
        <v>12834</v>
      </c>
      <c r="BI430" s="15" t="s">
        <v>12835</v>
      </c>
      <c r="BJ430" s="19" t="s">
        <v>12836</v>
      </c>
      <c r="BK430" s="19" t="s">
        <v>12837</v>
      </c>
      <c r="BL430" s="19" t="s">
        <v>12838</v>
      </c>
      <c r="BM430" s="19" t="s">
        <v>12839</v>
      </c>
      <c r="BN430" s="19" t="s">
        <v>12840</v>
      </c>
      <c r="BO430" s="19" t="s">
        <v>12841</v>
      </c>
      <c r="BP430" s="19" t="s">
        <v>12842</v>
      </c>
      <c r="BQ430" s="15" t="s">
        <v>1321</v>
      </c>
      <c r="BR430" s="26"/>
      <c r="BS430" s="26"/>
      <c r="BT430" s="26"/>
      <c r="BU430" s="26"/>
      <c r="BV430" s="26"/>
      <c r="BW430" s="26"/>
      <c r="BX430" s="26"/>
      <c r="BY430" s="18" t="str">
        <f t="shared" ref="BY430:BY608" si="107">IF(NOT(ISBLANK(BQ430)), BQ430, D430)</f>
        <v>MECH</v>
      </c>
      <c r="BZ430" s="24" t="str">
        <f t="shared" si="100"/>
        <v>https://drive.google.com/open?id=1sv3ngkUi0D_ZGrQ1Yh2wODSRUi5K9it0</v>
      </c>
      <c r="CA430" s="24" t="str">
        <f t="shared" si="101"/>
        <v>https://drive.google.com/open?id=1IqQNYoHAhpN5oHzy4pdI8Nlx41OwiCmO</v>
      </c>
      <c r="CB430" s="15" t="s">
        <v>2821</v>
      </c>
      <c r="CC430" s="15" t="s">
        <v>2821</v>
      </c>
      <c r="CD430" s="25" t="s">
        <v>2787</v>
      </c>
      <c r="CE430" s="18"/>
      <c r="CF430" s="18"/>
      <c r="CG430" s="18"/>
    </row>
    <row r="431" ht="18.75" hidden="1" customHeight="1">
      <c r="A431" s="14">
        <v>44734.78401483796</v>
      </c>
      <c r="B431" s="15" t="s">
        <v>2433</v>
      </c>
      <c r="C431" s="16" t="s">
        <v>12843</v>
      </c>
      <c r="D431" s="15" t="str">
        <f>IFERROR(__xludf.DUMMYFUNCTION("QUERY(TY_ALL_2023_Batch!$A$1:$E$824, ""SELECT E WHERE C='""&amp;B431&amp;""'"", 0)"),"MECH")</f>
        <v>MECH</v>
      </c>
      <c r="E431" s="15" t="s">
        <v>12844</v>
      </c>
      <c r="F431" s="15" t="s">
        <v>4979</v>
      </c>
      <c r="G431" s="15" t="s">
        <v>5691</v>
      </c>
      <c r="H431" s="15" t="s">
        <v>2826</v>
      </c>
      <c r="I431" s="17">
        <v>36642.0</v>
      </c>
      <c r="J431" s="15">
        <v>2019.0</v>
      </c>
      <c r="K431" s="15" t="s">
        <v>2786</v>
      </c>
      <c r="L431" s="15" t="s">
        <v>2787</v>
      </c>
      <c r="M431" s="18"/>
      <c r="N431" s="15" t="s">
        <v>12845</v>
      </c>
      <c r="O431" s="15" t="s">
        <v>12846</v>
      </c>
      <c r="P431" s="19" t="s">
        <v>12847</v>
      </c>
      <c r="Q431" s="15">
        <v>8.208177068E9</v>
      </c>
      <c r="R431" s="15">
        <v>8.208177068E9</v>
      </c>
      <c r="S431" s="18"/>
      <c r="T431" s="15" t="s">
        <v>4979</v>
      </c>
      <c r="U431" s="15" t="s">
        <v>12848</v>
      </c>
      <c r="V431" s="15" t="s">
        <v>12849</v>
      </c>
      <c r="W431" s="15" t="s">
        <v>12850</v>
      </c>
      <c r="X431" s="15">
        <v>87.8</v>
      </c>
      <c r="Y431" s="15" t="s">
        <v>2795</v>
      </c>
      <c r="Z431" s="15">
        <v>7.3</v>
      </c>
      <c r="AA431" s="15">
        <v>7.41</v>
      </c>
      <c r="AB431" s="15" t="s">
        <v>2796</v>
      </c>
      <c r="AC431" s="15" t="s">
        <v>2796</v>
      </c>
      <c r="AD431" s="15" t="s">
        <v>2796</v>
      </c>
      <c r="AE431" s="15" t="s">
        <v>2796</v>
      </c>
      <c r="AF431" s="15">
        <v>7.3</v>
      </c>
      <c r="AG431" s="15">
        <v>7.3</v>
      </c>
      <c r="AH431" s="15">
        <v>67.8</v>
      </c>
      <c r="AI431" s="18"/>
      <c r="AJ431" s="15" t="s">
        <v>2797</v>
      </c>
      <c r="AK431" s="15" t="s">
        <v>2787</v>
      </c>
      <c r="AL431" s="18"/>
      <c r="AM431" s="18"/>
      <c r="AN431" s="15" t="s">
        <v>2787</v>
      </c>
      <c r="AO431" s="15" t="s">
        <v>12851</v>
      </c>
      <c r="AP431" s="15" t="s">
        <v>12852</v>
      </c>
      <c r="AQ431" s="15" t="s">
        <v>12853</v>
      </c>
      <c r="AR431" s="15" t="s">
        <v>12854</v>
      </c>
      <c r="AS431" s="15" t="s">
        <v>9389</v>
      </c>
      <c r="AT431" s="18"/>
      <c r="AU431" s="15" t="s">
        <v>12855</v>
      </c>
      <c r="AV431" s="15" t="s">
        <v>12856</v>
      </c>
      <c r="AW431" s="15" t="s">
        <v>12857</v>
      </c>
      <c r="AX431" s="18"/>
      <c r="AY431" s="15" t="s">
        <v>12858</v>
      </c>
      <c r="AZ431" s="15" t="s">
        <v>8440</v>
      </c>
      <c r="BA431" s="15" t="s">
        <v>3210</v>
      </c>
      <c r="BB431" s="15" t="s">
        <v>12859</v>
      </c>
      <c r="BC431" s="15" t="s">
        <v>2808</v>
      </c>
      <c r="BD431" s="15" t="s">
        <v>2807</v>
      </c>
      <c r="BE431" s="15" t="s">
        <v>12860</v>
      </c>
      <c r="BF431" s="18"/>
      <c r="BG431" s="18"/>
      <c r="BH431" s="15" t="s">
        <v>12861</v>
      </c>
      <c r="BI431" s="15" t="s">
        <v>12862</v>
      </c>
      <c r="BJ431" s="19" t="s">
        <v>12863</v>
      </c>
      <c r="BK431" s="19" t="s">
        <v>12864</v>
      </c>
      <c r="BL431" s="18"/>
      <c r="BM431" s="18"/>
      <c r="BN431" s="19" t="s">
        <v>12865</v>
      </c>
      <c r="BO431" s="19" t="s">
        <v>12866</v>
      </c>
      <c r="BP431" s="19" t="s">
        <v>12867</v>
      </c>
      <c r="BQ431" s="15" t="s">
        <v>1321</v>
      </c>
      <c r="BR431" s="26"/>
      <c r="BS431" s="26"/>
      <c r="BT431" s="26"/>
      <c r="BU431" s="26"/>
      <c r="BV431" s="26"/>
      <c r="BW431" s="26"/>
      <c r="BX431" s="26"/>
      <c r="BY431" s="18" t="str">
        <f t="shared" si="107"/>
        <v>MECH</v>
      </c>
      <c r="BZ431" s="18" t="str">
        <f t="shared" si="100"/>
        <v/>
      </c>
      <c r="CA431" s="18" t="str">
        <f t="shared" si="101"/>
        <v/>
      </c>
      <c r="CB431" s="15" t="s">
        <v>2908</v>
      </c>
      <c r="CC431" s="15" t="s">
        <v>2908</v>
      </c>
      <c r="CD431" s="25" t="s">
        <v>2787</v>
      </c>
      <c r="CE431" s="18"/>
      <c r="CF431" s="18"/>
      <c r="CG431" s="18"/>
    </row>
    <row r="432" ht="18.75" hidden="1" customHeight="1">
      <c r="A432" s="14">
        <v>44735.93010366899</v>
      </c>
      <c r="B432" s="15" t="s">
        <v>2475</v>
      </c>
      <c r="C432" s="16" t="s">
        <v>12868</v>
      </c>
      <c r="D432" s="15" t="str">
        <f>IFERROR(__xludf.DUMMYFUNCTION("QUERY(TY_ALL_2023_Batch!$A$1:$E$824, ""SELECT E WHERE C='""&amp;B432&amp;""'"", 0)"),"MECH")</f>
        <v>MECH</v>
      </c>
      <c r="E432" s="15" t="s">
        <v>12869</v>
      </c>
      <c r="F432" s="15" t="s">
        <v>6868</v>
      </c>
      <c r="G432" s="15" t="s">
        <v>12870</v>
      </c>
      <c r="H432" s="15" t="s">
        <v>2785</v>
      </c>
      <c r="I432" s="17">
        <v>37367.0</v>
      </c>
      <c r="J432" s="15">
        <v>2019.0</v>
      </c>
      <c r="K432" s="15" t="s">
        <v>2786</v>
      </c>
      <c r="L432" s="15" t="s">
        <v>2787</v>
      </c>
      <c r="M432" s="18"/>
      <c r="N432" s="15" t="s">
        <v>12871</v>
      </c>
      <c r="O432" s="15" t="s">
        <v>2475</v>
      </c>
      <c r="P432" s="19" t="s">
        <v>12872</v>
      </c>
      <c r="Q432" s="15">
        <v>7.666842151E9</v>
      </c>
      <c r="R432" s="15">
        <v>7.666842151E9</v>
      </c>
      <c r="S432" s="18"/>
      <c r="T432" s="15" t="s">
        <v>6868</v>
      </c>
      <c r="U432" s="15" t="s">
        <v>3677</v>
      </c>
      <c r="V432" s="15" t="s">
        <v>12873</v>
      </c>
      <c r="W432" s="15" t="s">
        <v>12874</v>
      </c>
      <c r="X432" s="15">
        <v>85.4</v>
      </c>
      <c r="Y432" s="15" t="s">
        <v>2795</v>
      </c>
      <c r="Z432" s="15">
        <v>8.57</v>
      </c>
      <c r="AA432" s="15">
        <v>8.76</v>
      </c>
      <c r="AB432" s="15" t="s">
        <v>2796</v>
      </c>
      <c r="AC432" s="15" t="s">
        <v>2796</v>
      </c>
      <c r="AD432" s="15" t="s">
        <v>2796</v>
      </c>
      <c r="AE432" s="15" t="s">
        <v>2796</v>
      </c>
      <c r="AF432" s="15">
        <v>8.37</v>
      </c>
      <c r="AG432" s="15">
        <v>8.19</v>
      </c>
      <c r="AH432" s="15">
        <v>89.6</v>
      </c>
      <c r="AI432" s="18"/>
      <c r="AJ432" s="15" t="s">
        <v>2797</v>
      </c>
      <c r="AK432" s="15" t="s">
        <v>2787</v>
      </c>
      <c r="AL432" s="18"/>
      <c r="AM432" s="15">
        <v>660.0</v>
      </c>
      <c r="AN432" s="15" t="s">
        <v>2787</v>
      </c>
      <c r="AO432" s="18"/>
      <c r="AP432" s="15" t="s">
        <v>12875</v>
      </c>
      <c r="AQ432" s="15" t="s">
        <v>12876</v>
      </c>
      <c r="AR432" s="18"/>
      <c r="AS432" s="18"/>
      <c r="AT432" s="18"/>
      <c r="AU432" s="18"/>
      <c r="AV432" s="18"/>
      <c r="AW432" s="15" t="s">
        <v>12877</v>
      </c>
      <c r="AX432" s="18"/>
      <c r="AY432" s="15" t="s">
        <v>12878</v>
      </c>
      <c r="AZ432" s="15" t="s">
        <v>8440</v>
      </c>
      <c r="BA432" s="15" t="s">
        <v>2899</v>
      </c>
      <c r="BB432" s="15" t="s">
        <v>2807</v>
      </c>
      <c r="BC432" s="15" t="s">
        <v>12879</v>
      </c>
      <c r="BD432" s="15" t="s">
        <v>2807</v>
      </c>
      <c r="BE432" s="15" t="s">
        <v>2796</v>
      </c>
      <c r="BF432" s="18"/>
      <c r="BG432" s="18"/>
      <c r="BH432" s="18"/>
      <c r="BI432" s="15" t="s">
        <v>12880</v>
      </c>
      <c r="BJ432" s="19" t="s">
        <v>12881</v>
      </c>
      <c r="BK432" s="19" t="s">
        <v>12882</v>
      </c>
      <c r="BL432" s="18"/>
      <c r="BM432" s="19" t="s">
        <v>12883</v>
      </c>
      <c r="BN432" s="28" t="s">
        <v>2931</v>
      </c>
      <c r="BO432" s="19" t="s">
        <v>12884</v>
      </c>
      <c r="BP432" s="18"/>
      <c r="BQ432" s="15" t="s">
        <v>1321</v>
      </c>
      <c r="BR432" s="26"/>
      <c r="BS432" s="26"/>
      <c r="BT432" s="26"/>
      <c r="BU432" s="26"/>
      <c r="BV432" s="26"/>
      <c r="BW432" s="26"/>
      <c r="BX432" s="26"/>
      <c r="BY432" s="18" t="str">
        <f t="shared" si="107"/>
        <v>MECH</v>
      </c>
      <c r="BZ432" s="18" t="str">
        <f t="shared" si="100"/>
        <v/>
      </c>
      <c r="CA432" s="24" t="str">
        <f t="shared" si="101"/>
        <v>https://drive.google.com/open?id=1eC0yXwgGkPn6lloPJaHpeeKZY3qbSRT7</v>
      </c>
      <c r="CB432" s="15" t="s">
        <v>2908</v>
      </c>
      <c r="CC432" s="15" t="s">
        <v>2821</v>
      </c>
      <c r="CD432" s="25" t="s">
        <v>2797</v>
      </c>
      <c r="CE432" s="18"/>
      <c r="CF432" s="18"/>
      <c r="CG432" s="18"/>
    </row>
    <row r="433" ht="18.75" hidden="1" customHeight="1">
      <c r="A433" s="14">
        <v>44747.65851332176</v>
      </c>
      <c r="B433" s="15" t="s">
        <v>2385</v>
      </c>
      <c r="C433" s="16" t="s">
        <v>12885</v>
      </c>
      <c r="D433" s="15" t="str">
        <f>IFERROR(__xludf.DUMMYFUNCTION("QUERY(TY_ALL_2023_Batch!$A$1:$E$824, ""SELECT E WHERE C='""&amp;B433&amp;""'"", 0)"),"MECH")</f>
        <v>MECH</v>
      </c>
      <c r="E433" s="15" t="s">
        <v>3078</v>
      </c>
      <c r="F433" s="15" t="s">
        <v>12886</v>
      </c>
      <c r="G433" s="15" t="s">
        <v>12887</v>
      </c>
      <c r="H433" s="15" t="s">
        <v>2785</v>
      </c>
      <c r="I433" s="17">
        <v>36969.0</v>
      </c>
      <c r="J433" s="15">
        <v>2019.0</v>
      </c>
      <c r="K433" s="15" t="s">
        <v>2786</v>
      </c>
      <c r="L433" s="15" t="s">
        <v>2787</v>
      </c>
      <c r="M433" s="18"/>
      <c r="N433" s="15" t="s">
        <v>12888</v>
      </c>
      <c r="O433" s="15" t="s">
        <v>12889</v>
      </c>
      <c r="P433" s="19" t="s">
        <v>12890</v>
      </c>
      <c r="Q433" s="15">
        <v>7.35069008E9</v>
      </c>
      <c r="R433" s="15">
        <v>7.35069008E9</v>
      </c>
      <c r="S433" s="18"/>
      <c r="T433" s="15" t="s">
        <v>12886</v>
      </c>
      <c r="U433" s="15" t="s">
        <v>12891</v>
      </c>
      <c r="V433" s="15" t="s">
        <v>12892</v>
      </c>
      <c r="W433" s="15" t="s">
        <v>12893</v>
      </c>
      <c r="X433" s="15">
        <v>88.2</v>
      </c>
      <c r="Y433" s="15" t="s">
        <v>2795</v>
      </c>
      <c r="Z433" s="15">
        <v>9.61</v>
      </c>
      <c r="AA433" s="15">
        <v>9.52</v>
      </c>
      <c r="AB433" s="15">
        <v>8.04</v>
      </c>
      <c r="AC433" s="15">
        <v>8.66</v>
      </c>
      <c r="AD433" s="15" t="s">
        <v>2796</v>
      </c>
      <c r="AE433" s="15" t="s">
        <v>2796</v>
      </c>
      <c r="AF433" s="15">
        <v>8.9</v>
      </c>
      <c r="AG433" s="15">
        <v>8.36</v>
      </c>
      <c r="AH433" s="15">
        <v>66.31</v>
      </c>
      <c r="AI433" s="18"/>
      <c r="AJ433" s="15" t="s">
        <v>2787</v>
      </c>
      <c r="AK433" s="15" t="s">
        <v>2787</v>
      </c>
      <c r="AL433" s="15">
        <v>675.0</v>
      </c>
      <c r="AM433" s="15">
        <v>728.33</v>
      </c>
      <c r="AN433" s="15" t="s">
        <v>2797</v>
      </c>
      <c r="AO433" s="15">
        <v>0.0</v>
      </c>
      <c r="AP433" s="15">
        <v>0.0</v>
      </c>
      <c r="AQ433" s="15" t="s">
        <v>5356</v>
      </c>
      <c r="AR433" s="15" t="s">
        <v>12894</v>
      </c>
      <c r="AS433" s="18"/>
      <c r="AT433" s="18"/>
      <c r="AU433" s="15" t="s">
        <v>12122</v>
      </c>
      <c r="AV433" s="15" t="s">
        <v>12895</v>
      </c>
      <c r="AW433" s="15" t="s">
        <v>12896</v>
      </c>
      <c r="AX433" s="18"/>
      <c r="AY433" s="15" t="s">
        <v>12897</v>
      </c>
      <c r="AZ433" s="15" t="s">
        <v>5287</v>
      </c>
      <c r="BA433" s="15" t="s">
        <v>12898</v>
      </c>
      <c r="BB433" s="15" t="s">
        <v>4554</v>
      </c>
      <c r="BC433" s="15" t="s">
        <v>12899</v>
      </c>
      <c r="BD433" s="15" t="s">
        <v>2807</v>
      </c>
      <c r="BE433" s="15" t="s">
        <v>12900</v>
      </c>
      <c r="BF433" s="18"/>
      <c r="BG433" s="18"/>
      <c r="BH433" s="18"/>
      <c r="BI433" s="15"/>
      <c r="BJ433" s="19" t="s">
        <v>12901</v>
      </c>
      <c r="BK433" s="19" t="s">
        <v>12902</v>
      </c>
      <c r="BL433" s="19" t="s">
        <v>12903</v>
      </c>
      <c r="BM433" s="19" t="s">
        <v>12904</v>
      </c>
      <c r="BN433" s="19" t="s">
        <v>12905</v>
      </c>
      <c r="BO433" s="19" t="s">
        <v>12906</v>
      </c>
      <c r="BP433" s="19" t="s">
        <v>12907</v>
      </c>
      <c r="BQ433" s="15" t="s">
        <v>1321</v>
      </c>
      <c r="BR433" s="19" t="s">
        <v>12908</v>
      </c>
      <c r="BS433" s="26"/>
      <c r="BT433" s="19" t="s">
        <v>12909</v>
      </c>
      <c r="BU433" s="26"/>
      <c r="BV433" s="26"/>
      <c r="BW433" s="15" t="s">
        <v>12910</v>
      </c>
      <c r="BX433" s="26"/>
      <c r="BY433" s="18" t="str">
        <f t="shared" si="107"/>
        <v>MECH</v>
      </c>
      <c r="BZ433" s="24" t="str">
        <f t="shared" si="100"/>
        <v>https://drive.google.com/open?id=1yejR-Aw6gJI7efVaGvI0_0BAaUfHcsrG</v>
      </c>
      <c r="CA433" s="24" t="str">
        <f t="shared" si="101"/>
        <v>https://drive.google.com/open?id=16FnGh9f-9dtfirOHBCXWJSycLTYvLv3g</v>
      </c>
      <c r="CB433" s="15" t="s">
        <v>2821</v>
      </c>
      <c r="CC433" s="15" t="s">
        <v>2821</v>
      </c>
      <c r="CD433" s="25" t="s">
        <v>2909</v>
      </c>
      <c r="CE433" s="18"/>
      <c r="CF433" s="18"/>
      <c r="CG433" s="18"/>
    </row>
    <row r="434" ht="18.75" hidden="1" customHeight="1">
      <c r="A434" s="14">
        <v>44776.74032762731</v>
      </c>
      <c r="B434" s="15" t="s">
        <v>2361</v>
      </c>
      <c r="C434" s="16" t="s">
        <v>12911</v>
      </c>
      <c r="D434" s="15" t="str">
        <f>IFERROR(__xludf.DUMMYFUNCTION("QUERY(TY_ALL_2023_Batch!$A$1:$E$824, ""SELECT E WHERE C='""&amp;B434&amp;""'"", 0)"),"MECH")</f>
        <v>MECH</v>
      </c>
      <c r="E434" s="15" t="s">
        <v>12912</v>
      </c>
      <c r="F434" s="15" t="s">
        <v>12913</v>
      </c>
      <c r="G434" s="15" t="s">
        <v>5457</v>
      </c>
      <c r="H434" s="15" t="s">
        <v>2785</v>
      </c>
      <c r="I434" s="17">
        <v>37148.0</v>
      </c>
      <c r="J434" s="15">
        <v>2019.0</v>
      </c>
      <c r="K434" s="15" t="s">
        <v>2786</v>
      </c>
      <c r="L434" s="15" t="s">
        <v>2787</v>
      </c>
      <c r="M434" s="18"/>
      <c r="N434" s="15" t="s">
        <v>12914</v>
      </c>
      <c r="O434" s="15" t="s">
        <v>2361</v>
      </c>
      <c r="P434" s="19" t="s">
        <v>12915</v>
      </c>
      <c r="Q434" s="15">
        <v>7.020534516E9</v>
      </c>
      <c r="R434" s="15">
        <v>7.020534516E9</v>
      </c>
      <c r="S434" s="15">
        <v>9.588410072E9</v>
      </c>
      <c r="T434" s="15" t="s">
        <v>12913</v>
      </c>
      <c r="U434" s="15" t="s">
        <v>12916</v>
      </c>
      <c r="V434" s="15" t="s">
        <v>12917</v>
      </c>
      <c r="W434" s="15" t="s">
        <v>12918</v>
      </c>
      <c r="X434" s="15">
        <v>79.6</v>
      </c>
      <c r="Y434" s="15" t="s">
        <v>2795</v>
      </c>
      <c r="Z434" s="15">
        <v>9.57</v>
      </c>
      <c r="AA434" s="15">
        <v>9.0</v>
      </c>
      <c r="AB434" s="15">
        <v>8.81</v>
      </c>
      <c r="AC434" s="15">
        <v>9.29</v>
      </c>
      <c r="AD434" s="15" t="s">
        <v>2796</v>
      </c>
      <c r="AE434" s="15" t="s">
        <v>2796</v>
      </c>
      <c r="AF434" s="15">
        <v>9.0</v>
      </c>
      <c r="AG434" s="15">
        <v>9.63</v>
      </c>
      <c r="AH434" s="15">
        <v>73.38</v>
      </c>
      <c r="AI434" s="18"/>
      <c r="AJ434" s="15" t="s">
        <v>2787</v>
      </c>
      <c r="AK434" s="15" t="s">
        <v>2787</v>
      </c>
      <c r="AL434" s="15">
        <v>453.33</v>
      </c>
      <c r="AM434" s="15">
        <v>490.0</v>
      </c>
      <c r="AN434" s="15" t="s">
        <v>2797</v>
      </c>
      <c r="AO434" s="18"/>
      <c r="AP434" s="18"/>
      <c r="AQ434" s="15" t="s">
        <v>12919</v>
      </c>
      <c r="AR434" s="15"/>
      <c r="AS434" s="15"/>
      <c r="AT434" s="18"/>
      <c r="AU434" s="15"/>
      <c r="AV434" s="15"/>
      <c r="AW434" s="15" t="s">
        <v>12920</v>
      </c>
      <c r="AX434" s="18"/>
      <c r="AY434" s="15" t="s">
        <v>12921</v>
      </c>
      <c r="AZ434" s="15" t="s">
        <v>3960</v>
      </c>
      <c r="BA434" s="15" t="s">
        <v>2870</v>
      </c>
      <c r="BB434" s="15" t="s">
        <v>2807</v>
      </c>
      <c r="BC434" s="15" t="s">
        <v>12922</v>
      </c>
      <c r="BD434" s="15" t="s">
        <v>2807</v>
      </c>
      <c r="BE434" s="15" t="s">
        <v>12923</v>
      </c>
      <c r="BF434" s="15" t="s">
        <v>12924</v>
      </c>
      <c r="BG434" s="18"/>
      <c r="BH434" s="15" t="s">
        <v>12925</v>
      </c>
      <c r="BI434" s="15" t="s">
        <v>12926</v>
      </c>
      <c r="BJ434" s="19" t="s">
        <v>12927</v>
      </c>
      <c r="BK434" s="19" t="s">
        <v>12928</v>
      </c>
      <c r="BL434" s="19" t="s">
        <v>12929</v>
      </c>
      <c r="BM434" s="19" t="s">
        <v>12930</v>
      </c>
      <c r="BN434" s="19" t="s">
        <v>12931</v>
      </c>
      <c r="BO434" s="19" t="s">
        <v>12932</v>
      </c>
      <c r="BP434" s="18"/>
      <c r="BQ434" s="15" t="s">
        <v>1321</v>
      </c>
      <c r="BR434" s="26"/>
      <c r="BS434" s="26"/>
      <c r="BT434" s="19" t="s">
        <v>12933</v>
      </c>
      <c r="BU434" s="26"/>
      <c r="BV434" s="26"/>
      <c r="BW434" s="15" t="s">
        <v>12934</v>
      </c>
      <c r="BX434" s="26"/>
      <c r="BY434" s="18" t="str">
        <f t="shared" si="107"/>
        <v>MECH</v>
      </c>
      <c r="BZ434" s="24" t="str">
        <f t="shared" si="100"/>
        <v>https://drive.google.com/open?id=12cxcXdbHUySiuotgmpeqUQhI09Rp_XVX</v>
      </c>
      <c r="CA434" s="24" t="str">
        <f t="shared" si="101"/>
        <v>https://drive.google.com/open?id=1iMtFzwctG-308jRScrsXlXDwiZElP57i</v>
      </c>
      <c r="CB434" s="15" t="s">
        <v>2821</v>
      </c>
      <c r="CC434" s="15" t="s">
        <v>2821</v>
      </c>
      <c r="CD434" s="25" t="s">
        <v>2909</v>
      </c>
      <c r="CE434" s="18"/>
      <c r="CF434" s="18"/>
      <c r="CG434" s="18"/>
    </row>
    <row r="435" ht="18.75" hidden="1" customHeight="1">
      <c r="A435" s="14">
        <v>44772.42078019676</v>
      </c>
      <c r="B435" s="15" t="s">
        <v>2418</v>
      </c>
      <c r="C435" s="16" t="s">
        <v>12935</v>
      </c>
      <c r="D435" s="15" t="str">
        <f>IFERROR(__xludf.DUMMYFUNCTION("QUERY(TY_ALL_2023_Batch!$A$1:$E$824, ""SELECT E WHERE C='""&amp;B435&amp;""'"", 0)"),"MECH")</f>
        <v>MECH</v>
      </c>
      <c r="E435" s="15" t="s">
        <v>8174</v>
      </c>
      <c r="F435" s="15" t="s">
        <v>12936</v>
      </c>
      <c r="G435" s="15" t="s">
        <v>12937</v>
      </c>
      <c r="H435" s="15" t="s">
        <v>2785</v>
      </c>
      <c r="I435" s="17">
        <v>37258.0</v>
      </c>
      <c r="J435" s="15">
        <v>2019.0</v>
      </c>
      <c r="K435" s="15" t="s">
        <v>2786</v>
      </c>
      <c r="L435" s="15" t="s">
        <v>2787</v>
      </c>
      <c r="M435" s="18"/>
      <c r="N435" s="15" t="s">
        <v>12938</v>
      </c>
      <c r="O435" s="15" t="s">
        <v>2418</v>
      </c>
      <c r="P435" s="19" t="s">
        <v>12939</v>
      </c>
      <c r="Q435" s="15">
        <v>7.558322174E9</v>
      </c>
      <c r="R435" s="15">
        <v>8.888724412E9</v>
      </c>
      <c r="S435" s="15">
        <v>8.888724412E9</v>
      </c>
      <c r="T435" s="15" t="s">
        <v>12940</v>
      </c>
      <c r="U435" s="15" t="s">
        <v>12941</v>
      </c>
      <c r="V435" s="15" t="s">
        <v>12942</v>
      </c>
      <c r="W435" s="18"/>
      <c r="X435" s="15">
        <v>74.2</v>
      </c>
      <c r="Y435" s="15" t="s">
        <v>2795</v>
      </c>
      <c r="Z435" s="15">
        <v>9.1</v>
      </c>
      <c r="AA435" s="15">
        <v>8.67</v>
      </c>
      <c r="AB435" s="15">
        <v>7.38</v>
      </c>
      <c r="AC435" s="15">
        <v>8.29</v>
      </c>
      <c r="AD435" s="15" t="s">
        <v>2796</v>
      </c>
      <c r="AE435" s="15" t="s">
        <v>2796</v>
      </c>
      <c r="AF435" s="15">
        <v>8.63</v>
      </c>
      <c r="AG435" s="15">
        <v>8.0</v>
      </c>
      <c r="AH435" s="15">
        <v>74.31</v>
      </c>
      <c r="AI435" s="18"/>
      <c r="AJ435" s="15" t="s">
        <v>2787</v>
      </c>
      <c r="AK435" s="15" t="s">
        <v>2787</v>
      </c>
      <c r="AL435" s="15">
        <v>623.33</v>
      </c>
      <c r="AM435" s="15">
        <v>658.33</v>
      </c>
      <c r="AN435" s="15" t="s">
        <v>2797</v>
      </c>
      <c r="AO435" s="15" t="s">
        <v>8304</v>
      </c>
      <c r="AP435" s="15" t="s">
        <v>8304</v>
      </c>
      <c r="AQ435" s="15" t="s">
        <v>12943</v>
      </c>
      <c r="AR435" s="18"/>
      <c r="AS435" s="15" t="s">
        <v>12944</v>
      </c>
      <c r="AT435" s="18"/>
      <c r="AU435" s="18"/>
      <c r="AV435" s="15" t="s">
        <v>12945</v>
      </c>
      <c r="AW435" s="15" t="s">
        <v>12946</v>
      </c>
      <c r="AX435" s="18"/>
      <c r="AY435" s="15" t="s">
        <v>12947</v>
      </c>
      <c r="AZ435" s="15" t="s">
        <v>8440</v>
      </c>
      <c r="BA435" s="15" t="s">
        <v>4085</v>
      </c>
      <c r="BB435" s="15" t="s">
        <v>3462</v>
      </c>
      <c r="BC435" s="15" t="s">
        <v>2808</v>
      </c>
      <c r="BD435" s="15" t="s">
        <v>2807</v>
      </c>
      <c r="BE435" s="15" t="s">
        <v>2796</v>
      </c>
      <c r="BF435" s="18"/>
      <c r="BG435" s="18"/>
      <c r="BH435" s="18"/>
      <c r="BI435" s="18"/>
      <c r="BJ435" s="19" t="s">
        <v>12948</v>
      </c>
      <c r="BK435" s="19" t="s">
        <v>12949</v>
      </c>
      <c r="BL435" s="19" t="s">
        <v>12950</v>
      </c>
      <c r="BM435" s="19" t="s">
        <v>12951</v>
      </c>
      <c r="BN435" s="19" t="s">
        <v>12952</v>
      </c>
      <c r="BO435" s="19" t="s">
        <v>12953</v>
      </c>
      <c r="BP435" s="19" t="s">
        <v>12954</v>
      </c>
      <c r="BQ435" s="15" t="s">
        <v>1321</v>
      </c>
      <c r="BR435" s="26"/>
      <c r="BS435" s="26"/>
      <c r="BT435" s="26"/>
      <c r="BU435" s="26"/>
      <c r="BV435" s="26"/>
      <c r="BW435" s="15" t="s">
        <v>12955</v>
      </c>
      <c r="BX435" s="26"/>
      <c r="BY435" s="18" t="str">
        <f t="shared" si="107"/>
        <v>MECH</v>
      </c>
      <c r="BZ435" s="24" t="str">
        <f t="shared" si="100"/>
        <v>https://drive.google.com/open?id=1R0GFE0KoYX2Gm0CemzPlNrbUqr4hQVjk</v>
      </c>
      <c r="CA435" s="24" t="str">
        <f t="shared" si="101"/>
        <v>https://drive.google.com/open?id=1w8aiBdnOKOgMTsrbWiP70VjyP6d_wXud</v>
      </c>
      <c r="CB435" s="15" t="s">
        <v>2821</v>
      </c>
      <c r="CC435" s="15" t="s">
        <v>2821</v>
      </c>
      <c r="CD435" s="25" t="s">
        <v>2797</v>
      </c>
      <c r="CE435" s="18"/>
      <c r="CF435" s="18"/>
      <c r="CG435" s="18"/>
    </row>
    <row r="436" ht="18.75" hidden="1" customHeight="1">
      <c r="A436" s="14">
        <v>44735.889793483795</v>
      </c>
      <c r="B436" s="15" t="s">
        <v>1319</v>
      </c>
      <c r="C436" s="16" t="s">
        <v>12956</v>
      </c>
      <c r="D436" s="15" t="str">
        <f>IFERROR(__xludf.DUMMYFUNCTION("QUERY(TY_ALL_2023_Batch!$A$1:$E$824, ""SELECT E WHERE C='""&amp;B436&amp;""'"", 0)"),"MECH")</f>
        <v>MECH</v>
      </c>
      <c r="E436" s="15" t="s">
        <v>3328</v>
      </c>
      <c r="F436" s="15" t="s">
        <v>3119</v>
      </c>
      <c r="G436" s="15" t="s">
        <v>9097</v>
      </c>
      <c r="H436" s="15" t="s">
        <v>2785</v>
      </c>
      <c r="I436" s="17">
        <v>37307.0</v>
      </c>
      <c r="J436" s="15">
        <v>2020.0</v>
      </c>
      <c r="K436" s="15" t="s">
        <v>2941</v>
      </c>
      <c r="L436" s="15" t="s">
        <v>2787</v>
      </c>
      <c r="M436" s="18"/>
      <c r="N436" s="15" t="s">
        <v>12957</v>
      </c>
      <c r="O436" s="15" t="s">
        <v>12958</v>
      </c>
      <c r="P436" s="19" t="s">
        <v>12959</v>
      </c>
      <c r="Q436" s="15">
        <v>8.60570874E9</v>
      </c>
      <c r="R436" s="15">
        <v>8.60570874E9</v>
      </c>
      <c r="S436" s="15">
        <v>9.623772681E9</v>
      </c>
      <c r="T436" s="15" t="s">
        <v>12960</v>
      </c>
      <c r="U436" s="15" t="s">
        <v>12961</v>
      </c>
      <c r="V436" s="15" t="s">
        <v>12962</v>
      </c>
      <c r="W436" s="15" t="s">
        <v>12963</v>
      </c>
      <c r="X436" s="15">
        <v>91.4</v>
      </c>
      <c r="Y436" s="15" t="s">
        <v>2948</v>
      </c>
      <c r="Z436" s="15">
        <v>8.67</v>
      </c>
      <c r="AA436" s="15">
        <v>8.77</v>
      </c>
      <c r="AB436" s="15" t="s">
        <v>2796</v>
      </c>
      <c r="AC436" s="15" t="s">
        <v>2796</v>
      </c>
      <c r="AD436" s="15" t="s">
        <v>2796</v>
      </c>
      <c r="AE436" s="15" t="s">
        <v>2796</v>
      </c>
      <c r="AF436" s="18"/>
      <c r="AG436" s="18"/>
      <c r="AH436" s="18"/>
      <c r="AI436" s="15">
        <v>93.13</v>
      </c>
      <c r="AJ436" s="15" t="s">
        <v>2787</v>
      </c>
      <c r="AK436" s="15" t="s">
        <v>2787</v>
      </c>
      <c r="AL436" s="15">
        <v>495.0</v>
      </c>
      <c r="AM436" s="15">
        <v>565.83</v>
      </c>
      <c r="AN436" s="15" t="s">
        <v>2797</v>
      </c>
      <c r="AO436" s="18"/>
      <c r="AP436" s="18"/>
      <c r="AQ436" s="15" t="s">
        <v>12964</v>
      </c>
      <c r="AR436" s="15" t="s">
        <v>12965</v>
      </c>
      <c r="AS436" s="18"/>
      <c r="AT436" s="18"/>
      <c r="AU436" s="18"/>
      <c r="AV436" s="15" t="s">
        <v>12966</v>
      </c>
      <c r="AW436" s="15" t="s">
        <v>12967</v>
      </c>
      <c r="AX436" s="18"/>
      <c r="AY436" s="15" t="s">
        <v>12968</v>
      </c>
      <c r="AZ436" s="15" t="s">
        <v>3960</v>
      </c>
      <c r="BA436" s="15" t="s">
        <v>2870</v>
      </c>
      <c r="BB436" s="15" t="s">
        <v>2807</v>
      </c>
      <c r="BC436" s="15" t="s">
        <v>2808</v>
      </c>
      <c r="BD436" s="15" t="s">
        <v>2842</v>
      </c>
      <c r="BE436" s="15" t="s">
        <v>12969</v>
      </c>
      <c r="BF436" s="18"/>
      <c r="BG436" s="18"/>
      <c r="BH436" s="18"/>
      <c r="BI436" s="15" t="s">
        <v>12970</v>
      </c>
      <c r="BJ436" s="19" t="s">
        <v>12971</v>
      </c>
      <c r="BK436" s="19" t="s">
        <v>12972</v>
      </c>
      <c r="BL436" s="19" t="s">
        <v>12973</v>
      </c>
      <c r="BM436" s="19" t="s">
        <v>12974</v>
      </c>
      <c r="BN436" s="19" t="s">
        <v>12975</v>
      </c>
      <c r="BO436" s="19" t="s">
        <v>12976</v>
      </c>
      <c r="BP436" s="19" t="s">
        <v>12977</v>
      </c>
      <c r="BQ436" s="15" t="s">
        <v>1321</v>
      </c>
      <c r="BR436" s="26"/>
      <c r="BS436" s="26"/>
      <c r="BT436" s="26"/>
      <c r="BU436" s="26"/>
      <c r="BV436" s="26"/>
      <c r="BW436" s="26"/>
      <c r="BX436" s="26"/>
      <c r="BY436" s="18" t="str">
        <f t="shared" si="107"/>
        <v>MECH</v>
      </c>
      <c r="BZ436" s="24" t="str">
        <f t="shared" si="100"/>
        <v>https://drive.google.com/open?id=1AtI4yj2X2MKdEChSjJDGyP0pdCSFyHXp</v>
      </c>
      <c r="CA436" s="24" t="str">
        <f t="shared" si="101"/>
        <v>https://drive.google.com/open?id=1Lhjknv3FUVGnJorLMmInbZSi8IfY-KGv</v>
      </c>
      <c r="CB436" s="15" t="s">
        <v>2821</v>
      </c>
      <c r="CC436" s="15" t="s">
        <v>2821</v>
      </c>
      <c r="CD436" s="25" t="s">
        <v>2797</v>
      </c>
      <c r="CE436" s="18"/>
      <c r="CF436" s="18"/>
      <c r="CG436" s="18"/>
    </row>
    <row r="437" ht="18.75" hidden="1" customHeight="1">
      <c r="A437" s="14">
        <v>44742.94521038195</v>
      </c>
      <c r="B437" s="15" t="s">
        <v>2346</v>
      </c>
      <c r="C437" s="16" t="s">
        <v>12978</v>
      </c>
      <c r="D437" s="15" t="str">
        <f>IFERROR(__xludf.DUMMYFUNCTION("QUERY(TY_ALL_2023_Batch!$A$1:$E$824, ""SELECT E WHERE C='""&amp;B437&amp;""'"", 0)"),"MECH")</f>
        <v>MECH</v>
      </c>
      <c r="E437" s="15" t="s">
        <v>3192</v>
      </c>
      <c r="F437" s="15" t="s">
        <v>2939</v>
      </c>
      <c r="G437" s="15" t="s">
        <v>12979</v>
      </c>
      <c r="H437" s="15" t="s">
        <v>2785</v>
      </c>
      <c r="I437" s="17">
        <v>36943.0</v>
      </c>
      <c r="J437" s="15">
        <v>2019.0</v>
      </c>
      <c r="K437" s="15" t="s">
        <v>2786</v>
      </c>
      <c r="L437" s="15" t="s">
        <v>2787</v>
      </c>
      <c r="M437" s="18"/>
      <c r="N437" s="15" t="s">
        <v>12980</v>
      </c>
      <c r="O437" s="15" t="s">
        <v>2346</v>
      </c>
      <c r="P437" s="19" t="s">
        <v>12981</v>
      </c>
      <c r="Q437" s="15">
        <v>9.022071431E9</v>
      </c>
      <c r="R437" s="15">
        <v>9.022071431E9</v>
      </c>
      <c r="S437" s="15">
        <v>8.530324247E9</v>
      </c>
      <c r="T437" s="15" t="s">
        <v>2939</v>
      </c>
      <c r="U437" s="15" t="s">
        <v>12982</v>
      </c>
      <c r="V437" s="15" t="s">
        <v>12983</v>
      </c>
      <c r="W437" s="15" t="s">
        <v>12984</v>
      </c>
      <c r="X437" s="15">
        <v>91.2</v>
      </c>
      <c r="Y437" s="15" t="s">
        <v>2795</v>
      </c>
      <c r="Z437" s="15">
        <v>8.43</v>
      </c>
      <c r="AA437" s="15">
        <v>8.43</v>
      </c>
      <c r="AB437" s="15" t="s">
        <v>2796</v>
      </c>
      <c r="AC437" s="15" t="s">
        <v>2796</v>
      </c>
      <c r="AD437" s="15" t="s">
        <v>2796</v>
      </c>
      <c r="AE437" s="15" t="s">
        <v>2796</v>
      </c>
      <c r="AF437" s="15">
        <v>7.71</v>
      </c>
      <c r="AG437" s="15">
        <v>7.71</v>
      </c>
      <c r="AH437" s="15">
        <v>82.0</v>
      </c>
      <c r="AI437" s="18"/>
      <c r="AJ437" s="15" t="s">
        <v>2787</v>
      </c>
      <c r="AK437" s="15" t="s">
        <v>2787</v>
      </c>
      <c r="AL437" s="15">
        <v>400.0</v>
      </c>
      <c r="AM437" s="15">
        <v>500.0</v>
      </c>
      <c r="AN437" s="15" t="s">
        <v>2797</v>
      </c>
      <c r="AO437" s="15" t="s">
        <v>2796</v>
      </c>
      <c r="AP437" s="15" t="s">
        <v>2796</v>
      </c>
      <c r="AQ437" s="15" t="s">
        <v>12985</v>
      </c>
      <c r="AR437" s="15" t="s">
        <v>12986</v>
      </c>
      <c r="AS437" s="18"/>
      <c r="AT437" s="18"/>
      <c r="AU437" s="15" t="s">
        <v>12987</v>
      </c>
      <c r="AV437" s="15" t="s">
        <v>2796</v>
      </c>
      <c r="AW437" s="15" t="s">
        <v>12988</v>
      </c>
      <c r="AX437" s="15" t="s">
        <v>12989</v>
      </c>
      <c r="AY437" s="15" t="s">
        <v>12990</v>
      </c>
      <c r="AZ437" s="15" t="s">
        <v>9648</v>
      </c>
      <c r="BA437" s="15" t="s">
        <v>2899</v>
      </c>
      <c r="BB437" s="15" t="s">
        <v>2807</v>
      </c>
      <c r="BC437" s="15" t="s">
        <v>12991</v>
      </c>
      <c r="BD437" s="15" t="s">
        <v>2807</v>
      </c>
      <c r="BE437" s="15" t="s">
        <v>2796</v>
      </c>
      <c r="BF437" s="15" t="s">
        <v>2796</v>
      </c>
      <c r="BG437" s="15" t="s">
        <v>2796</v>
      </c>
      <c r="BH437" s="15" t="s">
        <v>2796</v>
      </c>
      <c r="BI437" s="15" t="s">
        <v>2796</v>
      </c>
      <c r="BJ437" s="19" t="s">
        <v>12992</v>
      </c>
      <c r="BK437" s="19" t="s">
        <v>12993</v>
      </c>
      <c r="BL437" s="19" t="s">
        <v>12994</v>
      </c>
      <c r="BM437" s="19" t="s">
        <v>12995</v>
      </c>
      <c r="BN437" s="19" t="s">
        <v>12996</v>
      </c>
      <c r="BO437" s="19" t="s">
        <v>12997</v>
      </c>
      <c r="BP437" s="18"/>
      <c r="BQ437" s="15" t="s">
        <v>1321</v>
      </c>
      <c r="BR437" s="26"/>
      <c r="BS437" s="26"/>
      <c r="BT437" s="19" t="s">
        <v>12998</v>
      </c>
      <c r="BU437" s="26"/>
      <c r="BV437" s="26"/>
      <c r="BW437" s="15" t="s">
        <v>12999</v>
      </c>
      <c r="BX437" s="26"/>
      <c r="BY437" s="18" t="str">
        <f t="shared" si="107"/>
        <v>MECH</v>
      </c>
      <c r="BZ437" s="24" t="str">
        <f t="shared" si="100"/>
        <v>https://drive.google.com/open?id=1JlFQ-IMwfATXv6CYoGyKW-FOZV2wQlME</v>
      </c>
      <c r="CA437" s="24" t="str">
        <f t="shared" si="101"/>
        <v>https://drive.google.com/open?id=15v1yKu3Lie57q0mrdcSO73iOro0oMi4Z</v>
      </c>
      <c r="CB437" s="15" t="s">
        <v>2908</v>
      </c>
      <c r="CC437" s="15" t="s">
        <v>2821</v>
      </c>
      <c r="CD437" s="25" t="s">
        <v>2909</v>
      </c>
      <c r="CE437" s="18"/>
      <c r="CF437" s="18"/>
      <c r="CG437" s="18"/>
    </row>
    <row r="438" ht="18.75" hidden="1" customHeight="1">
      <c r="A438" s="14">
        <v>44736.42951657408</v>
      </c>
      <c r="B438" s="15" t="s">
        <v>1413</v>
      </c>
      <c r="C438" s="16" t="s">
        <v>13000</v>
      </c>
      <c r="D438" s="15" t="str">
        <f>IFERROR(__xludf.DUMMYFUNCTION("QUERY(TY_ALL_2023_Batch!$A$1:$E$824, ""SELECT E WHERE C='""&amp;B438&amp;""'"", 0)"),"MECH")</f>
        <v>MECH</v>
      </c>
      <c r="E438" s="15" t="s">
        <v>13001</v>
      </c>
      <c r="F438" s="15" t="s">
        <v>13002</v>
      </c>
      <c r="G438" s="15" t="s">
        <v>13003</v>
      </c>
      <c r="H438" s="15" t="s">
        <v>2785</v>
      </c>
      <c r="I438" s="17">
        <v>37168.0</v>
      </c>
      <c r="J438" s="15">
        <v>2020.0</v>
      </c>
      <c r="K438" s="15" t="s">
        <v>2941</v>
      </c>
      <c r="L438" s="15" t="s">
        <v>2787</v>
      </c>
      <c r="M438" s="18"/>
      <c r="N438" s="15" t="s">
        <v>13004</v>
      </c>
      <c r="O438" s="15" t="s">
        <v>1413</v>
      </c>
      <c r="P438" s="19" t="s">
        <v>13005</v>
      </c>
      <c r="Q438" s="15">
        <v>9.08241274E9</v>
      </c>
      <c r="R438" s="15">
        <v>7.666038736E9</v>
      </c>
      <c r="S438" s="18"/>
      <c r="T438" s="15" t="s">
        <v>13006</v>
      </c>
      <c r="U438" s="15" t="s">
        <v>13007</v>
      </c>
      <c r="V438" s="15" t="s">
        <v>13008</v>
      </c>
      <c r="W438" s="15" t="s">
        <v>13009</v>
      </c>
      <c r="X438" s="15">
        <v>71.0</v>
      </c>
      <c r="Y438" s="15" t="s">
        <v>2948</v>
      </c>
      <c r="Z438" s="15">
        <v>9.38</v>
      </c>
      <c r="AA438" s="15">
        <v>9.52</v>
      </c>
      <c r="AB438" s="15" t="s">
        <v>2796</v>
      </c>
      <c r="AC438" s="15" t="s">
        <v>2796</v>
      </c>
      <c r="AD438" s="15" t="s">
        <v>2796</v>
      </c>
      <c r="AE438" s="15" t="s">
        <v>2796</v>
      </c>
      <c r="AF438" s="18"/>
      <c r="AG438" s="18"/>
      <c r="AH438" s="18"/>
      <c r="AI438" s="15">
        <v>92.46</v>
      </c>
      <c r="AJ438" s="15" t="s">
        <v>2787</v>
      </c>
      <c r="AK438" s="15" t="s">
        <v>2787</v>
      </c>
      <c r="AL438" s="18"/>
      <c r="AM438" s="18"/>
      <c r="AN438" s="15" t="s">
        <v>2797</v>
      </c>
      <c r="AO438" s="18"/>
      <c r="AP438" s="18"/>
      <c r="AQ438" s="15" t="s">
        <v>13010</v>
      </c>
      <c r="AR438" s="18"/>
      <c r="AS438" s="18"/>
      <c r="AT438" s="18"/>
      <c r="AU438" s="18"/>
      <c r="AV438" s="18"/>
      <c r="AW438" s="15" t="s">
        <v>13011</v>
      </c>
      <c r="AX438" s="18"/>
      <c r="AY438" s="15" t="s">
        <v>13012</v>
      </c>
      <c r="AZ438" s="15" t="s">
        <v>8440</v>
      </c>
      <c r="BA438" s="15" t="s">
        <v>10710</v>
      </c>
      <c r="BB438" s="15" t="s">
        <v>2807</v>
      </c>
      <c r="BC438" s="15" t="s">
        <v>13013</v>
      </c>
      <c r="BD438" s="15" t="s">
        <v>2842</v>
      </c>
      <c r="BE438" s="15" t="s">
        <v>13014</v>
      </c>
      <c r="BF438" s="15" t="s">
        <v>13015</v>
      </c>
      <c r="BG438" s="18"/>
      <c r="BH438" s="18"/>
      <c r="BI438" s="18"/>
      <c r="BJ438" s="19" t="s">
        <v>13016</v>
      </c>
      <c r="BK438" s="19" t="s">
        <v>13017</v>
      </c>
      <c r="BL438" s="18"/>
      <c r="BM438" s="18"/>
      <c r="BN438" s="28" t="s">
        <v>2931</v>
      </c>
      <c r="BO438" s="19" t="s">
        <v>13018</v>
      </c>
      <c r="BP438" s="18"/>
      <c r="BQ438" s="15" t="s">
        <v>1321</v>
      </c>
      <c r="BR438" s="26"/>
      <c r="BS438" s="26"/>
      <c r="BT438" s="26"/>
      <c r="BU438" s="26"/>
      <c r="BV438" s="26"/>
      <c r="BW438" s="26"/>
      <c r="BX438" s="26"/>
      <c r="BY438" s="18" t="str">
        <f t="shared" si="107"/>
        <v>MECH</v>
      </c>
      <c r="BZ438" s="18" t="str">
        <f t="shared" si="100"/>
        <v/>
      </c>
      <c r="CA438" s="18" t="str">
        <f t="shared" si="101"/>
        <v/>
      </c>
      <c r="CB438" s="15" t="s">
        <v>2908</v>
      </c>
      <c r="CC438" s="15" t="s">
        <v>2908</v>
      </c>
      <c r="CD438" s="25" t="s">
        <v>2797</v>
      </c>
      <c r="CE438" s="18"/>
      <c r="CF438" s="18"/>
      <c r="CG438" s="18"/>
    </row>
    <row r="439" ht="18.75" hidden="1" customHeight="1">
      <c r="A439" s="14">
        <v>44773.33647204861</v>
      </c>
      <c r="B439" s="15" t="s">
        <v>2469</v>
      </c>
      <c r="C439" s="16" t="s">
        <v>13019</v>
      </c>
      <c r="D439" s="15" t="str">
        <f>IFERROR(__xludf.DUMMYFUNCTION("QUERY(TY_ALL_2023_Batch!$A$1:$E$824, ""SELECT E WHERE C='""&amp;B439&amp;""'"", 0)"),"MECH")</f>
        <v>MECH</v>
      </c>
      <c r="E439" s="15" t="s">
        <v>7737</v>
      </c>
      <c r="F439" s="15" t="s">
        <v>13020</v>
      </c>
      <c r="G439" s="15" t="s">
        <v>13021</v>
      </c>
      <c r="H439" s="15" t="s">
        <v>2785</v>
      </c>
      <c r="I439" s="17">
        <v>37082.0</v>
      </c>
      <c r="J439" s="15">
        <v>2019.0</v>
      </c>
      <c r="K439" s="15" t="s">
        <v>2786</v>
      </c>
      <c r="L439" s="15" t="s">
        <v>2787</v>
      </c>
      <c r="M439" s="18"/>
      <c r="N439" s="15" t="s">
        <v>13022</v>
      </c>
      <c r="O439" s="15" t="s">
        <v>2469</v>
      </c>
      <c r="P439" s="19" t="s">
        <v>13023</v>
      </c>
      <c r="Q439" s="15">
        <v>9.022004425E9</v>
      </c>
      <c r="R439" s="15">
        <v>9.022004425E9</v>
      </c>
      <c r="S439" s="15">
        <v>9.532004792E9</v>
      </c>
      <c r="T439" s="15" t="s">
        <v>13024</v>
      </c>
      <c r="U439" s="15" t="s">
        <v>13025</v>
      </c>
      <c r="V439" s="15" t="s">
        <v>13026</v>
      </c>
      <c r="W439" s="15" t="s">
        <v>13027</v>
      </c>
      <c r="X439" s="15">
        <v>82.8</v>
      </c>
      <c r="Y439" s="15" t="s">
        <v>2795</v>
      </c>
      <c r="Z439" s="15">
        <v>8.29</v>
      </c>
      <c r="AA439" s="15">
        <v>8.33</v>
      </c>
      <c r="AB439" s="15">
        <v>8.14</v>
      </c>
      <c r="AC439" s="15">
        <v>8.48</v>
      </c>
      <c r="AD439" s="15" t="s">
        <v>2796</v>
      </c>
      <c r="AE439" s="15" t="s">
        <v>2796</v>
      </c>
      <c r="AF439" s="15">
        <v>7.68</v>
      </c>
      <c r="AG439" s="15">
        <v>7.48</v>
      </c>
      <c r="AH439" s="15">
        <v>78.7</v>
      </c>
      <c r="AI439" s="18"/>
      <c r="AJ439" s="15" t="s">
        <v>2787</v>
      </c>
      <c r="AK439" s="15" t="s">
        <v>2787</v>
      </c>
      <c r="AL439" s="15">
        <v>468.0</v>
      </c>
      <c r="AM439" s="15">
        <v>485.0</v>
      </c>
      <c r="AN439" s="15" t="s">
        <v>2797</v>
      </c>
      <c r="AO439" s="15" t="s">
        <v>2796</v>
      </c>
      <c r="AP439" s="15" t="s">
        <v>2796</v>
      </c>
      <c r="AQ439" s="15" t="s">
        <v>13028</v>
      </c>
      <c r="AR439" s="15" t="s">
        <v>13029</v>
      </c>
      <c r="AS439" s="15" t="s">
        <v>13030</v>
      </c>
      <c r="AT439" s="15" t="s">
        <v>2796</v>
      </c>
      <c r="AU439" s="15" t="s">
        <v>2796</v>
      </c>
      <c r="AV439" s="15" t="s">
        <v>13031</v>
      </c>
      <c r="AW439" s="15" t="s">
        <v>13032</v>
      </c>
      <c r="AX439" s="15" t="s">
        <v>2796</v>
      </c>
      <c r="AY439" s="15" t="s">
        <v>13033</v>
      </c>
      <c r="AZ439" s="15" t="s">
        <v>3960</v>
      </c>
      <c r="BA439" s="15" t="s">
        <v>2899</v>
      </c>
      <c r="BB439" s="15" t="s">
        <v>2807</v>
      </c>
      <c r="BC439" s="15" t="s">
        <v>13034</v>
      </c>
      <c r="BD439" s="15" t="s">
        <v>13035</v>
      </c>
      <c r="BE439" s="15" t="s">
        <v>13036</v>
      </c>
      <c r="BF439" s="15" t="s">
        <v>2796</v>
      </c>
      <c r="BG439" s="15" t="s">
        <v>2796</v>
      </c>
      <c r="BH439" s="15" t="s">
        <v>13037</v>
      </c>
      <c r="BI439" s="15" t="s">
        <v>13038</v>
      </c>
      <c r="BJ439" s="19" t="s">
        <v>13039</v>
      </c>
      <c r="BK439" s="19" t="s">
        <v>13040</v>
      </c>
      <c r="BL439" s="19" t="s">
        <v>13041</v>
      </c>
      <c r="BM439" s="19" t="s">
        <v>13042</v>
      </c>
      <c r="BN439" s="19" t="s">
        <v>13043</v>
      </c>
      <c r="BO439" s="19" t="s">
        <v>13044</v>
      </c>
      <c r="BP439" s="19" t="s">
        <v>13045</v>
      </c>
      <c r="BQ439" s="15" t="s">
        <v>1321</v>
      </c>
      <c r="BR439" s="19" t="s">
        <v>13046</v>
      </c>
      <c r="BS439" s="26"/>
      <c r="BT439" s="26"/>
      <c r="BU439" s="26"/>
      <c r="BV439" s="26"/>
      <c r="BW439" s="15" t="s">
        <v>13047</v>
      </c>
      <c r="BX439" s="26"/>
      <c r="BY439" s="18" t="str">
        <f t="shared" si="107"/>
        <v>MECH</v>
      </c>
      <c r="BZ439" s="24" t="str">
        <f t="shared" si="100"/>
        <v>https://drive.google.com/open?id=1I48Jjeqx_y5KKAE6TuEcJup8sub_Ymbh</v>
      </c>
      <c r="CA439" s="24" t="str">
        <f t="shared" si="101"/>
        <v>https://drive.google.com/open?id=1l19nvVnNDyLwc51RG_pKOkjr80l3aWrj</v>
      </c>
      <c r="CB439" s="15" t="s">
        <v>2821</v>
      </c>
      <c r="CC439" s="15" t="s">
        <v>2821</v>
      </c>
      <c r="CD439" s="25" t="s">
        <v>2797</v>
      </c>
      <c r="CE439" s="18"/>
      <c r="CF439" s="18"/>
      <c r="CG439" s="18"/>
    </row>
    <row r="440" ht="18.75" hidden="1" customHeight="1">
      <c r="A440" s="14">
        <v>44770.638272303244</v>
      </c>
      <c r="B440" s="15" t="s">
        <v>1353</v>
      </c>
      <c r="C440" s="16" t="s">
        <v>13048</v>
      </c>
      <c r="D440" s="15" t="str">
        <f>IFERROR(__xludf.DUMMYFUNCTION("QUERY(TY_ALL_2023_Batch!$A$1:$E$824, ""SELECT E WHERE C='""&amp;B440&amp;""'"", 0)"),"MECH")</f>
        <v>MECH</v>
      </c>
      <c r="E440" s="15" t="s">
        <v>13049</v>
      </c>
      <c r="F440" s="15" t="s">
        <v>13050</v>
      </c>
      <c r="G440" s="15" t="s">
        <v>13051</v>
      </c>
      <c r="H440" s="15" t="s">
        <v>2785</v>
      </c>
      <c r="I440" s="17">
        <v>36956.0</v>
      </c>
      <c r="J440" s="15">
        <v>2020.0</v>
      </c>
      <c r="K440" s="15" t="s">
        <v>2941</v>
      </c>
      <c r="L440" s="15" t="s">
        <v>2787</v>
      </c>
      <c r="M440" s="18"/>
      <c r="N440" s="15" t="s">
        <v>13052</v>
      </c>
      <c r="O440" s="15" t="s">
        <v>1353</v>
      </c>
      <c r="P440" s="19" t="s">
        <v>13053</v>
      </c>
      <c r="Q440" s="15">
        <v>7.507570056E9</v>
      </c>
      <c r="R440" s="15">
        <v>7.507570056E9</v>
      </c>
      <c r="S440" s="15">
        <v>9.834966493E9</v>
      </c>
      <c r="T440" s="15" t="s">
        <v>13054</v>
      </c>
      <c r="U440" s="15" t="s">
        <v>13055</v>
      </c>
      <c r="V440" s="15" t="s">
        <v>13056</v>
      </c>
      <c r="W440" s="18"/>
      <c r="X440" s="15">
        <v>94.2</v>
      </c>
      <c r="Y440" s="15" t="s">
        <v>2948</v>
      </c>
      <c r="Z440" s="15">
        <v>8.81</v>
      </c>
      <c r="AA440" s="15">
        <v>8.76</v>
      </c>
      <c r="AB440" s="15">
        <v>8.33</v>
      </c>
      <c r="AC440" s="15">
        <v>8.9</v>
      </c>
      <c r="AD440" s="15" t="s">
        <v>2796</v>
      </c>
      <c r="AE440" s="15" t="s">
        <v>2796</v>
      </c>
      <c r="AF440" s="18"/>
      <c r="AG440" s="18"/>
      <c r="AH440" s="18"/>
      <c r="AI440" s="15">
        <v>91.03</v>
      </c>
      <c r="AJ440" s="15" t="s">
        <v>2787</v>
      </c>
      <c r="AK440" s="15" t="s">
        <v>2787</v>
      </c>
      <c r="AL440" s="15">
        <v>561.6</v>
      </c>
      <c r="AM440" s="15">
        <v>665.0</v>
      </c>
      <c r="AN440" s="15" t="s">
        <v>2797</v>
      </c>
      <c r="AO440" s="15" t="s">
        <v>2796</v>
      </c>
      <c r="AP440" s="15" t="s">
        <v>2796</v>
      </c>
      <c r="AQ440" s="15" t="s">
        <v>13057</v>
      </c>
      <c r="AR440" s="15" t="s">
        <v>13058</v>
      </c>
      <c r="AS440" s="18"/>
      <c r="AT440" s="18"/>
      <c r="AU440" s="18"/>
      <c r="AV440" s="15" t="s">
        <v>13059</v>
      </c>
      <c r="AW440" s="15" t="s">
        <v>13060</v>
      </c>
      <c r="AX440" s="18"/>
      <c r="AY440" s="15" t="s">
        <v>13061</v>
      </c>
      <c r="AZ440" s="15" t="s">
        <v>3960</v>
      </c>
      <c r="BA440" s="15" t="s">
        <v>2870</v>
      </c>
      <c r="BB440" s="15" t="s">
        <v>2807</v>
      </c>
      <c r="BC440" s="15" t="s">
        <v>13062</v>
      </c>
      <c r="BD440" s="15" t="s">
        <v>2842</v>
      </c>
      <c r="BE440" s="15" t="s">
        <v>13063</v>
      </c>
      <c r="BF440" s="15" t="s">
        <v>13064</v>
      </c>
      <c r="BG440" s="18"/>
      <c r="BH440" s="15" t="s">
        <v>13065</v>
      </c>
      <c r="BI440" s="18"/>
      <c r="BJ440" s="19" t="s">
        <v>13066</v>
      </c>
      <c r="BK440" s="19" t="s">
        <v>13067</v>
      </c>
      <c r="BL440" s="19" t="s">
        <v>13068</v>
      </c>
      <c r="BM440" s="19" t="s">
        <v>13069</v>
      </c>
      <c r="BN440" s="19" t="s">
        <v>13070</v>
      </c>
      <c r="BO440" s="19" t="s">
        <v>13071</v>
      </c>
      <c r="BP440" s="19" t="s">
        <v>13072</v>
      </c>
      <c r="BQ440" s="15" t="s">
        <v>1321</v>
      </c>
      <c r="BR440" s="26"/>
      <c r="BS440" s="26"/>
      <c r="BT440" s="26"/>
      <c r="BU440" s="26"/>
      <c r="BV440" s="26"/>
      <c r="BW440" s="15" t="s">
        <v>13073</v>
      </c>
      <c r="BX440" s="26"/>
      <c r="BY440" s="18" t="str">
        <f t="shared" si="107"/>
        <v>MECH</v>
      </c>
      <c r="BZ440" s="24" t="str">
        <f t="shared" si="100"/>
        <v>https://drive.google.com/open?id=1gpRsbNOP7PVeQAqRM7hbEkXw6hMn8_EW</v>
      </c>
      <c r="CA440" s="24" t="str">
        <f t="shared" si="101"/>
        <v>https://drive.google.com/open?id=13QfZunXLaU4i03MQBkcmvKT9AlY2djUt</v>
      </c>
      <c r="CB440" s="15" t="s">
        <v>2821</v>
      </c>
      <c r="CC440" s="15" t="s">
        <v>2821</v>
      </c>
      <c r="CD440" s="25" t="s">
        <v>2797</v>
      </c>
      <c r="CE440" s="18"/>
      <c r="CF440" s="18"/>
      <c r="CG440" s="18"/>
    </row>
    <row r="441" ht="18.75" hidden="1" customHeight="1">
      <c r="A441" s="14">
        <v>44735.962071064816</v>
      </c>
      <c r="B441" s="15" t="s">
        <v>1554</v>
      </c>
      <c r="C441" s="16" t="s">
        <v>13074</v>
      </c>
      <c r="D441" s="15" t="str">
        <f>IFERROR(__xludf.DUMMYFUNCTION("QUERY(TY_ALL_2023_Batch!$A$1:$E$824, ""SELECT E WHERE C='""&amp;B441&amp;""'"", 0)"),"MECH")</f>
        <v>MECH</v>
      </c>
      <c r="E441" s="15" t="s">
        <v>5378</v>
      </c>
      <c r="F441" s="15" t="s">
        <v>13075</v>
      </c>
      <c r="G441" s="15" t="s">
        <v>13076</v>
      </c>
      <c r="H441" s="15" t="s">
        <v>2785</v>
      </c>
      <c r="I441" s="17">
        <v>37218.0</v>
      </c>
      <c r="J441" s="15">
        <v>2020.0</v>
      </c>
      <c r="K441" s="15" t="s">
        <v>2941</v>
      </c>
      <c r="L441" s="15" t="s">
        <v>2787</v>
      </c>
      <c r="M441" s="18"/>
      <c r="N441" s="15" t="s">
        <v>13077</v>
      </c>
      <c r="O441" s="15" t="s">
        <v>1554</v>
      </c>
      <c r="P441" s="19" t="s">
        <v>13078</v>
      </c>
      <c r="Q441" s="15">
        <v>7.972845448E9</v>
      </c>
      <c r="R441" s="15">
        <v>7.972845448E9</v>
      </c>
      <c r="S441" s="15">
        <v>9.970792163E9</v>
      </c>
      <c r="T441" s="15" t="s">
        <v>13079</v>
      </c>
      <c r="U441" s="15" t="s">
        <v>13080</v>
      </c>
      <c r="V441" s="15" t="s">
        <v>13081</v>
      </c>
      <c r="W441" s="15" t="s">
        <v>13082</v>
      </c>
      <c r="X441" s="15">
        <v>91.4</v>
      </c>
      <c r="Y441" s="15" t="s">
        <v>2948</v>
      </c>
      <c r="Z441" s="15">
        <v>7.76</v>
      </c>
      <c r="AA441" s="15">
        <v>7.81</v>
      </c>
      <c r="AB441" s="15" t="s">
        <v>2796</v>
      </c>
      <c r="AC441" s="15" t="s">
        <v>2796</v>
      </c>
      <c r="AD441" s="15" t="s">
        <v>2796</v>
      </c>
      <c r="AE441" s="15" t="s">
        <v>2796</v>
      </c>
      <c r="AF441" s="18"/>
      <c r="AG441" s="18"/>
      <c r="AH441" s="18"/>
      <c r="AI441" s="15">
        <v>92.87</v>
      </c>
      <c r="AJ441" s="15" t="s">
        <v>2787</v>
      </c>
      <c r="AK441" s="15" t="s">
        <v>2787</v>
      </c>
      <c r="AL441" s="15">
        <v>470.0</v>
      </c>
      <c r="AM441" s="15">
        <v>552.0</v>
      </c>
      <c r="AN441" s="15" t="s">
        <v>2797</v>
      </c>
      <c r="AO441" s="15">
        <v>0.0</v>
      </c>
      <c r="AP441" s="15">
        <v>0.0</v>
      </c>
      <c r="AQ441" s="15" t="s">
        <v>13083</v>
      </c>
      <c r="AR441" s="15" t="s">
        <v>13084</v>
      </c>
      <c r="AS441" s="18"/>
      <c r="AT441" s="18"/>
      <c r="AU441" s="18"/>
      <c r="AV441" s="18"/>
      <c r="AW441" s="15" t="s">
        <v>13085</v>
      </c>
      <c r="AX441" s="18"/>
      <c r="AY441" s="15" t="s">
        <v>13086</v>
      </c>
      <c r="AZ441" s="15" t="s">
        <v>3960</v>
      </c>
      <c r="BA441" s="15" t="s">
        <v>2870</v>
      </c>
      <c r="BB441" s="15" t="s">
        <v>2807</v>
      </c>
      <c r="BC441" s="15" t="s">
        <v>2808</v>
      </c>
      <c r="BD441" s="15" t="s">
        <v>2807</v>
      </c>
      <c r="BE441" s="15" t="s">
        <v>13087</v>
      </c>
      <c r="BF441" s="18"/>
      <c r="BG441" s="18"/>
      <c r="BH441" s="15" t="s">
        <v>13088</v>
      </c>
      <c r="BI441" s="15" t="s">
        <v>13089</v>
      </c>
      <c r="BJ441" s="15" t="s">
        <v>13090</v>
      </c>
      <c r="BK441" s="19" t="s">
        <v>13091</v>
      </c>
      <c r="BL441" s="19" t="s">
        <v>13092</v>
      </c>
      <c r="BM441" s="19" t="s">
        <v>13093</v>
      </c>
      <c r="BN441" s="19" t="s">
        <v>13094</v>
      </c>
      <c r="BO441" s="19" t="s">
        <v>13095</v>
      </c>
      <c r="BP441" s="19" t="s">
        <v>13096</v>
      </c>
      <c r="BQ441" s="15" t="s">
        <v>1321</v>
      </c>
      <c r="BR441" s="26"/>
      <c r="BS441" s="26"/>
      <c r="BT441" s="26"/>
      <c r="BU441" s="26"/>
      <c r="BV441" s="26"/>
      <c r="BW441" s="26"/>
      <c r="BX441" s="26"/>
      <c r="BY441" s="18" t="str">
        <f t="shared" si="107"/>
        <v>MECH</v>
      </c>
      <c r="BZ441" s="24" t="str">
        <f t="shared" si="100"/>
        <v>https://drive.google.com/open?id=1O93ph6qQMaDHtv-WGx6RpQweJNfsdu_E</v>
      </c>
      <c r="CA441" s="24" t="str">
        <f t="shared" si="101"/>
        <v>https://drive.google.com/open?id=1C6PwilNt4cyJAKbatyZjzjZIGnPchux1</v>
      </c>
      <c r="CB441" s="15" t="s">
        <v>2821</v>
      </c>
      <c r="CC441" s="15" t="s">
        <v>2821</v>
      </c>
      <c r="CD441" s="25" t="s">
        <v>2797</v>
      </c>
      <c r="CE441" s="18"/>
      <c r="CF441" s="18"/>
      <c r="CG441" s="18"/>
    </row>
    <row r="442" ht="18.75" hidden="1" customHeight="1">
      <c r="A442" s="14">
        <v>44736.3889528588</v>
      </c>
      <c r="B442" s="15" t="s">
        <v>2529</v>
      </c>
      <c r="C442" s="16" t="s">
        <v>13097</v>
      </c>
      <c r="D442" s="15" t="str">
        <f>IFERROR(__xludf.DUMMYFUNCTION("QUERY(TY_ALL_2023_Batch!$A$1:$E$824, ""SELECT E WHERE C='""&amp;B442&amp;""'"", 0)"),"MECH")</f>
        <v>MECH</v>
      </c>
      <c r="E442" s="15" t="s">
        <v>13098</v>
      </c>
      <c r="F442" s="15" t="s">
        <v>3526</v>
      </c>
      <c r="G442" s="15" t="s">
        <v>11369</v>
      </c>
      <c r="H442" s="15" t="s">
        <v>2785</v>
      </c>
      <c r="I442" s="17">
        <v>37072.0</v>
      </c>
      <c r="J442" s="15">
        <v>2019.0</v>
      </c>
      <c r="K442" s="15" t="s">
        <v>2786</v>
      </c>
      <c r="L442" s="15" t="s">
        <v>2787</v>
      </c>
      <c r="M442" s="18"/>
      <c r="N442" s="15" t="s">
        <v>13099</v>
      </c>
      <c r="O442" s="15" t="s">
        <v>2529</v>
      </c>
      <c r="P442" s="19" t="s">
        <v>13100</v>
      </c>
      <c r="Q442" s="15">
        <v>8.956180034E9</v>
      </c>
      <c r="R442" s="15">
        <v>8.956180034E9</v>
      </c>
      <c r="S442" s="15">
        <v>8.956180034E9</v>
      </c>
      <c r="T442" s="15" t="s">
        <v>3526</v>
      </c>
      <c r="U442" s="15" t="s">
        <v>5723</v>
      </c>
      <c r="V442" s="15" t="s">
        <v>13101</v>
      </c>
      <c r="W442" s="15" t="s">
        <v>13102</v>
      </c>
      <c r="X442" s="15">
        <v>87.6</v>
      </c>
      <c r="Y442" s="15" t="s">
        <v>2795</v>
      </c>
      <c r="Z442" s="15">
        <v>9.19</v>
      </c>
      <c r="AA442" s="15">
        <v>8.95</v>
      </c>
      <c r="AB442" s="15" t="s">
        <v>2796</v>
      </c>
      <c r="AC442" s="15" t="s">
        <v>2796</v>
      </c>
      <c r="AD442" s="15" t="s">
        <v>2796</v>
      </c>
      <c r="AE442" s="15" t="s">
        <v>2796</v>
      </c>
      <c r="AF442" s="15">
        <v>8.74</v>
      </c>
      <c r="AG442" s="15">
        <v>9.14</v>
      </c>
      <c r="AH442" s="15">
        <v>72.62</v>
      </c>
      <c r="AI442" s="18"/>
      <c r="AJ442" s="15" t="s">
        <v>2787</v>
      </c>
      <c r="AK442" s="15" t="s">
        <v>2787</v>
      </c>
      <c r="AL442" s="15">
        <v>610.0</v>
      </c>
      <c r="AM442" s="15">
        <v>396.67</v>
      </c>
      <c r="AN442" s="15" t="s">
        <v>2797</v>
      </c>
      <c r="AO442" s="18"/>
      <c r="AP442" s="18"/>
      <c r="AQ442" s="15" t="s">
        <v>13103</v>
      </c>
      <c r="AR442" s="18"/>
      <c r="AS442" s="18"/>
      <c r="AT442" s="18"/>
      <c r="AU442" s="18"/>
      <c r="AV442" s="15" t="s">
        <v>13104</v>
      </c>
      <c r="AW442" s="15" t="s">
        <v>13105</v>
      </c>
      <c r="AX442" s="18"/>
      <c r="AY442" s="15" t="s">
        <v>13106</v>
      </c>
      <c r="AZ442" s="15" t="s">
        <v>9648</v>
      </c>
      <c r="BA442" s="15" t="s">
        <v>4727</v>
      </c>
      <c r="BB442" s="15" t="s">
        <v>2807</v>
      </c>
      <c r="BC442" s="15" t="s">
        <v>13107</v>
      </c>
      <c r="BD442" s="15" t="s">
        <v>2807</v>
      </c>
      <c r="BE442" s="15" t="s">
        <v>2796</v>
      </c>
      <c r="BF442" s="18"/>
      <c r="BG442" s="18"/>
      <c r="BH442" s="18"/>
      <c r="BI442" s="18"/>
      <c r="BJ442" s="19" t="s">
        <v>13108</v>
      </c>
      <c r="BK442" s="19" t="s">
        <v>13109</v>
      </c>
      <c r="BL442" s="19" t="s">
        <v>13110</v>
      </c>
      <c r="BM442" s="19" t="s">
        <v>13111</v>
      </c>
      <c r="BN442" s="19" t="s">
        <v>13112</v>
      </c>
      <c r="BO442" s="19" t="s">
        <v>13113</v>
      </c>
      <c r="BP442" s="19" t="s">
        <v>13114</v>
      </c>
      <c r="BQ442" s="15" t="s">
        <v>1321</v>
      </c>
      <c r="BR442" s="26"/>
      <c r="BS442" s="26"/>
      <c r="BT442" s="26"/>
      <c r="BU442" s="26"/>
      <c r="BV442" s="26"/>
      <c r="BW442" s="26"/>
      <c r="BX442" s="26"/>
      <c r="BY442" s="18" t="str">
        <f t="shared" si="107"/>
        <v>MECH</v>
      </c>
      <c r="BZ442" s="24" t="str">
        <f t="shared" si="100"/>
        <v>https://drive.google.com/open?id=15gwYWvLv0NlRv69baP1SGJx1Ff6wiFid</v>
      </c>
      <c r="CA442" s="24" t="str">
        <f t="shared" si="101"/>
        <v>https://drive.google.com/open?id=17WL6rPBAEXocX8eC-z_n0CtIzNhaEIuQ</v>
      </c>
      <c r="CB442" s="15" t="s">
        <v>2821</v>
      </c>
      <c r="CC442" s="15" t="s">
        <v>2821</v>
      </c>
      <c r="CD442" s="25" t="s">
        <v>2797</v>
      </c>
      <c r="CE442" s="18"/>
      <c r="CF442" s="18"/>
      <c r="CG442" s="18"/>
    </row>
    <row r="443" ht="18.75" hidden="1" customHeight="1">
      <c r="A443" s="14">
        <v>44735.49542416667</v>
      </c>
      <c r="B443" s="15" t="s">
        <v>1359</v>
      </c>
      <c r="C443" s="16" t="s">
        <v>13115</v>
      </c>
      <c r="D443" s="15" t="str">
        <f>IFERROR(__xludf.DUMMYFUNCTION("QUERY(TY_ALL_2023_Batch!$A$1:$E$824, ""SELECT E WHERE C='""&amp;B443&amp;""'"", 0)"),"MECH")</f>
        <v>MECH</v>
      </c>
      <c r="E443" s="15" t="s">
        <v>13116</v>
      </c>
      <c r="F443" s="15" t="s">
        <v>13117</v>
      </c>
      <c r="G443" s="15" t="s">
        <v>3852</v>
      </c>
      <c r="H443" s="15" t="s">
        <v>2785</v>
      </c>
      <c r="I443" s="17">
        <v>37006.0</v>
      </c>
      <c r="J443" s="15">
        <v>2020.0</v>
      </c>
      <c r="K443" s="15" t="s">
        <v>2941</v>
      </c>
      <c r="L443" s="15" t="s">
        <v>2787</v>
      </c>
      <c r="M443" s="18"/>
      <c r="N443" s="15" t="s">
        <v>13118</v>
      </c>
      <c r="O443" s="15" t="s">
        <v>13119</v>
      </c>
      <c r="P443" s="19" t="s">
        <v>13120</v>
      </c>
      <c r="Q443" s="15">
        <v>9.322484758E9</v>
      </c>
      <c r="R443" s="15">
        <v>9.322484758E9</v>
      </c>
      <c r="S443" s="15">
        <v>8.469512182E9</v>
      </c>
      <c r="T443" s="15" t="s">
        <v>13117</v>
      </c>
      <c r="U443" s="15" t="s">
        <v>13121</v>
      </c>
      <c r="V443" s="15" t="s">
        <v>13122</v>
      </c>
      <c r="W443" s="15" t="s">
        <v>13123</v>
      </c>
      <c r="X443" s="15">
        <v>76.4</v>
      </c>
      <c r="Y443" s="15" t="s">
        <v>2948</v>
      </c>
      <c r="Z443" s="15">
        <v>6.62</v>
      </c>
      <c r="AA443" s="15">
        <v>7.86</v>
      </c>
      <c r="AB443" s="15">
        <v>8.04</v>
      </c>
      <c r="AC443" s="15" t="s">
        <v>2796</v>
      </c>
      <c r="AD443" s="15" t="s">
        <v>2796</v>
      </c>
      <c r="AE443" s="15" t="s">
        <v>2796</v>
      </c>
      <c r="AF443" s="18"/>
      <c r="AG443" s="18"/>
      <c r="AH443" s="18"/>
      <c r="AI443" s="15">
        <v>93.23</v>
      </c>
      <c r="AJ443" s="15" t="s">
        <v>2787</v>
      </c>
      <c r="AK443" s="15" t="s">
        <v>2787</v>
      </c>
      <c r="AL443" s="15">
        <v>89.33</v>
      </c>
      <c r="AM443" s="15">
        <v>61.25</v>
      </c>
      <c r="AN443" s="15" t="s">
        <v>2797</v>
      </c>
      <c r="AO443" s="18"/>
      <c r="AP443" s="18"/>
      <c r="AQ443" s="15" t="s">
        <v>13124</v>
      </c>
      <c r="AR443" s="15" t="s">
        <v>13125</v>
      </c>
      <c r="AS443" s="15" t="s">
        <v>2796</v>
      </c>
      <c r="AT443" s="15" t="s">
        <v>2796</v>
      </c>
      <c r="AU443" s="15" t="s">
        <v>2796</v>
      </c>
      <c r="AV443" s="15" t="s">
        <v>2796</v>
      </c>
      <c r="AW443" s="15" t="s">
        <v>13126</v>
      </c>
      <c r="AX443" s="15" t="s">
        <v>2796</v>
      </c>
      <c r="AY443" s="15" t="s">
        <v>13127</v>
      </c>
      <c r="AZ443" s="15" t="s">
        <v>2805</v>
      </c>
      <c r="BA443" s="15" t="s">
        <v>13128</v>
      </c>
      <c r="BB443" s="15" t="s">
        <v>5673</v>
      </c>
      <c r="BC443" s="15" t="s">
        <v>2808</v>
      </c>
      <c r="BD443" s="15" t="s">
        <v>2807</v>
      </c>
      <c r="BE443" s="15" t="s">
        <v>13129</v>
      </c>
      <c r="BF443" s="15" t="s">
        <v>2796</v>
      </c>
      <c r="BG443" s="15" t="s">
        <v>2796</v>
      </c>
      <c r="BH443" s="18"/>
      <c r="BI443" s="15" t="s">
        <v>13130</v>
      </c>
      <c r="BJ443" s="19" t="s">
        <v>13131</v>
      </c>
      <c r="BK443" s="19" t="s">
        <v>13132</v>
      </c>
      <c r="BL443" s="19" t="s">
        <v>13133</v>
      </c>
      <c r="BM443" s="19" t="s">
        <v>13134</v>
      </c>
      <c r="BN443" s="19" t="s">
        <v>13135</v>
      </c>
      <c r="BO443" s="19" t="s">
        <v>13136</v>
      </c>
      <c r="BP443" s="19" t="s">
        <v>13137</v>
      </c>
      <c r="BQ443" s="15" t="s">
        <v>1321</v>
      </c>
      <c r="BR443" s="26"/>
      <c r="BS443" s="26"/>
      <c r="BT443" s="26"/>
      <c r="BU443" s="26"/>
      <c r="BV443" s="26"/>
      <c r="BW443" s="26"/>
      <c r="BX443" s="26"/>
      <c r="BY443" s="18" t="str">
        <f t="shared" si="107"/>
        <v>MECH</v>
      </c>
      <c r="BZ443" s="24" t="str">
        <f t="shared" si="100"/>
        <v>https://drive.google.com/open?id=1XzjhNIKco0quKmyJHEUlb7Ey1VoWXMce</v>
      </c>
      <c r="CA443" s="24" t="str">
        <f t="shared" si="101"/>
        <v>https://drive.google.com/open?id=1xEZSp2gaMbz5Ddw8cG7VuFqwoHnUILrF</v>
      </c>
      <c r="CB443" s="15" t="s">
        <v>2821</v>
      </c>
      <c r="CC443" s="15" t="s">
        <v>2821</v>
      </c>
      <c r="CD443" s="25" t="s">
        <v>2797</v>
      </c>
      <c r="CE443" s="18"/>
      <c r="CF443" s="18"/>
      <c r="CG443" s="18"/>
    </row>
    <row r="444" ht="18.75" hidden="1" customHeight="1">
      <c r="A444" s="14">
        <v>44736.83777865741</v>
      </c>
      <c r="B444" s="15" t="s">
        <v>2631</v>
      </c>
      <c r="C444" s="16" t="s">
        <v>13138</v>
      </c>
      <c r="D444" s="15" t="str">
        <f>IFERROR(__xludf.DUMMYFUNCTION("QUERY(TY_ALL_2023_Batch!$A$1:$E$824, ""SELECT E WHERE C='""&amp;B444&amp;""'"", 0)"),"MECH")</f>
        <v>MECH</v>
      </c>
      <c r="E444" s="15" t="s">
        <v>11060</v>
      </c>
      <c r="F444" s="15" t="s">
        <v>6742</v>
      </c>
      <c r="G444" s="15" t="s">
        <v>13139</v>
      </c>
      <c r="H444" s="15" t="s">
        <v>2785</v>
      </c>
      <c r="I444" s="17">
        <v>37193.0</v>
      </c>
      <c r="J444" s="15">
        <v>2019.0</v>
      </c>
      <c r="K444" s="15" t="s">
        <v>2786</v>
      </c>
      <c r="L444" s="15" t="s">
        <v>2787</v>
      </c>
      <c r="M444" s="18"/>
      <c r="N444" s="15" t="s">
        <v>13140</v>
      </c>
      <c r="O444" s="15" t="s">
        <v>2631</v>
      </c>
      <c r="P444" s="19" t="s">
        <v>13141</v>
      </c>
      <c r="Q444" s="15">
        <v>9.22626567E9</v>
      </c>
      <c r="R444" s="15">
        <v>9.22626567E9</v>
      </c>
      <c r="S444" s="15">
        <v>7.744908738E9</v>
      </c>
      <c r="T444" s="15" t="s">
        <v>6742</v>
      </c>
      <c r="U444" s="15" t="s">
        <v>3333</v>
      </c>
      <c r="V444" s="15" t="s">
        <v>13142</v>
      </c>
      <c r="W444" s="15" t="s">
        <v>13143</v>
      </c>
      <c r="X444" s="15">
        <v>85.0</v>
      </c>
      <c r="Y444" s="15" t="s">
        <v>2795</v>
      </c>
      <c r="Z444" s="15">
        <v>7.43</v>
      </c>
      <c r="AA444" s="15">
        <v>6.57</v>
      </c>
      <c r="AB444" s="15">
        <v>7.44</v>
      </c>
      <c r="AC444" s="15" t="s">
        <v>2796</v>
      </c>
      <c r="AD444" s="15" t="s">
        <v>2796</v>
      </c>
      <c r="AE444" s="15" t="s">
        <v>3005</v>
      </c>
      <c r="AF444" s="15">
        <v>7.89</v>
      </c>
      <c r="AG444" s="15">
        <v>7.0</v>
      </c>
      <c r="AH444" s="15">
        <v>60.0</v>
      </c>
      <c r="AI444" s="18"/>
      <c r="AJ444" s="15" t="s">
        <v>2787</v>
      </c>
      <c r="AK444" s="15" t="s">
        <v>2787</v>
      </c>
      <c r="AL444" s="15">
        <v>555.0</v>
      </c>
      <c r="AM444" s="15">
        <v>569.16</v>
      </c>
      <c r="AN444" s="15" t="s">
        <v>2787</v>
      </c>
      <c r="AO444" s="15" t="s">
        <v>2796</v>
      </c>
      <c r="AP444" s="15" t="s">
        <v>13144</v>
      </c>
      <c r="AQ444" s="15" t="s">
        <v>13145</v>
      </c>
      <c r="AR444" s="18"/>
      <c r="AS444" s="15"/>
      <c r="AT444" s="18"/>
      <c r="AU444" s="15" t="s">
        <v>13146</v>
      </c>
      <c r="AV444" s="15" t="s">
        <v>13147</v>
      </c>
      <c r="AW444" s="15" t="s">
        <v>13148</v>
      </c>
      <c r="AX444" s="18"/>
      <c r="AY444" s="15" t="s">
        <v>13149</v>
      </c>
      <c r="AZ444" s="15" t="s">
        <v>2805</v>
      </c>
      <c r="BA444" s="15" t="s">
        <v>2899</v>
      </c>
      <c r="BB444" s="15" t="s">
        <v>2807</v>
      </c>
      <c r="BC444" s="15" t="s">
        <v>13150</v>
      </c>
      <c r="BD444" s="15" t="s">
        <v>3989</v>
      </c>
      <c r="BE444" s="15" t="s">
        <v>2796</v>
      </c>
      <c r="BF444" s="18"/>
      <c r="BG444" s="15" t="s">
        <v>10861</v>
      </c>
      <c r="BH444" s="18"/>
      <c r="BI444" s="18"/>
      <c r="BJ444" s="19" t="s">
        <v>13151</v>
      </c>
      <c r="BK444" s="19" t="s">
        <v>13152</v>
      </c>
      <c r="BL444" s="19" t="s">
        <v>13153</v>
      </c>
      <c r="BM444" s="19" t="s">
        <v>13154</v>
      </c>
      <c r="BN444" s="19" t="s">
        <v>13155</v>
      </c>
      <c r="BO444" s="19" t="s">
        <v>13156</v>
      </c>
      <c r="BP444" s="19" t="s">
        <v>13157</v>
      </c>
      <c r="BQ444" s="15" t="s">
        <v>1321</v>
      </c>
      <c r="BR444" s="26"/>
      <c r="BS444" s="26"/>
      <c r="BT444" s="26"/>
      <c r="BU444" s="26"/>
      <c r="BV444" s="26"/>
      <c r="BW444" s="15" t="s">
        <v>13158</v>
      </c>
      <c r="BX444" s="26"/>
      <c r="BY444" s="18" t="str">
        <f t="shared" si="107"/>
        <v>MECH</v>
      </c>
      <c r="BZ444" s="24" t="str">
        <f t="shared" si="100"/>
        <v>https://drive.google.com/open?id=1MUSyXrXlvxEiRiqi4G_KajBQTgGja-7A</v>
      </c>
      <c r="CA444" s="24" t="str">
        <f t="shared" si="101"/>
        <v>https://drive.google.com/open?id=1viFOUiOvcPq6xPcoPFSWgflftyalGk77</v>
      </c>
      <c r="CB444" s="15" t="s">
        <v>2821</v>
      </c>
      <c r="CC444" s="15" t="s">
        <v>2821</v>
      </c>
      <c r="CD444" s="25" t="s">
        <v>2797</v>
      </c>
      <c r="CE444" s="18"/>
      <c r="CF444" s="18"/>
      <c r="CG444" s="18"/>
    </row>
    <row r="445" ht="18.75" hidden="1" customHeight="1">
      <c r="A445" s="14">
        <v>44742.929402326394</v>
      </c>
      <c r="B445" s="15" t="s">
        <v>2421</v>
      </c>
      <c r="C445" s="16" t="s">
        <v>13159</v>
      </c>
      <c r="D445" s="15" t="str">
        <f>IFERROR(__xludf.DUMMYFUNCTION("QUERY(TY_ALL_2023_Batch!$A$1:$E$824, ""SELECT E WHERE C='""&amp;B445&amp;""'"", 0)"),"MECH")</f>
        <v>MECH</v>
      </c>
      <c r="E445" s="15" t="s">
        <v>13160</v>
      </c>
      <c r="F445" s="15" t="s">
        <v>13161</v>
      </c>
      <c r="G445" s="15" t="s">
        <v>13162</v>
      </c>
      <c r="H445" s="15" t="s">
        <v>2785</v>
      </c>
      <c r="I445" s="17">
        <v>36937.0</v>
      </c>
      <c r="J445" s="15">
        <v>2019.0</v>
      </c>
      <c r="K445" s="15" t="s">
        <v>2786</v>
      </c>
      <c r="L445" s="15" t="s">
        <v>2787</v>
      </c>
      <c r="M445" s="18"/>
      <c r="N445" s="15" t="s">
        <v>13163</v>
      </c>
      <c r="O445" s="15" t="s">
        <v>2421</v>
      </c>
      <c r="P445" s="19" t="s">
        <v>13164</v>
      </c>
      <c r="Q445" s="15">
        <v>9.307557124E9</v>
      </c>
      <c r="R445" s="15">
        <v>9.307557124E9</v>
      </c>
      <c r="S445" s="15">
        <v>9.307557124E9</v>
      </c>
      <c r="T445" s="15" t="s">
        <v>13165</v>
      </c>
      <c r="U445" s="15" t="s">
        <v>13166</v>
      </c>
      <c r="V445" s="15" t="s">
        <v>13167</v>
      </c>
      <c r="W445" s="18"/>
      <c r="X445" s="15">
        <v>82.8</v>
      </c>
      <c r="Y445" s="15" t="s">
        <v>2795</v>
      </c>
      <c r="Z445" s="15">
        <v>7.23</v>
      </c>
      <c r="AA445" s="15">
        <v>6.95</v>
      </c>
      <c r="AB445" s="15" t="s">
        <v>2796</v>
      </c>
      <c r="AC445" s="15" t="s">
        <v>2796</v>
      </c>
      <c r="AD445" s="15" t="s">
        <v>2796</v>
      </c>
      <c r="AE445" s="15" t="s">
        <v>2796</v>
      </c>
      <c r="AF445" s="15">
        <v>7.13</v>
      </c>
      <c r="AG445" s="15">
        <v>7.23</v>
      </c>
      <c r="AH445" s="15">
        <v>65.67</v>
      </c>
      <c r="AI445" s="18"/>
      <c r="AJ445" s="15" t="s">
        <v>2787</v>
      </c>
      <c r="AK445" s="15" t="s">
        <v>2787</v>
      </c>
      <c r="AL445" s="15">
        <v>500.0</v>
      </c>
      <c r="AM445" s="15">
        <v>500.0</v>
      </c>
      <c r="AN445" s="15" t="s">
        <v>2787</v>
      </c>
      <c r="AO445" s="15" t="s">
        <v>13168</v>
      </c>
      <c r="AP445" s="15" t="s">
        <v>13169</v>
      </c>
      <c r="AQ445" s="15" t="s">
        <v>13170</v>
      </c>
      <c r="AR445" s="15" t="s">
        <v>13171</v>
      </c>
      <c r="AS445" s="18"/>
      <c r="AT445" s="18"/>
      <c r="AU445" s="15" t="s">
        <v>13172</v>
      </c>
      <c r="AV445" s="18"/>
      <c r="AW445" s="15" t="s">
        <v>13173</v>
      </c>
      <c r="AX445" s="18"/>
      <c r="AY445" s="15" t="s">
        <v>2796</v>
      </c>
      <c r="AZ445" s="15" t="s">
        <v>8440</v>
      </c>
      <c r="BA445" s="15" t="s">
        <v>2899</v>
      </c>
      <c r="BB445" s="15" t="s">
        <v>2807</v>
      </c>
      <c r="BC445" s="15" t="s">
        <v>2808</v>
      </c>
      <c r="BD445" s="15" t="s">
        <v>2807</v>
      </c>
      <c r="BE445" s="15" t="s">
        <v>2796</v>
      </c>
      <c r="BF445" s="15" t="s">
        <v>2796</v>
      </c>
      <c r="BG445" s="18"/>
      <c r="BH445" s="18"/>
      <c r="BI445" s="18"/>
      <c r="BJ445" s="19" t="s">
        <v>13174</v>
      </c>
      <c r="BK445" s="19" t="s">
        <v>13175</v>
      </c>
      <c r="BL445" s="18"/>
      <c r="BM445" s="19" t="s">
        <v>13176</v>
      </c>
      <c r="BN445" s="18"/>
      <c r="BO445" s="19" t="s">
        <v>13177</v>
      </c>
      <c r="BP445" s="19" t="s">
        <v>13178</v>
      </c>
      <c r="BQ445" s="15" t="s">
        <v>1321</v>
      </c>
      <c r="BR445" s="26"/>
      <c r="BS445" s="26"/>
      <c r="BT445" s="19" t="s">
        <v>13179</v>
      </c>
      <c r="BU445" s="26"/>
      <c r="BV445" s="19" t="s">
        <v>13180</v>
      </c>
      <c r="BW445" s="15" t="s">
        <v>13181</v>
      </c>
      <c r="BX445" s="26"/>
      <c r="BY445" s="18" t="str">
        <f t="shared" si="107"/>
        <v>MECH</v>
      </c>
      <c r="BZ445" s="18" t="str">
        <f t="shared" si="100"/>
        <v/>
      </c>
      <c r="CA445" s="24" t="str">
        <f t="shared" si="101"/>
        <v>https://drive.google.com/open?id=1uO7iEzmY2MsA9ZvsUPSTS4rKcTrbCQ2R</v>
      </c>
      <c r="CB445" s="15" t="s">
        <v>2908</v>
      </c>
      <c r="CC445" s="15" t="s">
        <v>2821</v>
      </c>
      <c r="CD445" s="25" t="s">
        <v>2909</v>
      </c>
      <c r="CE445" s="18"/>
      <c r="CF445" s="18"/>
      <c r="CG445" s="18"/>
    </row>
    <row r="446" ht="18.75" hidden="1" customHeight="1">
      <c r="A446" s="14">
        <v>44742.98529777778</v>
      </c>
      <c r="B446" s="15" t="s">
        <v>2643</v>
      </c>
      <c r="C446" s="16" t="s">
        <v>13182</v>
      </c>
      <c r="D446" s="15" t="str">
        <f>IFERROR(__xludf.DUMMYFUNCTION("QUERY(TY_ALL_2023_Batch!$A$1:$E$824, ""SELECT E WHERE C='""&amp;B446&amp;""'"", 0)"),"MECH")</f>
        <v>MECH</v>
      </c>
      <c r="E446" s="15" t="s">
        <v>13183</v>
      </c>
      <c r="F446" s="18"/>
      <c r="G446" s="15" t="s">
        <v>13184</v>
      </c>
      <c r="H446" s="15" t="s">
        <v>2826</v>
      </c>
      <c r="I446" s="17">
        <v>36540.0</v>
      </c>
      <c r="J446" s="15">
        <v>2019.0</v>
      </c>
      <c r="K446" s="15" t="s">
        <v>2786</v>
      </c>
      <c r="L446" s="15" t="s">
        <v>2787</v>
      </c>
      <c r="M446" s="18"/>
      <c r="N446" s="15" t="s">
        <v>13185</v>
      </c>
      <c r="O446" s="15" t="s">
        <v>2643</v>
      </c>
      <c r="P446" s="22" t="s">
        <v>13186</v>
      </c>
      <c r="Q446" s="15">
        <v>7.42494799E9</v>
      </c>
      <c r="R446" s="15">
        <v>7.42494799E9</v>
      </c>
      <c r="S446" s="18"/>
      <c r="T446" s="15" t="s">
        <v>13187</v>
      </c>
      <c r="U446" s="15" t="s">
        <v>10739</v>
      </c>
      <c r="V446" s="15" t="s">
        <v>13188</v>
      </c>
      <c r="W446" s="15" t="s">
        <v>13189</v>
      </c>
      <c r="X446" s="15">
        <v>77.8</v>
      </c>
      <c r="Y446" s="15" t="s">
        <v>2795</v>
      </c>
      <c r="Z446" s="15">
        <v>9.38</v>
      </c>
      <c r="AA446" s="15">
        <v>9.24</v>
      </c>
      <c r="AB446" s="15" t="s">
        <v>2796</v>
      </c>
      <c r="AC446" s="15" t="s">
        <v>2796</v>
      </c>
      <c r="AD446" s="15" t="s">
        <v>2796</v>
      </c>
      <c r="AE446" s="15" t="s">
        <v>2796</v>
      </c>
      <c r="AF446" s="15">
        <v>8.68</v>
      </c>
      <c r="AG446" s="15">
        <v>7.81</v>
      </c>
      <c r="AH446" s="15">
        <v>59.0</v>
      </c>
      <c r="AI446" s="18"/>
      <c r="AJ446" s="15" t="s">
        <v>2787</v>
      </c>
      <c r="AK446" s="15" t="s">
        <v>2787</v>
      </c>
      <c r="AL446" s="15">
        <v>653.33</v>
      </c>
      <c r="AM446" s="15">
        <v>636.66</v>
      </c>
      <c r="AN446" s="15" t="s">
        <v>2787</v>
      </c>
      <c r="AO446" s="15" t="s">
        <v>8304</v>
      </c>
      <c r="AP446" s="15" t="s">
        <v>13190</v>
      </c>
      <c r="AQ446" s="15" t="s">
        <v>13191</v>
      </c>
      <c r="AR446" s="15" t="s">
        <v>13192</v>
      </c>
      <c r="AS446" s="15" t="s">
        <v>13193</v>
      </c>
      <c r="AT446" s="15" t="s">
        <v>2796</v>
      </c>
      <c r="AU446" s="15" t="s">
        <v>13194</v>
      </c>
      <c r="AV446" s="15" t="s">
        <v>13195</v>
      </c>
      <c r="AW446" s="15" t="s">
        <v>13196</v>
      </c>
      <c r="AX446" s="15" t="s">
        <v>13197</v>
      </c>
      <c r="AY446" s="15" t="s">
        <v>13198</v>
      </c>
      <c r="AZ446" s="15" t="s">
        <v>5335</v>
      </c>
      <c r="BA446" s="15" t="s">
        <v>2806</v>
      </c>
      <c r="BB446" s="15" t="s">
        <v>3109</v>
      </c>
      <c r="BC446" s="15" t="s">
        <v>3132</v>
      </c>
      <c r="BD446" s="15" t="s">
        <v>2842</v>
      </c>
      <c r="BE446" s="15" t="s">
        <v>2796</v>
      </c>
      <c r="BF446" s="18"/>
      <c r="BG446" s="18"/>
      <c r="BH446" s="18"/>
      <c r="BI446" s="15" t="s">
        <v>13199</v>
      </c>
      <c r="BJ446" s="19" t="s">
        <v>13200</v>
      </c>
      <c r="BK446" s="19" t="s">
        <v>13201</v>
      </c>
      <c r="BL446" s="19" t="s">
        <v>13202</v>
      </c>
      <c r="BM446" s="19" t="s">
        <v>13203</v>
      </c>
      <c r="BN446" s="19" t="s">
        <v>13204</v>
      </c>
      <c r="BO446" s="19" t="s">
        <v>13205</v>
      </c>
      <c r="BP446" s="19" t="s">
        <v>13206</v>
      </c>
      <c r="BQ446" s="15" t="s">
        <v>1321</v>
      </c>
      <c r="BR446" s="26"/>
      <c r="BS446" s="26"/>
      <c r="BT446" s="19" t="s">
        <v>13207</v>
      </c>
      <c r="BU446" s="19" t="s">
        <v>13208</v>
      </c>
      <c r="BV446" s="19" t="s">
        <v>13209</v>
      </c>
      <c r="BW446" s="15" t="s">
        <v>13210</v>
      </c>
      <c r="BX446" s="26"/>
      <c r="BY446" s="18" t="str">
        <f t="shared" si="107"/>
        <v>MECH</v>
      </c>
      <c r="BZ446" s="24" t="str">
        <f t="shared" si="100"/>
        <v>https://drive.google.com/open?id=15YRkH3LTYqopKx38vRhbhGlNtbVN1lhT</v>
      </c>
      <c r="CA446" s="24" t="str">
        <f t="shared" si="101"/>
        <v>https://drive.google.com/open?id=1IvsevRIoMR9PfZnSNxEhIHkmXYgSYvng</v>
      </c>
      <c r="CB446" s="15" t="s">
        <v>2821</v>
      </c>
      <c r="CC446" s="15" t="s">
        <v>2821</v>
      </c>
      <c r="CD446" s="25" t="s">
        <v>2909</v>
      </c>
      <c r="CE446" s="18"/>
      <c r="CF446" s="18"/>
      <c r="CG446" s="18"/>
    </row>
    <row r="447" ht="18.75" hidden="1" customHeight="1">
      <c r="A447" s="14">
        <v>44734.53743577546</v>
      </c>
      <c r="B447" s="15" t="s">
        <v>2427</v>
      </c>
      <c r="C447" s="16" t="s">
        <v>13211</v>
      </c>
      <c r="D447" s="15" t="str">
        <f>IFERROR(__xludf.DUMMYFUNCTION("QUERY(TY_ALL_2023_Batch!$A$1:$E$824, ""SELECT E WHERE C='""&amp;B447&amp;""'"", 0)"),"MECH")</f>
        <v>MECH</v>
      </c>
      <c r="E447" s="15" t="s">
        <v>13212</v>
      </c>
      <c r="F447" s="15" t="s">
        <v>13213</v>
      </c>
      <c r="G447" s="15" t="s">
        <v>13214</v>
      </c>
      <c r="H447" s="15" t="s">
        <v>2826</v>
      </c>
      <c r="I447" s="17">
        <v>37187.0</v>
      </c>
      <c r="J447" s="15">
        <v>2019.0</v>
      </c>
      <c r="K447" s="15" t="s">
        <v>2786</v>
      </c>
      <c r="L447" s="15" t="s">
        <v>2787</v>
      </c>
      <c r="M447" s="18"/>
      <c r="N447" s="15" t="s">
        <v>13215</v>
      </c>
      <c r="O447" s="15" t="s">
        <v>2427</v>
      </c>
      <c r="P447" s="19" t="s">
        <v>13216</v>
      </c>
      <c r="Q447" s="15">
        <v>9.527242054E9</v>
      </c>
      <c r="R447" s="15">
        <v>9.527242054E9</v>
      </c>
      <c r="S447" s="18"/>
      <c r="T447" s="15" t="s">
        <v>13217</v>
      </c>
      <c r="U447" s="15" t="s">
        <v>13218</v>
      </c>
      <c r="V447" s="15" t="s">
        <v>13219</v>
      </c>
      <c r="W447" s="15" t="s">
        <v>13220</v>
      </c>
      <c r="X447" s="15">
        <v>96.0</v>
      </c>
      <c r="Y447" s="15" t="s">
        <v>2795</v>
      </c>
      <c r="Z447" s="15">
        <v>9.38</v>
      </c>
      <c r="AA447" s="15">
        <v>9.0</v>
      </c>
      <c r="AB447" s="15" t="s">
        <v>2796</v>
      </c>
      <c r="AC447" s="15" t="s">
        <v>2796</v>
      </c>
      <c r="AD447" s="15" t="s">
        <v>2796</v>
      </c>
      <c r="AE447" s="15" t="s">
        <v>2796</v>
      </c>
      <c r="AF447" s="15">
        <v>8.37</v>
      </c>
      <c r="AG447" s="15">
        <v>8.9</v>
      </c>
      <c r="AH447" s="15">
        <v>75.6</v>
      </c>
      <c r="AI447" s="18"/>
      <c r="AJ447" s="15" t="s">
        <v>2787</v>
      </c>
      <c r="AK447" s="15" t="s">
        <v>2787</v>
      </c>
      <c r="AL447" s="15">
        <v>675.0</v>
      </c>
      <c r="AM447" s="15">
        <v>679.15</v>
      </c>
      <c r="AN447" s="15" t="s">
        <v>2797</v>
      </c>
      <c r="AO447" s="18"/>
      <c r="AP447" s="18"/>
      <c r="AQ447" s="15" t="s">
        <v>13221</v>
      </c>
      <c r="AR447" s="15" t="s">
        <v>13222</v>
      </c>
      <c r="AS447" s="15" t="s">
        <v>13223</v>
      </c>
      <c r="AT447" s="18"/>
      <c r="AU447" s="15" t="s">
        <v>2796</v>
      </c>
      <c r="AV447" s="15" t="s">
        <v>13224</v>
      </c>
      <c r="AW447" s="15" t="s">
        <v>13225</v>
      </c>
      <c r="AX447" s="18"/>
      <c r="AY447" s="15" t="s">
        <v>13226</v>
      </c>
      <c r="AZ447" s="15" t="s">
        <v>3960</v>
      </c>
      <c r="BA447" s="15" t="s">
        <v>2899</v>
      </c>
      <c r="BB447" s="15" t="s">
        <v>2807</v>
      </c>
      <c r="BC447" s="15" t="s">
        <v>3132</v>
      </c>
      <c r="BD447" s="15" t="s">
        <v>2807</v>
      </c>
      <c r="BE447" s="15" t="s">
        <v>13227</v>
      </c>
      <c r="BF447" s="15" t="s">
        <v>13228</v>
      </c>
      <c r="BG447" s="15" t="s">
        <v>3006</v>
      </c>
      <c r="BH447" s="15" t="s">
        <v>13229</v>
      </c>
      <c r="BI447" s="15" t="s">
        <v>13230</v>
      </c>
      <c r="BJ447" s="19" t="s">
        <v>13231</v>
      </c>
      <c r="BK447" s="19" t="s">
        <v>13232</v>
      </c>
      <c r="BL447" s="18"/>
      <c r="BM447" s="18"/>
      <c r="BN447" s="19" t="s">
        <v>13233</v>
      </c>
      <c r="BO447" s="19" t="s">
        <v>13234</v>
      </c>
      <c r="BP447" s="19" t="s">
        <v>13235</v>
      </c>
      <c r="BQ447" s="15" t="s">
        <v>1321</v>
      </c>
      <c r="BR447" s="26"/>
      <c r="BS447" s="26"/>
      <c r="BT447" s="26"/>
      <c r="BU447" s="26"/>
      <c r="BV447" s="26"/>
      <c r="BW447" s="26"/>
      <c r="BX447" s="26"/>
      <c r="BY447" s="18" t="str">
        <f t="shared" si="107"/>
        <v>MECH</v>
      </c>
      <c r="BZ447" s="18" t="str">
        <f t="shared" si="100"/>
        <v/>
      </c>
      <c r="CA447" s="18" t="str">
        <f t="shared" si="101"/>
        <v/>
      </c>
      <c r="CB447" s="15" t="s">
        <v>2908</v>
      </c>
      <c r="CC447" s="15" t="s">
        <v>2908</v>
      </c>
      <c r="CD447" s="25" t="s">
        <v>2797</v>
      </c>
      <c r="CE447" s="18"/>
      <c r="CF447" s="18"/>
      <c r="CG447" s="18"/>
    </row>
    <row r="448" ht="18.75" hidden="1" customHeight="1">
      <c r="A448" s="14">
        <v>44736.454967337966</v>
      </c>
      <c r="B448" s="15" t="s">
        <v>1344</v>
      </c>
      <c r="C448" s="15">
        <v>2.2020004E8</v>
      </c>
      <c r="D448" s="15" t="str">
        <f>IFERROR(__xludf.DUMMYFUNCTION("QUERY(TY_ALL_2023_Batch!$A$1:$E$824, ""SELECT E WHERE C='""&amp;B448&amp;""'"", 0)"),"MECH")</f>
        <v>MECH</v>
      </c>
      <c r="E448" s="15" t="s">
        <v>8191</v>
      </c>
      <c r="F448" s="15" t="s">
        <v>13236</v>
      </c>
      <c r="G448" s="15" t="s">
        <v>13237</v>
      </c>
      <c r="H448" s="15" t="s">
        <v>2826</v>
      </c>
      <c r="I448" s="17">
        <v>37226.0</v>
      </c>
      <c r="J448" s="15">
        <v>2020.0</v>
      </c>
      <c r="K448" s="15" t="s">
        <v>2941</v>
      </c>
      <c r="L448" s="15" t="s">
        <v>2787</v>
      </c>
      <c r="M448" s="18"/>
      <c r="N448" s="15" t="s">
        <v>13238</v>
      </c>
      <c r="O448" s="15" t="s">
        <v>1344</v>
      </c>
      <c r="P448" s="19" t="s">
        <v>13239</v>
      </c>
      <c r="Q448" s="15">
        <v>8.975682327E9</v>
      </c>
      <c r="R448" s="15">
        <v>8.975682327E9</v>
      </c>
      <c r="S448" s="15">
        <v>7.499188155E9</v>
      </c>
      <c r="T448" s="15" t="s">
        <v>13240</v>
      </c>
      <c r="U448" s="15" t="s">
        <v>13241</v>
      </c>
      <c r="V448" s="15" t="s">
        <v>13242</v>
      </c>
      <c r="W448" s="18"/>
      <c r="X448" s="15">
        <v>91.2</v>
      </c>
      <c r="Y448" s="15" t="s">
        <v>2948</v>
      </c>
      <c r="Z448" s="15">
        <v>8.67</v>
      </c>
      <c r="AA448" s="15">
        <v>8.62</v>
      </c>
      <c r="AB448" s="15" t="s">
        <v>2796</v>
      </c>
      <c r="AC448" s="15" t="s">
        <v>2796</v>
      </c>
      <c r="AD448" s="15" t="s">
        <v>2796</v>
      </c>
      <c r="AE448" s="15" t="s">
        <v>2796</v>
      </c>
      <c r="AF448" s="18"/>
      <c r="AG448" s="18"/>
      <c r="AH448" s="18"/>
      <c r="AI448" s="15">
        <v>80.93</v>
      </c>
      <c r="AJ448" s="15" t="s">
        <v>2787</v>
      </c>
      <c r="AK448" s="15" t="s">
        <v>2787</v>
      </c>
      <c r="AL448" s="15">
        <v>575.0</v>
      </c>
      <c r="AM448" s="15">
        <v>325.0</v>
      </c>
      <c r="AN448" s="15" t="s">
        <v>2797</v>
      </c>
      <c r="AO448" s="18"/>
      <c r="AP448" s="18"/>
      <c r="AQ448" s="15" t="s">
        <v>13243</v>
      </c>
      <c r="AR448" s="18"/>
      <c r="AS448" s="18"/>
      <c r="AT448" s="18"/>
      <c r="AU448" s="15" t="s">
        <v>2796</v>
      </c>
      <c r="AV448" s="15" t="s">
        <v>2796</v>
      </c>
      <c r="AW448" s="15" t="s">
        <v>13244</v>
      </c>
      <c r="AX448" s="18"/>
      <c r="AY448" s="15" t="s">
        <v>13245</v>
      </c>
      <c r="AZ448" s="15" t="s">
        <v>9648</v>
      </c>
      <c r="BA448" s="15" t="s">
        <v>2870</v>
      </c>
      <c r="BB448" s="15" t="s">
        <v>2807</v>
      </c>
      <c r="BC448" s="15" t="s">
        <v>13246</v>
      </c>
      <c r="BD448" s="15" t="s">
        <v>2807</v>
      </c>
      <c r="BE448" s="15" t="s">
        <v>13247</v>
      </c>
      <c r="BF448" s="18"/>
      <c r="BG448" s="18"/>
      <c r="BH448" s="18"/>
      <c r="BI448" s="15" t="s">
        <v>13248</v>
      </c>
      <c r="BJ448" s="19" t="s">
        <v>13249</v>
      </c>
      <c r="BK448" s="19" t="s">
        <v>13250</v>
      </c>
      <c r="BL448" s="19" t="s">
        <v>13251</v>
      </c>
      <c r="BM448" s="19" t="s">
        <v>13252</v>
      </c>
      <c r="BN448" s="19" t="s">
        <v>13253</v>
      </c>
      <c r="BO448" s="19" t="s">
        <v>13254</v>
      </c>
      <c r="BP448" s="18"/>
      <c r="BQ448" s="15" t="s">
        <v>1321</v>
      </c>
      <c r="BR448" s="26"/>
      <c r="BS448" s="26"/>
      <c r="BT448" s="26"/>
      <c r="BU448" s="26"/>
      <c r="BV448" s="26"/>
      <c r="BW448" s="26"/>
      <c r="BX448" s="26"/>
      <c r="BY448" s="18" t="str">
        <f t="shared" si="107"/>
        <v>MECH</v>
      </c>
      <c r="BZ448" s="24" t="str">
        <f t="shared" si="100"/>
        <v>https://drive.google.com/open?id=1dt9mPFcido2Jb6Eibo1ZPfn7GWLwh9ih</v>
      </c>
      <c r="CA448" s="24" t="str">
        <f t="shared" si="101"/>
        <v>https://drive.google.com/open?id=1XCIAc3EjkSovHyMXhLMaHd8LNtgfwTvy</v>
      </c>
      <c r="CB448" s="15" t="s">
        <v>2908</v>
      </c>
      <c r="CC448" s="15" t="s">
        <v>2821</v>
      </c>
      <c r="CD448" s="25" t="s">
        <v>2797</v>
      </c>
      <c r="CE448" s="18"/>
      <c r="CF448" s="18"/>
      <c r="CG448" s="18"/>
    </row>
    <row r="449" ht="18.75" hidden="1" customHeight="1">
      <c r="A449" s="14">
        <v>44742.7638274537</v>
      </c>
      <c r="B449" s="15" t="s">
        <v>2436</v>
      </c>
      <c r="C449" s="16" t="s">
        <v>13255</v>
      </c>
      <c r="D449" s="15" t="str">
        <f>IFERROR(__xludf.DUMMYFUNCTION("QUERY(TY_ALL_2023_Batch!$A$1:$E$824, ""SELECT E WHERE C='""&amp;B449&amp;""'"", 0)"),"MECH")</f>
        <v>MECH</v>
      </c>
      <c r="E449" s="15" t="s">
        <v>4447</v>
      </c>
      <c r="F449" s="15" t="s">
        <v>4134</v>
      </c>
      <c r="G449" s="15" t="s">
        <v>5691</v>
      </c>
      <c r="H449" s="15" t="s">
        <v>2785</v>
      </c>
      <c r="I449" s="17">
        <v>37183.0</v>
      </c>
      <c r="J449" s="15">
        <v>2019.0</v>
      </c>
      <c r="K449" s="15" t="s">
        <v>2786</v>
      </c>
      <c r="L449" s="15" t="s">
        <v>2787</v>
      </c>
      <c r="M449" s="18"/>
      <c r="N449" s="15" t="s">
        <v>13256</v>
      </c>
      <c r="O449" s="15" t="s">
        <v>2436</v>
      </c>
      <c r="P449" s="19" t="s">
        <v>13257</v>
      </c>
      <c r="Q449" s="15">
        <v>7.756872899E9</v>
      </c>
      <c r="R449" s="15">
        <v>7.756872899E9</v>
      </c>
      <c r="S449" s="15">
        <v>7.972528934E9</v>
      </c>
      <c r="T449" s="15" t="s">
        <v>4134</v>
      </c>
      <c r="U449" s="15" t="s">
        <v>13258</v>
      </c>
      <c r="V449" s="15" t="s">
        <v>13259</v>
      </c>
      <c r="W449" s="18"/>
      <c r="X449" s="15">
        <v>89.0</v>
      </c>
      <c r="Y449" s="15" t="s">
        <v>2795</v>
      </c>
      <c r="Z449" s="15">
        <v>9.62</v>
      </c>
      <c r="AA449" s="15">
        <v>9.29</v>
      </c>
      <c r="AB449" s="15">
        <v>9.1</v>
      </c>
      <c r="AC449" s="15">
        <v>8.9</v>
      </c>
      <c r="AD449" s="15" t="s">
        <v>2796</v>
      </c>
      <c r="AE449" s="15" t="s">
        <v>2796</v>
      </c>
      <c r="AF449" s="15">
        <v>9.38</v>
      </c>
      <c r="AG449" s="15">
        <v>9.63</v>
      </c>
      <c r="AH449" s="15">
        <v>70.0</v>
      </c>
      <c r="AI449" s="18"/>
      <c r="AJ449" s="15" t="s">
        <v>2787</v>
      </c>
      <c r="AK449" s="15" t="s">
        <v>2787</v>
      </c>
      <c r="AL449" s="15">
        <v>640.0</v>
      </c>
      <c r="AM449" s="15">
        <v>663.3</v>
      </c>
      <c r="AN449" s="15" t="s">
        <v>2797</v>
      </c>
      <c r="AO449" s="18"/>
      <c r="AP449" s="18"/>
      <c r="AQ449" s="15" t="s">
        <v>5356</v>
      </c>
      <c r="AR449" s="18"/>
      <c r="AS449" s="15" t="s">
        <v>5415</v>
      </c>
      <c r="AT449" s="18"/>
      <c r="AU449" s="15" t="s">
        <v>13260</v>
      </c>
      <c r="AV449" s="15" t="s">
        <v>13261</v>
      </c>
      <c r="AW449" s="15" t="s">
        <v>13262</v>
      </c>
      <c r="AX449" s="15" t="s">
        <v>13263</v>
      </c>
      <c r="AY449" s="15" t="s">
        <v>13264</v>
      </c>
      <c r="AZ449" s="15" t="s">
        <v>5287</v>
      </c>
      <c r="BA449" s="15" t="s">
        <v>5552</v>
      </c>
      <c r="BB449" s="15" t="s">
        <v>5673</v>
      </c>
      <c r="BC449" s="15" t="s">
        <v>2841</v>
      </c>
      <c r="BD449" s="15" t="s">
        <v>2807</v>
      </c>
      <c r="BE449" s="15" t="s">
        <v>13265</v>
      </c>
      <c r="BF449" s="18"/>
      <c r="BG449" s="18"/>
      <c r="BH449" s="18"/>
      <c r="BI449" s="15" t="s">
        <v>13266</v>
      </c>
      <c r="BJ449" s="19" t="s">
        <v>13267</v>
      </c>
      <c r="BK449" s="19" t="s">
        <v>13268</v>
      </c>
      <c r="BL449" s="19" t="s">
        <v>13269</v>
      </c>
      <c r="BM449" s="19" t="s">
        <v>13270</v>
      </c>
      <c r="BN449" s="19" t="s">
        <v>13271</v>
      </c>
      <c r="BO449" s="19" t="s">
        <v>13272</v>
      </c>
      <c r="BP449" s="19" t="s">
        <v>13273</v>
      </c>
      <c r="BQ449" s="15" t="s">
        <v>1321</v>
      </c>
      <c r="BR449" s="26"/>
      <c r="BS449" s="26"/>
      <c r="BT449" s="26"/>
      <c r="BU449" s="19" t="s">
        <v>13274</v>
      </c>
      <c r="BV449" s="19" t="s">
        <v>13275</v>
      </c>
      <c r="BW449" s="15" t="s">
        <v>13276</v>
      </c>
      <c r="BX449" s="26"/>
      <c r="BY449" s="18" t="str">
        <f t="shared" si="107"/>
        <v>MECH</v>
      </c>
      <c r="BZ449" s="24" t="str">
        <f t="shared" si="100"/>
        <v>https://drive.google.com/open?id=1ZvgfzZokh7jvwBgAaheT3F5HcQnDyqNd</v>
      </c>
      <c r="CA449" s="24" t="str">
        <f t="shared" si="101"/>
        <v>https://drive.google.com/open?id=1-6RPnjnd-03DtxOkfnRNJguRzymNClbP</v>
      </c>
      <c r="CB449" s="15" t="s">
        <v>2821</v>
      </c>
      <c r="CC449" s="15" t="s">
        <v>2821</v>
      </c>
      <c r="CD449" s="25" t="s">
        <v>2797</v>
      </c>
      <c r="CE449" s="18"/>
      <c r="CF449" s="18"/>
      <c r="CG449" s="18"/>
    </row>
    <row r="450" ht="18.75" hidden="1" customHeight="1">
      <c r="A450" s="14">
        <v>44743.4976684838</v>
      </c>
      <c r="B450" s="15" t="s">
        <v>2457</v>
      </c>
      <c r="C450" s="16" t="s">
        <v>13277</v>
      </c>
      <c r="D450" s="15" t="str">
        <f>IFERROR(__xludf.DUMMYFUNCTION("QUERY(TY_ALL_2023_Batch!$A$1:$E$824, ""SELECT E WHERE C='""&amp;B450&amp;""'"", 0)"),"MECH")</f>
        <v>MECH</v>
      </c>
      <c r="E450" s="15" t="s">
        <v>10187</v>
      </c>
      <c r="F450" s="15" t="s">
        <v>5719</v>
      </c>
      <c r="G450" s="15" t="s">
        <v>13278</v>
      </c>
      <c r="H450" s="15" t="s">
        <v>2785</v>
      </c>
      <c r="I450" s="17">
        <v>37094.0</v>
      </c>
      <c r="J450" s="15">
        <v>2019.0</v>
      </c>
      <c r="K450" s="15" t="s">
        <v>2786</v>
      </c>
      <c r="L450" s="15" t="s">
        <v>2787</v>
      </c>
      <c r="M450" s="18"/>
      <c r="N450" s="15" t="s">
        <v>13279</v>
      </c>
      <c r="O450" s="15" t="s">
        <v>2457</v>
      </c>
      <c r="P450" s="19" t="s">
        <v>13280</v>
      </c>
      <c r="Q450" s="15">
        <v>9.403900084E9</v>
      </c>
      <c r="R450" s="15">
        <v>9.403900084E9</v>
      </c>
      <c r="S450" s="15">
        <v>7.248919986E9</v>
      </c>
      <c r="T450" s="15" t="s">
        <v>5719</v>
      </c>
      <c r="U450" s="15" t="s">
        <v>7717</v>
      </c>
      <c r="V450" s="15" t="s">
        <v>13281</v>
      </c>
      <c r="W450" s="15" t="s">
        <v>13282</v>
      </c>
      <c r="X450" s="15">
        <v>94.6</v>
      </c>
      <c r="Y450" s="15" t="s">
        <v>2795</v>
      </c>
      <c r="Z450" s="15">
        <v>9.05</v>
      </c>
      <c r="AA450" s="15">
        <v>8.9</v>
      </c>
      <c r="AB450" s="15" t="s">
        <v>2796</v>
      </c>
      <c r="AC450" s="15" t="s">
        <v>2796</v>
      </c>
      <c r="AD450" s="15" t="s">
        <v>2796</v>
      </c>
      <c r="AE450" s="15" t="s">
        <v>2796</v>
      </c>
      <c r="AF450" s="15">
        <v>8.1</v>
      </c>
      <c r="AG450" s="15">
        <v>8.8</v>
      </c>
      <c r="AH450" s="15">
        <v>63.0</v>
      </c>
      <c r="AI450" s="18"/>
      <c r="AJ450" s="15" t="s">
        <v>2787</v>
      </c>
      <c r="AK450" s="15" t="s">
        <v>2787</v>
      </c>
      <c r="AL450" s="15">
        <v>94.0</v>
      </c>
      <c r="AM450" s="15">
        <v>63.0</v>
      </c>
      <c r="AN450" s="15" t="s">
        <v>2797</v>
      </c>
      <c r="AO450" s="18"/>
      <c r="AP450" s="15"/>
      <c r="AQ450" s="15" t="s">
        <v>13283</v>
      </c>
      <c r="AR450" s="18"/>
      <c r="AS450" s="18"/>
      <c r="AT450" s="18"/>
      <c r="AU450" s="15" t="s">
        <v>13284</v>
      </c>
      <c r="AV450" s="15" t="s">
        <v>13285</v>
      </c>
      <c r="AW450" s="15" t="s">
        <v>13286</v>
      </c>
      <c r="AX450" s="18"/>
      <c r="AY450" s="15" t="s">
        <v>13287</v>
      </c>
      <c r="AZ450" s="15" t="s">
        <v>9648</v>
      </c>
      <c r="BA450" s="15" t="s">
        <v>2899</v>
      </c>
      <c r="BB450" s="15" t="s">
        <v>2807</v>
      </c>
      <c r="BC450" s="15" t="s">
        <v>13288</v>
      </c>
      <c r="BD450" s="15" t="s">
        <v>2807</v>
      </c>
      <c r="BE450" s="15" t="s">
        <v>13289</v>
      </c>
      <c r="BF450" s="18"/>
      <c r="BG450" s="18"/>
      <c r="BH450" s="18"/>
      <c r="BI450" s="15" t="s">
        <v>13290</v>
      </c>
      <c r="BJ450" s="19" t="s">
        <v>13291</v>
      </c>
      <c r="BK450" s="19" t="s">
        <v>13292</v>
      </c>
      <c r="BL450" s="19" t="s">
        <v>13293</v>
      </c>
      <c r="BM450" s="19" t="s">
        <v>13294</v>
      </c>
      <c r="BN450" s="19" t="s">
        <v>13295</v>
      </c>
      <c r="BO450" s="19" t="s">
        <v>13296</v>
      </c>
      <c r="BP450" s="19" t="s">
        <v>13297</v>
      </c>
      <c r="BQ450" s="15" t="s">
        <v>1321</v>
      </c>
      <c r="BR450" s="26"/>
      <c r="BS450" s="26"/>
      <c r="BT450" s="26"/>
      <c r="BU450" s="26"/>
      <c r="BV450" s="26"/>
      <c r="BW450" s="15" t="s">
        <v>13298</v>
      </c>
      <c r="BX450" s="26"/>
      <c r="BY450" s="18" t="str">
        <f t="shared" si="107"/>
        <v>MECH</v>
      </c>
      <c r="BZ450" s="24" t="str">
        <f t="shared" si="100"/>
        <v>https://drive.google.com/open?id=1aewVYY09GeeZYdVrwwwuE8wXjNGj_wFK</v>
      </c>
      <c r="CA450" s="24" t="str">
        <f t="shared" si="101"/>
        <v>https://drive.google.com/open?id=1X8M7fk7g25MOTyPksUsEOEPFclTzIlyr</v>
      </c>
      <c r="CB450" s="15" t="s">
        <v>2821</v>
      </c>
      <c r="CC450" s="15" t="s">
        <v>2821</v>
      </c>
      <c r="CD450" s="25" t="s">
        <v>2797</v>
      </c>
      <c r="CE450" s="18"/>
      <c r="CF450" s="18"/>
      <c r="CG450" s="18"/>
    </row>
    <row r="451" ht="18.75" hidden="1" customHeight="1">
      <c r="A451" s="14">
        <v>44735.66700339121</v>
      </c>
      <c r="B451" s="15" t="s">
        <v>2373</v>
      </c>
      <c r="C451" s="16" t="s">
        <v>13299</v>
      </c>
      <c r="D451" s="15" t="str">
        <f>IFERROR(__xludf.DUMMYFUNCTION("QUERY(TY_ALL_2023_Batch!$A$1:$E$824, ""SELECT E WHERE C='""&amp;B451&amp;""'"", 0)"),"MECH")</f>
        <v>MECH</v>
      </c>
      <c r="E451" s="15" t="s">
        <v>11807</v>
      </c>
      <c r="F451" s="15" t="s">
        <v>13300</v>
      </c>
      <c r="G451" s="15" t="s">
        <v>13301</v>
      </c>
      <c r="H451" s="15" t="s">
        <v>2785</v>
      </c>
      <c r="I451" s="17">
        <v>37141.0</v>
      </c>
      <c r="J451" s="15">
        <v>2019.0</v>
      </c>
      <c r="K451" s="15" t="s">
        <v>2786</v>
      </c>
      <c r="L451" s="15" t="s">
        <v>2787</v>
      </c>
      <c r="M451" s="18"/>
      <c r="N451" s="15" t="s">
        <v>13302</v>
      </c>
      <c r="O451" s="15" t="s">
        <v>13303</v>
      </c>
      <c r="P451" s="19" t="s">
        <v>13304</v>
      </c>
      <c r="Q451" s="15">
        <v>9.767406852E9</v>
      </c>
      <c r="R451" s="15">
        <v>9.767406852E9</v>
      </c>
      <c r="S451" s="15">
        <v>9.17568788E9</v>
      </c>
      <c r="T451" s="15" t="s">
        <v>13305</v>
      </c>
      <c r="U451" s="15" t="s">
        <v>13306</v>
      </c>
      <c r="V451" s="15" t="s">
        <v>13307</v>
      </c>
      <c r="W451" s="18"/>
      <c r="X451" s="15">
        <v>85.0</v>
      </c>
      <c r="Y451" s="15" t="s">
        <v>2795</v>
      </c>
      <c r="Z451" s="15">
        <v>8.71</v>
      </c>
      <c r="AA451" s="15">
        <v>9.24</v>
      </c>
      <c r="AB451" s="15" t="s">
        <v>2796</v>
      </c>
      <c r="AC451" s="15" t="s">
        <v>2796</v>
      </c>
      <c r="AD451" s="15" t="s">
        <v>2796</v>
      </c>
      <c r="AE451" s="15" t="s">
        <v>2796</v>
      </c>
      <c r="AF451" s="15">
        <v>7.58</v>
      </c>
      <c r="AG451" s="15">
        <v>8.0</v>
      </c>
      <c r="AH451" s="15">
        <v>72.0</v>
      </c>
      <c r="AI451" s="18"/>
      <c r="AJ451" s="15" t="s">
        <v>2787</v>
      </c>
      <c r="AK451" s="15" t="s">
        <v>2787</v>
      </c>
      <c r="AL451" s="15">
        <v>80.666</v>
      </c>
      <c r="AM451" s="15">
        <v>97.0</v>
      </c>
      <c r="AN451" s="15" t="s">
        <v>2787</v>
      </c>
      <c r="AO451" s="18"/>
      <c r="AP451" s="15" t="s">
        <v>6277</v>
      </c>
      <c r="AQ451" s="15" t="s">
        <v>13308</v>
      </c>
      <c r="AR451" s="15" t="s">
        <v>13309</v>
      </c>
      <c r="AS451" s="18"/>
      <c r="AT451" s="18"/>
      <c r="AU451" s="15" t="s">
        <v>13310</v>
      </c>
      <c r="AV451" s="15" t="s">
        <v>13311</v>
      </c>
      <c r="AW451" s="15" t="s">
        <v>13312</v>
      </c>
      <c r="AX451" s="18"/>
      <c r="AY451" s="15" t="s">
        <v>13313</v>
      </c>
      <c r="AZ451" s="15" t="s">
        <v>3960</v>
      </c>
      <c r="BA451" s="15" t="s">
        <v>4085</v>
      </c>
      <c r="BB451" s="15" t="s">
        <v>2807</v>
      </c>
      <c r="BC451" s="15" t="s">
        <v>2841</v>
      </c>
      <c r="BD451" s="15" t="s">
        <v>2807</v>
      </c>
      <c r="BE451" s="15" t="s">
        <v>2796</v>
      </c>
      <c r="BF451" s="15" t="s">
        <v>13314</v>
      </c>
      <c r="BG451" s="18"/>
      <c r="BH451" s="18"/>
      <c r="BI451" s="15" t="s">
        <v>13315</v>
      </c>
      <c r="BJ451" s="19" t="s">
        <v>13316</v>
      </c>
      <c r="BK451" s="19" t="s">
        <v>13317</v>
      </c>
      <c r="BL451" s="19" t="s">
        <v>13318</v>
      </c>
      <c r="BM451" s="19" t="s">
        <v>13319</v>
      </c>
      <c r="BN451" s="19" t="s">
        <v>13320</v>
      </c>
      <c r="BO451" s="19" t="s">
        <v>13321</v>
      </c>
      <c r="BP451" s="19" t="s">
        <v>13322</v>
      </c>
      <c r="BQ451" s="15" t="s">
        <v>1321</v>
      </c>
      <c r="BR451" s="26"/>
      <c r="BS451" s="26"/>
      <c r="BT451" s="26"/>
      <c r="BU451" s="26"/>
      <c r="BV451" s="26"/>
      <c r="BW451" s="26"/>
      <c r="BX451" s="26"/>
      <c r="BY451" s="18" t="str">
        <f t="shared" si="107"/>
        <v>MECH</v>
      </c>
      <c r="BZ451" s="24" t="str">
        <f t="shared" si="100"/>
        <v>https://drive.google.com/open?id=1Kb_ky0LJ5PPDRAwM-jchEI9LU2DF_-6R</v>
      </c>
      <c r="CA451" s="24" t="str">
        <f t="shared" si="101"/>
        <v>https://drive.google.com/open?id=16V6DX6JcTF2qZ5o48U7vaDXsO6OUQCbx</v>
      </c>
      <c r="CB451" s="15" t="s">
        <v>2821</v>
      </c>
      <c r="CC451" s="15" t="s">
        <v>2821</v>
      </c>
      <c r="CD451" s="25" t="s">
        <v>2797</v>
      </c>
      <c r="CE451" s="18"/>
      <c r="CF451" s="18"/>
      <c r="CG451" s="18"/>
    </row>
    <row r="452" ht="18.75" hidden="1" customHeight="1">
      <c r="A452" s="14">
        <v>44741.864407905094</v>
      </c>
      <c r="B452" s="15" t="s">
        <v>2391</v>
      </c>
      <c r="C452" s="16" t="s">
        <v>13323</v>
      </c>
      <c r="D452" s="15" t="str">
        <f>IFERROR(__xludf.DUMMYFUNCTION("QUERY(TY_ALL_2023_Batch!$A$1:$E$824, ""SELECT E WHERE C='""&amp;B452&amp;""'"", 0)"),"MECH")</f>
        <v>MECH</v>
      </c>
      <c r="E452" s="15" t="s">
        <v>4564</v>
      </c>
      <c r="F452" s="15" t="s">
        <v>13324</v>
      </c>
      <c r="G452" s="15" t="s">
        <v>13325</v>
      </c>
      <c r="H452" s="15" t="s">
        <v>2785</v>
      </c>
      <c r="I452" s="17">
        <v>37233.0</v>
      </c>
      <c r="J452" s="15">
        <v>2019.0</v>
      </c>
      <c r="K452" s="15" t="s">
        <v>2786</v>
      </c>
      <c r="L452" s="15" t="s">
        <v>2787</v>
      </c>
      <c r="M452" s="18"/>
      <c r="N452" s="15" t="s">
        <v>13326</v>
      </c>
      <c r="O452" s="15" t="s">
        <v>2391</v>
      </c>
      <c r="P452" s="19" t="s">
        <v>13327</v>
      </c>
      <c r="Q452" s="15">
        <v>7.385364794E9</v>
      </c>
      <c r="R452" s="15">
        <v>7.385364794E9</v>
      </c>
      <c r="S452" s="15">
        <v>7.083194794E9</v>
      </c>
      <c r="T452" s="15" t="s">
        <v>13328</v>
      </c>
      <c r="U452" s="15" t="s">
        <v>3885</v>
      </c>
      <c r="V452" s="15" t="s">
        <v>13329</v>
      </c>
      <c r="W452" s="15" t="s">
        <v>13329</v>
      </c>
      <c r="X452" s="15">
        <v>71.6</v>
      </c>
      <c r="Y452" s="15" t="s">
        <v>2795</v>
      </c>
      <c r="Z452" s="15">
        <v>8.43</v>
      </c>
      <c r="AA452" s="15">
        <v>7.62</v>
      </c>
      <c r="AB452" s="15" t="s">
        <v>2796</v>
      </c>
      <c r="AC452" s="15" t="s">
        <v>2796</v>
      </c>
      <c r="AD452" s="15" t="s">
        <v>2796</v>
      </c>
      <c r="AE452" s="15" t="s">
        <v>2796</v>
      </c>
      <c r="AF452" s="15">
        <v>7.05</v>
      </c>
      <c r="AG452" s="15">
        <v>7.48</v>
      </c>
      <c r="AH452" s="15">
        <v>50.92</v>
      </c>
      <c r="AI452" s="18"/>
      <c r="AJ452" s="15" t="s">
        <v>2787</v>
      </c>
      <c r="AK452" s="15" t="s">
        <v>2787</v>
      </c>
      <c r="AL452" s="15">
        <v>495.833</v>
      </c>
      <c r="AM452" s="15">
        <v>605.0</v>
      </c>
      <c r="AN452" s="15" t="s">
        <v>2797</v>
      </c>
      <c r="AO452" s="18"/>
      <c r="AP452" s="18"/>
      <c r="AQ452" s="15" t="s">
        <v>13330</v>
      </c>
      <c r="AR452" s="15" t="s">
        <v>13331</v>
      </c>
      <c r="AS452" s="18"/>
      <c r="AT452" s="18"/>
      <c r="AU452" s="15" t="s">
        <v>13332</v>
      </c>
      <c r="AV452" s="15" t="s">
        <v>13333</v>
      </c>
      <c r="AW452" s="15" t="s">
        <v>13334</v>
      </c>
      <c r="AX452" s="18"/>
      <c r="AY452" s="15" t="s">
        <v>13335</v>
      </c>
      <c r="AZ452" s="15" t="s">
        <v>8440</v>
      </c>
      <c r="BA452" s="15" t="s">
        <v>2899</v>
      </c>
      <c r="BB452" s="15" t="s">
        <v>12859</v>
      </c>
      <c r="BC452" s="15" t="s">
        <v>2808</v>
      </c>
      <c r="BD452" s="15" t="s">
        <v>2807</v>
      </c>
      <c r="BE452" s="15" t="s">
        <v>2796</v>
      </c>
      <c r="BF452" s="18"/>
      <c r="BG452" s="18"/>
      <c r="BH452" s="18"/>
      <c r="BI452" s="18"/>
      <c r="BJ452" s="19" t="s">
        <v>13336</v>
      </c>
      <c r="BK452" s="19" t="s">
        <v>13337</v>
      </c>
      <c r="BL452" s="19" t="s">
        <v>13338</v>
      </c>
      <c r="BM452" s="19" t="s">
        <v>13339</v>
      </c>
      <c r="BN452" s="19" t="s">
        <v>13340</v>
      </c>
      <c r="BO452" s="19" t="s">
        <v>13341</v>
      </c>
      <c r="BP452" s="18"/>
      <c r="BQ452" s="15" t="s">
        <v>1321</v>
      </c>
      <c r="BR452" s="26"/>
      <c r="BS452" s="19" t="s">
        <v>13342</v>
      </c>
      <c r="BT452" s="19" t="s">
        <v>13343</v>
      </c>
      <c r="BU452" s="26"/>
      <c r="BV452" s="26"/>
      <c r="BW452" s="15" t="s">
        <v>13344</v>
      </c>
      <c r="BX452" s="26"/>
      <c r="BY452" s="18" t="str">
        <f t="shared" si="107"/>
        <v>MECH</v>
      </c>
      <c r="BZ452" s="24" t="str">
        <f t="shared" si="100"/>
        <v>https://drive.google.com/open?id=1mmntpr9DkJz8Kl2_pq5I-aurATixhTjn</v>
      </c>
      <c r="CA452" s="24" t="str">
        <f t="shared" si="101"/>
        <v>https://drive.google.com/open?id=142N1OSA4zsKJtWjbOkDXQch5neos4iOp</v>
      </c>
      <c r="CB452" s="15" t="s">
        <v>2821</v>
      </c>
      <c r="CC452" s="15" t="s">
        <v>2821</v>
      </c>
      <c r="CD452" s="25" t="s">
        <v>2909</v>
      </c>
      <c r="CE452" s="18"/>
      <c r="CF452" s="18"/>
      <c r="CG452" s="18"/>
    </row>
    <row r="453" ht="18.75" hidden="1" customHeight="1">
      <c r="A453" s="14">
        <v>44741.84560508102</v>
      </c>
      <c r="B453" s="15" t="s">
        <v>2670</v>
      </c>
      <c r="C453" s="16" t="s">
        <v>13345</v>
      </c>
      <c r="D453" s="15" t="str">
        <f>IFERROR(__xludf.DUMMYFUNCTION("QUERY(TY_ALL_2023_Batch!$A$1:$E$824, ""SELECT E WHERE C='""&amp;B453&amp;""'"", 0)"),"MECH")</f>
        <v>MECH</v>
      </c>
      <c r="E453" s="15" t="s">
        <v>10538</v>
      </c>
      <c r="F453" s="15" t="s">
        <v>11288</v>
      </c>
      <c r="G453" s="15" t="s">
        <v>13346</v>
      </c>
      <c r="H453" s="15" t="s">
        <v>2826</v>
      </c>
      <c r="I453" s="17">
        <v>37047.0</v>
      </c>
      <c r="J453" s="15">
        <v>2019.0</v>
      </c>
      <c r="K453" s="15" t="s">
        <v>2786</v>
      </c>
      <c r="L453" s="15" t="s">
        <v>2787</v>
      </c>
      <c r="M453" s="18"/>
      <c r="N453" s="15" t="s">
        <v>13347</v>
      </c>
      <c r="O453" s="15" t="s">
        <v>2670</v>
      </c>
      <c r="P453" s="19" t="s">
        <v>13348</v>
      </c>
      <c r="Q453" s="15">
        <v>8.080186321E9</v>
      </c>
      <c r="R453" s="15">
        <v>8.080186321E9</v>
      </c>
      <c r="S453" s="15">
        <v>8.329396554E9</v>
      </c>
      <c r="T453" s="15" t="s">
        <v>13349</v>
      </c>
      <c r="U453" s="15" t="s">
        <v>13350</v>
      </c>
      <c r="V453" s="15" t="s">
        <v>13351</v>
      </c>
      <c r="W453" s="15" t="s">
        <v>13352</v>
      </c>
      <c r="X453" s="15">
        <v>97.0</v>
      </c>
      <c r="Y453" s="15" t="s">
        <v>2795</v>
      </c>
      <c r="Z453" s="15">
        <v>8.67</v>
      </c>
      <c r="AA453" s="15">
        <v>9.1</v>
      </c>
      <c r="AB453" s="15" t="s">
        <v>2796</v>
      </c>
      <c r="AC453" s="15" t="s">
        <v>2796</v>
      </c>
      <c r="AD453" s="15" t="s">
        <v>2796</v>
      </c>
      <c r="AE453" s="15" t="s">
        <v>2796</v>
      </c>
      <c r="AF453" s="15">
        <v>8.32</v>
      </c>
      <c r="AG453" s="15">
        <v>8.67</v>
      </c>
      <c r="AH453" s="15">
        <v>69.54</v>
      </c>
      <c r="AI453" s="18"/>
      <c r="AJ453" s="15" t="s">
        <v>2787</v>
      </c>
      <c r="AK453" s="15" t="s">
        <v>2787</v>
      </c>
      <c r="AL453" s="15">
        <v>518.5</v>
      </c>
      <c r="AM453" s="15">
        <v>398.33</v>
      </c>
      <c r="AN453" s="15" t="s">
        <v>2797</v>
      </c>
      <c r="AO453" s="18"/>
      <c r="AP453" s="18"/>
      <c r="AQ453" s="15" t="s">
        <v>13353</v>
      </c>
      <c r="AR453" s="15" t="s">
        <v>13354</v>
      </c>
      <c r="AS453" s="15" t="s">
        <v>13355</v>
      </c>
      <c r="AT453" s="18"/>
      <c r="AU453" s="15" t="s">
        <v>13356</v>
      </c>
      <c r="AV453" s="15" t="s">
        <v>13357</v>
      </c>
      <c r="AW453" s="15" t="s">
        <v>13358</v>
      </c>
      <c r="AX453" s="18"/>
      <c r="AY453" s="15" t="s">
        <v>13359</v>
      </c>
      <c r="AZ453" s="15" t="s">
        <v>8440</v>
      </c>
      <c r="BA453" s="15" t="s">
        <v>2839</v>
      </c>
      <c r="BB453" s="15" t="s">
        <v>2807</v>
      </c>
      <c r="BC453" s="15" t="s">
        <v>2808</v>
      </c>
      <c r="BD453" s="15" t="s">
        <v>2842</v>
      </c>
      <c r="BE453" s="15" t="s">
        <v>2796</v>
      </c>
      <c r="BF453" s="18"/>
      <c r="BG453" s="18"/>
      <c r="BH453" s="18"/>
      <c r="BI453" s="18"/>
      <c r="BJ453" s="19" t="s">
        <v>13360</v>
      </c>
      <c r="BK453" s="19" t="s">
        <v>13361</v>
      </c>
      <c r="BL453" s="19" t="s">
        <v>13362</v>
      </c>
      <c r="BM453" s="19" t="s">
        <v>13363</v>
      </c>
      <c r="BN453" s="19" t="s">
        <v>13364</v>
      </c>
      <c r="BO453" s="19" t="s">
        <v>13365</v>
      </c>
      <c r="BP453" s="18"/>
      <c r="BQ453" s="15" t="s">
        <v>1321</v>
      </c>
      <c r="BR453" s="26"/>
      <c r="BS453" s="19" t="s">
        <v>13366</v>
      </c>
      <c r="BT453" s="19" t="s">
        <v>13367</v>
      </c>
      <c r="BU453" s="19" t="s">
        <v>13368</v>
      </c>
      <c r="BV453" s="19" t="s">
        <v>13369</v>
      </c>
      <c r="BW453" s="15" t="s">
        <v>13370</v>
      </c>
      <c r="BX453" s="26"/>
      <c r="BY453" s="18" t="str">
        <f t="shared" si="107"/>
        <v>MECH</v>
      </c>
      <c r="BZ453" s="24" t="str">
        <f t="shared" si="100"/>
        <v>https://drive.google.com/open?id=1-65qK8g8a7iJc02S4I9q2ciJNONeSlOA</v>
      </c>
      <c r="CA453" s="24" t="str">
        <f t="shared" si="101"/>
        <v>https://drive.google.com/open?id=1IZw79baszbei_ceOrdqh7zt0gW_NbvJh</v>
      </c>
      <c r="CB453" s="15" t="s">
        <v>2821</v>
      </c>
      <c r="CC453" s="15" t="s">
        <v>2821</v>
      </c>
      <c r="CD453" s="25" t="s">
        <v>2909</v>
      </c>
      <c r="CE453" s="18"/>
      <c r="CF453" s="18"/>
      <c r="CG453" s="18"/>
    </row>
    <row r="454" ht="18.75" hidden="1" customHeight="1">
      <c r="A454" s="14">
        <v>44742.744644791666</v>
      </c>
      <c r="B454" s="15" t="s">
        <v>1395</v>
      </c>
      <c r="C454" s="16" t="s">
        <v>13371</v>
      </c>
      <c r="D454" s="15" t="str">
        <f>IFERROR(__xludf.DUMMYFUNCTION("QUERY(TY_ALL_2023_Batch!$A$1:$E$824, ""SELECT E WHERE C='""&amp;B454&amp;""'"", 0)"),"MECH")</f>
        <v>MECH</v>
      </c>
      <c r="E454" s="15" t="s">
        <v>13372</v>
      </c>
      <c r="F454" s="15" t="s">
        <v>13373</v>
      </c>
      <c r="G454" s="15" t="s">
        <v>13374</v>
      </c>
      <c r="H454" s="15" t="s">
        <v>2785</v>
      </c>
      <c r="I454" s="17">
        <v>36972.0</v>
      </c>
      <c r="J454" s="15">
        <v>2020.0</v>
      </c>
      <c r="K454" s="15" t="s">
        <v>2941</v>
      </c>
      <c r="L454" s="15" t="s">
        <v>2787</v>
      </c>
      <c r="M454" s="18"/>
      <c r="N454" s="15" t="s">
        <v>13375</v>
      </c>
      <c r="O454" s="15" t="s">
        <v>13376</v>
      </c>
      <c r="P454" s="19" t="s">
        <v>13377</v>
      </c>
      <c r="Q454" s="15">
        <v>9.76544774E9</v>
      </c>
      <c r="R454" s="15">
        <v>9.76544774E9</v>
      </c>
      <c r="S454" s="15">
        <v>7.038362067E9</v>
      </c>
      <c r="T454" s="15" t="s">
        <v>13378</v>
      </c>
      <c r="U454" s="15" t="s">
        <v>13379</v>
      </c>
      <c r="V454" s="15" t="s">
        <v>13380</v>
      </c>
      <c r="W454" s="15" t="s">
        <v>13381</v>
      </c>
      <c r="X454" s="15">
        <v>85.0</v>
      </c>
      <c r="Y454" s="15" t="s">
        <v>2948</v>
      </c>
      <c r="Z454" s="15">
        <v>7.86</v>
      </c>
      <c r="AA454" s="15">
        <v>8.14</v>
      </c>
      <c r="AB454" s="15" t="s">
        <v>2796</v>
      </c>
      <c r="AC454" s="15" t="s">
        <v>2796</v>
      </c>
      <c r="AD454" s="15" t="s">
        <v>2796</v>
      </c>
      <c r="AE454" s="15" t="s">
        <v>2796</v>
      </c>
      <c r="AF454" s="18"/>
      <c r="AG454" s="18"/>
      <c r="AH454" s="18"/>
      <c r="AI454" s="15">
        <v>91.49</v>
      </c>
      <c r="AJ454" s="15" t="s">
        <v>2787</v>
      </c>
      <c r="AK454" s="15" t="s">
        <v>2787</v>
      </c>
      <c r="AL454" s="15">
        <v>358.0</v>
      </c>
      <c r="AM454" s="15">
        <v>545.0</v>
      </c>
      <c r="AN454" s="15" t="s">
        <v>2797</v>
      </c>
      <c r="AO454" s="15" t="s">
        <v>2796</v>
      </c>
      <c r="AP454" s="15" t="s">
        <v>2796</v>
      </c>
      <c r="AQ454" s="15" t="s">
        <v>13382</v>
      </c>
      <c r="AR454" s="15" t="s">
        <v>13383</v>
      </c>
      <c r="AS454" s="15" t="s">
        <v>13384</v>
      </c>
      <c r="AT454" s="18"/>
      <c r="AU454" s="18"/>
      <c r="AV454" s="15" t="s">
        <v>13385</v>
      </c>
      <c r="AW454" s="15" t="s">
        <v>13386</v>
      </c>
      <c r="AX454" s="18"/>
      <c r="AY454" s="15" t="s">
        <v>13387</v>
      </c>
      <c r="AZ454" s="15" t="s">
        <v>9648</v>
      </c>
      <c r="BA454" s="15" t="s">
        <v>10710</v>
      </c>
      <c r="BB454" s="15" t="s">
        <v>2807</v>
      </c>
      <c r="BC454" s="15" t="s">
        <v>13388</v>
      </c>
      <c r="BD454" s="15" t="s">
        <v>2807</v>
      </c>
      <c r="BE454" s="15" t="s">
        <v>2796</v>
      </c>
      <c r="BF454" s="18"/>
      <c r="BG454" s="18"/>
      <c r="BH454" s="15" t="s">
        <v>13389</v>
      </c>
      <c r="BI454" s="15" t="s">
        <v>13390</v>
      </c>
      <c r="BJ454" s="19" t="s">
        <v>13391</v>
      </c>
      <c r="BK454" s="19" t="s">
        <v>13392</v>
      </c>
      <c r="BL454" s="19" t="s">
        <v>13393</v>
      </c>
      <c r="BM454" s="19" t="s">
        <v>13394</v>
      </c>
      <c r="BN454" s="19" t="s">
        <v>13395</v>
      </c>
      <c r="BO454" s="19" t="s">
        <v>13396</v>
      </c>
      <c r="BP454" s="19" t="s">
        <v>13397</v>
      </c>
      <c r="BQ454" s="15" t="s">
        <v>1321</v>
      </c>
      <c r="BR454" s="19" t="s">
        <v>13398</v>
      </c>
      <c r="BS454" s="19" t="s">
        <v>13399</v>
      </c>
      <c r="BT454" s="19" t="s">
        <v>13400</v>
      </c>
      <c r="BU454" s="19" t="s">
        <v>13401</v>
      </c>
      <c r="BV454" s="19" t="s">
        <v>13402</v>
      </c>
      <c r="BW454" s="15" t="s">
        <v>13403</v>
      </c>
      <c r="BX454" s="26"/>
      <c r="BY454" s="18" t="str">
        <f t="shared" si="107"/>
        <v>MECH</v>
      </c>
      <c r="BZ454" s="24" t="str">
        <f t="shared" si="100"/>
        <v>https://drive.google.com/open?id=1mZ8og5hpryo5OFVgoDtijKyRWMT_SG0V</v>
      </c>
      <c r="CA454" s="24" t="str">
        <f t="shared" si="101"/>
        <v>https://drive.google.com/open?id=1A9rTN8wBRacWxao01HIzDiOVYh_D3rDI</v>
      </c>
      <c r="CB454" s="15" t="s">
        <v>2821</v>
      </c>
      <c r="CC454" s="15" t="s">
        <v>2821</v>
      </c>
      <c r="CD454" s="25" t="s">
        <v>2909</v>
      </c>
      <c r="CE454" s="18"/>
      <c r="CF454" s="18"/>
      <c r="CG454" s="18"/>
    </row>
    <row r="455" ht="18.75" hidden="1" customHeight="1">
      <c r="A455" s="14">
        <v>44772.45045870371</v>
      </c>
      <c r="B455" s="15" t="s">
        <v>2451</v>
      </c>
      <c r="C455" s="16" t="s">
        <v>13404</v>
      </c>
      <c r="D455" s="15" t="str">
        <f>IFERROR(__xludf.DUMMYFUNCTION("QUERY(TY_ALL_2023_Batch!$A$1:$E$824, ""SELECT E WHERE C='""&amp;B455&amp;""'"", 0)"),"MECH")</f>
        <v>MECH</v>
      </c>
      <c r="E455" s="15" t="s">
        <v>13405</v>
      </c>
      <c r="F455" s="15" t="s">
        <v>13406</v>
      </c>
      <c r="G455" s="15" t="s">
        <v>13407</v>
      </c>
      <c r="H455" s="15" t="s">
        <v>2785</v>
      </c>
      <c r="I455" s="17">
        <v>37011.0</v>
      </c>
      <c r="J455" s="15">
        <v>2019.0</v>
      </c>
      <c r="K455" s="15" t="s">
        <v>2786</v>
      </c>
      <c r="L455" s="15" t="s">
        <v>2787</v>
      </c>
      <c r="M455" s="18"/>
      <c r="N455" s="15" t="s">
        <v>13408</v>
      </c>
      <c r="O455" s="15" t="s">
        <v>2451</v>
      </c>
      <c r="P455" s="19" t="s">
        <v>13409</v>
      </c>
      <c r="Q455" s="15">
        <v>9.834445653E9</v>
      </c>
      <c r="R455" s="15">
        <v>9.834445653E9</v>
      </c>
      <c r="S455" s="18"/>
      <c r="T455" s="15" t="s">
        <v>13410</v>
      </c>
      <c r="U455" s="15" t="s">
        <v>13411</v>
      </c>
      <c r="V455" s="15" t="s">
        <v>13412</v>
      </c>
      <c r="W455" s="18"/>
      <c r="X455" s="15">
        <v>88.8</v>
      </c>
      <c r="Y455" s="15" t="s">
        <v>2795</v>
      </c>
      <c r="Z455" s="15">
        <v>7.9</v>
      </c>
      <c r="AA455" s="15">
        <v>7.99</v>
      </c>
      <c r="AB455" s="15">
        <v>7.95</v>
      </c>
      <c r="AC455" s="15">
        <v>8.0</v>
      </c>
      <c r="AD455" s="15" t="s">
        <v>2796</v>
      </c>
      <c r="AE455" s="15" t="s">
        <v>2796</v>
      </c>
      <c r="AF455" s="15">
        <v>7.43</v>
      </c>
      <c r="AG455" s="15">
        <v>7.64</v>
      </c>
      <c r="AH455" s="15">
        <v>64.6</v>
      </c>
      <c r="AI455" s="18"/>
      <c r="AJ455" s="15" t="s">
        <v>2787</v>
      </c>
      <c r="AK455" s="15" t="s">
        <v>2787</v>
      </c>
      <c r="AL455" s="15">
        <v>526.67</v>
      </c>
      <c r="AM455" s="15">
        <v>608.33</v>
      </c>
      <c r="AN455" s="15" t="s">
        <v>2797</v>
      </c>
      <c r="AO455" s="15">
        <v>0.0</v>
      </c>
      <c r="AP455" s="15">
        <v>0.0</v>
      </c>
      <c r="AQ455" s="15" t="s">
        <v>13413</v>
      </c>
      <c r="AR455" s="15" t="s">
        <v>13414</v>
      </c>
      <c r="AS455" s="18"/>
      <c r="AT455" s="18"/>
      <c r="AU455" s="18"/>
      <c r="AV455" s="15" t="s">
        <v>13415</v>
      </c>
      <c r="AW455" s="15" t="s">
        <v>13416</v>
      </c>
      <c r="AX455" s="18"/>
      <c r="AY455" s="15" t="s">
        <v>13417</v>
      </c>
      <c r="AZ455" s="15" t="s">
        <v>9648</v>
      </c>
      <c r="BA455" s="15" t="s">
        <v>2899</v>
      </c>
      <c r="BB455" s="15" t="s">
        <v>2807</v>
      </c>
      <c r="BC455" s="15" t="s">
        <v>2808</v>
      </c>
      <c r="BD455" s="15" t="s">
        <v>2842</v>
      </c>
      <c r="BE455" s="15" t="s">
        <v>2796</v>
      </c>
      <c r="BF455" s="15" t="s">
        <v>13418</v>
      </c>
      <c r="BG455" s="18"/>
      <c r="BH455" s="18"/>
      <c r="BI455" s="15" t="s">
        <v>13419</v>
      </c>
      <c r="BJ455" s="19" t="s">
        <v>13420</v>
      </c>
      <c r="BK455" s="19" t="s">
        <v>13421</v>
      </c>
      <c r="BL455" s="19" t="s">
        <v>13422</v>
      </c>
      <c r="BM455" s="19" t="s">
        <v>13423</v>
      </c>
      <c r="BN455" s="19" t="s">
        <v>13424</v>
      </c>
      <c r="BO455" s="19" t="s">
        <v>13425</v>
      </c>
      <c r="BP455" s="19" t="s">
        <v>13426</v>
      </c>
      <c r="BQ455" s="15" t="s">
        <v>1321</v>
      </c>
      <c r="BR455" s="19" t="s">
        <v>13427</v>
      </c>
      <c r="BS455" s="26"/>
      <c r="BT455" s="26"/>
      <c r="BU455" s="26"/>
      <c r="BV455" s="26"/>
      <c r="BW455" s="15" t="s">
        <v>13428</v>
      </c>
      <c r="BX455" s="26"/>
      <c r="BY455" s="18" t="str">
        <f t="shared" si="107"/>
        <v>MECH</v>
      </c>
      <c r="BZ455" s="24" t="str">
        <f t="shared" si="100"/>
        <v>https://drive.google.com/open?id=1WC_5CObZ8nggK89ThV5JJPbY5Wke7wiw</v>
      </c>
      <c r="CA455" s="24" t="str">
        <f t="shared" si="101"/>
        <v>https://drive.google.com/open?id=14oxxrBQhozrwlLld7MusJe7QXi3pRvjS</v>
      </c>
      <c r="CB455" s="15" t="s">
        <v>2821</v>
      </c>
      <c r="CC455" s="15" t="s">
        <v>2821</v>
      </c>
      <c r="CD455" s="25" t="s">
        <v>2797</v>
      </c>
      <c r="CE455" s="18"/>
      <c r="CF455" s="18"/>
      <c r="CG455" s="18"/>
    </row>
    <row r="456" ht="18.75" hidden="1" customHeight="1">
      <c r="A456" s="14">
        <v>44736.44268583333</v>
      </c>
      <c r="B456" s="15" t="s">
        <v>2676</v>
      </c>
      <c r="C456" s="16" t="s">
        <v>13429</v>
      </c>
      <c r="D456" s="15" t="str">
        <f>IFERROR(__xludf.DUMMYFUNCTION("QUERY(TY_ALL_2023_Batch!$A$1:$E$824, ""SELECT E WHERE C='""&amp;B456&amp;""'"", 0)"),"MECH")</f>
        <v>MECH</v>
      </c>
      <c r="E456" s="15" t="s">
        <v>13430</v>
      </c>
      <c r="F456" s="15" t="s">
        <v>4133</v>
      </c>
      <c r="G456" s="15" t="s">
        <v>13431</v>
      </c>
      <c r="H456" s="15" t="s">
        <v>2785</v>
      </c>
      <c r="I456" s="17">
        <v>37408.0</v>
      </c>
      <c r="J456" s="15">
        <v>2019.0</v>
      </c>
      <c r="K456" s="15" t="s">
        <v>2786</v>
      </c>
      <c r="L456" s="15" t="s">
        <v>2787</v>
      </c>
      <c r="M456" s="18"/>
      <c r="N456" s="15" t="s">
        <v>13432</v>
      </c>
      <c r="O456" s="15" t="s">
        <v>2676</v>
      </c>
      <c r="P456" s="19" t="s">
        <v>13433</v>
      </c>
      <c r="Q456" s="15">
        <v>9.32433984E9</v>
      </c>
      <c r="R456" s="15">
        <v>9.32433984E9</v>
      </c>
      <c r="S456" s="18"/>
      <c r="T456" s="15" t="s">
        <v>13434</v>
      </c>
      <c r="U456" s="15" t="s">
        <v>13435</v>
      </c>
      <c r="V456" s="15" t="s">
        <v>13436</v>
      </c>
      <c r="W456" s="18"/>
      <c r="X456" s="15">
        <v>89.0</v>
      </c>
      <c r="Y456" s="15" t="s">
        <v>2795</v>
      </c>
      <c r="Z456" s="15">
        <v>9.38</v>
      </c>
      <c r="AA456" s="15">
        <v>9.1</v>
      </c>
      <c r="AB456" s="15" t="s">
        <v>2796</v>
      </c>
      <c r="AC456" s="15" t="s">
        <v>2796</v>
      </c>
      <c r="AD456" s="15" t="s">
        <v>2796</v>
      </c>
      <c r="AE456" s="15" t="s">
        <v>2796</v>
      </c>
      <c r="AF456" s="15">
        <v>8.24</v>
      </c>
      <c r="AG456" s="15">
        <v>8.58</v>
      </c>
      <c r="AH456" s="15">
        <v>73.8</v>
      </c>
      <c r="AI456" s="18"/>
      <c r="AJ456" s="15" t="s">
        <v>2787</v>
      </c>
      <c r="AK456" s="15" t="s">
        <v>2787</v>
      </c>
      <c r="AL456" s="15">
        <v>635.0</v>
      </c>
      <c r="AM456" s="15">
        <v>676.66</v>
      </c>
      <c r="AN456" s="15" t="s">
        <v>2797</v>
      </c>
      <c r="AO456" s="15">
        <v>0.0</v>
      </c>
      <c r="AP456" s="15">
        <v>0.0</v>
      </c>
      <c r="AQ456" s="15" t="s">
        <v>13437</v>
      </c>
      <c r="AR456" s="18"/>
      <c r="AS456" s="15" t="s">
        <v>13438</v>
      </c>
      <c r="AT456" s="18"/>
      <c r="AU456" s="18"/>
      <c r="AV456" s="15" t="s">
        <v>13439</v>
      </c>
      <c r="AW456" s="15" t="s">
        <v>13440</v>
      </c>
      <c r="AX456" s="18"/>
      <c r="AY456" s="15" t="s">
        <v>13441</v>
      </c>
      <c r="AZ456" s="15" t="s">
        <v>5335</v>
      </c>
      <c r="BA456" s="15" t="s">
        <v>2806</v>
      </c>
      <c r="BB456" s="15" t="s">
        <v>3109</v>
      </c>
      <c r="BC456" s="15" t="s">
        <v>13107</v>
      </c>
      <c r="BD456" s="15" t="s">
        <v>2807</v>
      </c>
      <c r="BE456" s="15" t="s">
        <v>13442</v>
      </c>
      <c r="BF456" s="18"/>
      <c r="BG456" s="18"/>
      <c r="BH456" s="18"/>
      <c r="BI456" s="15" t="s">
        <v>13443</v>
      </c>
      <c r="BJ456" s="19" t="s">
        <v>13444</v>
      </c>
      <c r="BK456" s="19" t="s">
        <v>13445</v>
      </c>
      <c r="BL456" s="18"/>
      <c r="BM456" s="19" t="s">
        <v>13446</v>
      </c>
      <c r="BN456" s="19" t="s">
        <v>13447</v>
      </c>
      <c r="BO456" s="19" t="s">
        <v>13448</v>
      </c>
      <c r="BP456" s="19" t="s">
        <v>13449</v>
      </c>
      <c r="BQ456" s="15" t="s">
        <v>1321</v>
      </c>
      <c r="BR456" s="26"/>
      <c r="BS456" s="26"/>
      <c r="BT456" s="26"/>
      <c r="BU456" s="26"/>
      <c r="BV456" s="26"/>
      <c r="BW456" s="26"/>
      <c r="BX456" s="26"/>
      <c r="BY456" s="18" t="str">
        <f t="shared" si="107"/>
        <v>MECH</v>
      </c>
      <c r="BZ456" s="18" t="str">
        <f t="shared" si="100"/>
        <v/>
      </c>
      <c r="CA456" s="24" t="str">
        <f t="shared" si="101"/>
        <v>https://drive.google.com/open?id=1mMIqvXLPgN3jOh9H-6msr5pPEBYuLGjc</v>
      </c>
      <c r="CB456" s="15" t="s">
        <v>2908</v>
      </c>
      <c r="CC456" s="15" t="s">
        <v>2821</v>
      </c>
      <c r="CD456" s="25" t="s">
        <v>2797</v>
      </c>
      <c r="CE456" s="18"/>
      <c r="CF456" s="18"/>
      <c r="CG456" s="18"/>
    </row>
    <row r="457" ht="18.75" hidden="1" customHeight="1">
      <c r="A457" s="14">
        <v>44736.42083672454</v>
      </c>
      <c r="B457" s="15" t="s">
        <v>2412</v>
      </c>
      <c r="C457" s="16" t="s">
        <v>13450</v>
      </c>
      <c r="D457" s="15" t="str">
        <f>IFERROR(__xludf.DUMMYFUNCTION("QUERY(TY_ALL_2023_Batch!$A$1:$E$824, ""SELECT E WHERE C='""&amp;B457&amp;""'"", 0)"),"MECH")</f>
        <v>MECH</v>
      </c>
      <c r="E457" s="15" t="s">
        <v>4656</v>
      </c>
      <c r="F457" s="15" t="s">
        <v>13451</v>
      </c>
      <c r="G457" s="15" t="s">
        <v>13452</v>
      </c>
      <c r="H457" s="15" t="s">
        <v>2785</v>
      </c>
      <c r="I457" s="17">
        <v>36914.0</v>
      </c>
      <c r="J457" s="15">
        <v>2019.0</v>
      </c>
      <c r="K457" s="15" t="s">
        <v>2786</v>
      </c>
      <c r="L457" s="15" t="s">
        <v>2787</v>
      </c>
      <c r="M457" s="18"/>
      <c r="N457" s="15" t="s">
        <v>13453</v>
      </c>
      <c r="O457" s="15" t="s">
        <v>2412</v>
      </c>
      <c r="P457" s="19" t="s">
        <v>13454</v>
      </c>
      <c r="Q457" s="15">
        <v>8.080818271E9</v>
      </c>
      <c r="R457" s="15">
        <v>8.080818271E9</v>
      </c>
      <c r="S457" s="15">
        <v>8.080818271E9</v>
      </c>
      <c r="T457" s="15" t="s">
        <v>13451</v>
      </c>
      <c r="U457" s="15" t="s">
        <v>13455</v>
      </c>
      <c r="V457" s="15" t="s">
        <v>13456</v>
      </c>
      <c r="W457" s="15" t="s">
        <v>13457</v>
      </c>
      <c r="X457" s="15">
        <v>86.0</v>
      </c>
      <c r="Y457" s="15" t="s">
        <v>2795</v>
      </c>
      <c r="Z457" s="15">
        <v>9.52</v>
      </c>
      <c r="AA457" s="15">
        <v>8.62</v>
      </c>
      <c r="AB457" s="15" t="s">
        <v>2796</v>
      </c>
      <c r="AC457" s="15" t="s">
        <v>2796</v>
      </c>
      <c r="AD457" s="15" t="s">
        <v>2796</v>
      </c>
      <c r="AE457" s="15" t="s">
        <v>2796</v>
      </c>
      <c r="AF457" s="15">
        <v>7.68</v>
      </c>
      <c r="AG457" s="15">
        <v>8.05</v>
      </c>
      <c r="AH457" s="15">
        <v>70.0</v>
      </c>
      <c r="AI457" s="18"/>
      <c r="AJ457" s="15" t="s">
        <v>2787</v>
      </c>
      <c r="AK457" s="15" t="s">
        <v>2787</v>
      </c>
      <c r="AL457" s="15">
        <v>545.0</v>
      </c>
      <c r="AM457" s="15">
        <v>618.33</v>
      </c>
      <c r="AN457" s="15" t="s">
        <v>2797</v>
      </c>
      <c r="AO457" s="18"/>
      <c r="AP457" s="15" t="s">
        <v>13458</v>
      </c>
      <c r="AQ457" s="15" t="s">
        <v>13459</v>
      </c>
      <c r="AR457" s="15" t="s">
        <v>13460</v>
      </c>
      <c r="AS457" s="15" t="s">
        <v>13461</v>
      </c>
      <c r="AT457" s="18"/>
      <c r="AU457" s="15" t="s">
        <v>13462</v>
      </c>
      <c r="AV457" s="15" t="s">
        <v>13463</v>
      </c>
      <c r="AW457" s="15" t="s">
        <v>13464</v>
      </c>
      <c r="AX457" s="15" t="s">
        <v>13465</v>
      </c>
      <c r="AY457" s="15" t="s">
        <v>2796</v>
      </c>
      <c r="AZ457" s="15" t="s">
        <v>9648</v>
      </c>
      <c r="BA457" s="15" t="s">
        <v>2899</v>
      </c>
      <c r="BB457" s="15" t="s">
        <v>2807</v>
      </c>
      <c r="BC457" s="15" t="s">
        <v>2808</v>
      </c>
      <c r="BD457" s="15" t="s">
        <v>2807</v>
      </c>
      <c r="BE457" s="15" t="s">
        <v>13466</v>
      </c>
      <c r="BF457" s="18"/>
      <c r="BG457" s="18"/>
      <c r="BH457" s="15" t="s">
        <v>13467</v>
      </c>
      <c r="BI457" s="15" t="s">
        <v>13468</v>
      </c>
      <c r="BJ457" s="19" t="s">
        <v>13469</v>
      </c>
      <c r="BK457" s="19" t="s">
        <v>13470</v>
      </c>
      <c r="BL457" s="18"/>
      <c r="BM457" s="18"/>
      <c r="BN457" s="19" t="s">
        <v>13471</v>
      </c>
      <c r="BO457" s="19" t="s">
        <v>13472</v>
      </c>
      <c r="BP457" s="18"/>
      <c r="BQ457" s="15" t="s">
        <v>1321</v>
      </c>
      <c r="BR457" s="26"/>
      <c r="BS457" s="26"/>
      <c r="BT457" s="26"/>
      <c r="BU457" s="26"/>
      <c r="BV457" s="26"/>
      <c r="BW457" s="26"/>
      <c r="BX457" s="26"/>
      <c r="BY457" s="18" t="str">
        <f t="shared" si="107"/>
        <v>MECH</v>
      </c>
      <c r="BZ457" s="18" t="str">
        <f t="shared" si="100"/>
        <v/>
      </c>
      <c r="CA457" s="18" t="str">
        <f t="shared" si="101"/>
        <v/>
      </c>
      <c r="CB457" s="15" t="s">
        <v>2908</v>
      </c>
      <c r="CC457" s="15" t="s">
        <v>2908</v>
      </c>
      <c r="CD457" s="25" t="s">
        <v>2797</v>
      </c>
      <c r="CE457" s="18"/>
      <c r="CF457" s="18"/>
      <c r="CG457" s="18"/>
    </row>
    <row r="458" ht="18.75" hidden="1" customHeight="1">
      <c r="A458" s="14">
        <v>44736.49940714121</v>
      </c>
      <c r="B458" s="15" t="s">
        <v>2370</v>
      </c>
      <c r="C458" s="16" t="s">
        <v>13473</v>
      </c>
      <c r="D458" s="15" t="str">
        <f>IFERROR(__xludf.DUMMYFUNCTION("QUERY(TY_ALL_2023_Batch!$A$1:$E$824, ""SELECT E WHERE C='""&amp;B458&amp;""'"", 0)"),"MECH")</f>
        <v>MECH</v>
      </c>
      <c r="E458" s="15" t="s">
        <v>9224</v>
      </c>
      <c r="F458" s="15" t="s">
        <v>13474</v>
      </c>
      <c r="G458" s="15" t="s">
        <v>13475</v>
      </c>
      <c r="H458" s="15" t="s">
        <v>2785</v>
      </c>
      <c r="I458" s="17">
        <v>37126.0</v>
      </c>
      <c r="J458" s="15">
        <v>2019.0</v>
      </c>
      <c r="K458" s="15" t="s">
        <v>2786</v>
      </c>
      <c r="L458" s="15" t="s">
        <v>2787</v>
      </c>
      <c r="M458" s="18"/>
      <c r="N458" s="15" t="s">
        <v>13476</v>
      </c>
      <c r="O458" s="15" t="s">
        <v>2370</v>
      </c>
      <c r="P458" s="19" t="s">
        <v>13477</v>
      </c>
      <c r="Q458" s="15">
        <v>9.518925142E9</v>
      </c>
      <c r="R458" s="15">
        <v>9.518925142E9</v>
      </c>
      <c r="S458" s="15">
        <v>9.922583712E9</v>
      </c>
      <c r="T458" s="15" t="s">
        <v>13478</v>
      </c>
      <c r="U458" s="15" t="s">
        <v>13479</v>
      </c>
      <c r="V458" s="15" t="s">
        <v>13480</v>
      </c>
      <c r="W458" s="15" t="s">
        <v>13480</v>
      </c>
      <c r="X458" s="15">
        <v>65.0</v>
      </c>
      <c r="Y458" s="15" t="s">
        <v>2795</v>
      </c>
      <c r="Z458" s="15">
        <v>8.67</v>
      </c>
      <c r="AA458" s="15">
        <v>8.86</v>
      </c>
      <c r="AB458" s="15" t="s">
        <v>2796</v>
      </c>
      <c r="AC458" s="15" t="s">
        <v>2796</v>
      </c>
      <c r="AD458" s="15" t="s">
        <v>2796</v>
      </c>
      <c r="AE458" s="15" t="s">
        <v>2796</v>
      </c>
      <c r="AF458" s="15">
        <v>7.32</v>
      </c>
      <c r="AG458" s="15">
        <v>8.24</v>
      </c>
      <c r="AH458" s="15">
        <v>57.85</v>
      </c>
      <c r="AI458" s="18"/>
      <c r="AJ458" s="15" t="s">
        <v>2787</v>
      </c>
      <c r="AK458" s="15" t="s">
        <v>2787</v>
      </c>
      <c r="AL458" s="15">
        <v>50.33</v>
      </c>
      <c r="AM458" s="15">
        <v>67.0</v>
      </c>
      <c r="AN458" s="15" t="s">
        <v>2797</v>
      </c>
      <c r="AO458" s="18"/>
      <c r="AP458" s="18"/>
      <c r="AQ458" s="15" t="s">
        <v>13481</v>
      </c>
      <c r="AR458" s="15" t="s">
        <v>13482</v>
      </c>
      <c r="AS458" s="15" t="s">
        <v>13483</v>
      </c>
      <c r="AT458" s="15" t="s">
        <v>13484</v>
      </c>
      <c r="AU458" s="15" t="s">
        <v>13485</v>
      </c>
      <c r="AV458" s="15" t="s">
        <v>13486</v>
      </c>
      <c r="AW458" s="15" t="s">
        <v>13487</v>
      </c>
      <c r="AX458" s="18"/>
      <c r="AY458" s="15" t="s">
        <v>13488</v>
      </c>
      <c r="AZ458" s="15" t="s">
        <v>9648</v>
      </c>
      <c r="BA458" s="15" t="s">
        <v>4727</v>
      </c>
      <c r="BB458" s="15" t="s">
        <v>2807</v>
      </c>
      <c r="BC458" s="15" t="s">
        <v>2808</v>
      </c>
      <c r="BD458" s="15" t="s">
        <v>2807</v>
      </c>
      <c r="BE458" s="15" t="s">
        <v>13489</v>
      </c>
      <c r="BF458" s="18"/>
      <c r="BG458" s="18"/>
      <c r="BH458" s="18"/>
      <c r="BI458" s="15" t="s">
        <v>13490</v>
      </c>
      <c r="BJ458" s="19" t="s">
        <v>13491</v>
      </c>
      <c r="BK458" s="19" t="s">
        <v>13492</v>
      </c>
      <c r="BL458" s="19" t="s">
        <v>13493</v>
      </c>
      <c r="BM458" s="19" t="s">
        <v>13494</v>
      </c>
      <c r="BN458" s="19" t="s">
        <v>13495</v>
      </c>
      <c r="BO458" s="19" t="s">
        <v>13496</v>
      </c>
      <c r="BP458" s="19" t="s">
        <v>13497</v>
      </c>
      <c r="BQ458" s="15" t="s">
        <v>1321</v>
      </c>
      <c r="BR458" s="26"/>
      <c r="BS458" s="26"/>
      <c r="BT458" s="26"/>
      <c r="BU458" s="26"/>
      <c r="BV458" s="26"/>
      <c r="BW458" s="26"/>
      <c r="BX458" s="26"/>
      <c r="BY458" s="18" t="str">
        <f t="shared" si="107"/>
        <v>MECH</v>
      </c>
      <c r="BZ458" s="24" t="str">
        <f t="shared" si="100"/>
        <v>https://drive.google.com/open?id=1ISZsmKaD13aPkqFiF_Kn7Xmibq86T22t</v>
      </c>
      <c r="CA458" s="24" t="str">
        <f t="shared" si="101"/>
        <v>https://drive.google.com/open?id=1w2mFIKFh0fsPkQP_qbZ8aIke2MG1Xfx-</v>
      </c>
      <c r="CB458" s="15" t="s">
        <v>2821</v>
      </c>
      <c r="CC458" s="15" t="s">
        <v>2821</v>
      </c>
      <c r="CD458" s="25" t="s">
        <v>2797</v>
      </c>
      <c r="CE458" s="18"/>
      <c r="CF458" s="18"/>
      <c r="CG458" s="18"/>
    </row>
    <row r="459" ht="18.75" hidden="1" customHeight="1">
      <c r="A459" s="14">
        <v>44735.64104096065</v>
      </c>
      <c r="B459" s="15" t="s">
        <v>2682</v>
      </c>
      <c r="C459" s="16" t="s">
        <v>13498</v>
      </c>
      <c r="D459" s="15" t="str">
        <f>IFERROR(__xludf.DUMMYFUNCTION("QUERY(TY_ALL_2023_Batch!$A$1:$E$824, ""SELECT E WHERE C='""&amp;B459&amp;""'"", 0)"),"MECH")</f>
        <v>MECH</v>
      </c>
      <c r="E459" s="15" t="s">
        <v>7249</v>
      </c>
      <c r="F459" s="15" t="s">
        <v>3193</v>
      </c>
      <c r="G459" s="15" t="s">
        <v>2940</v>
      </c>
      <c r="H459" s="15" t="s">
        <v>2785</v>
      </c>
      <c r="I459" s="17">
        <v>36991.0</v>
      </c>
      <c r="J459" s="15">
        <v>2019.0</v>
      </c>
      <c r="K459" s="15" t="s">
        <v>2786</v>
      </c>
      <c r="L459" s="15" t="s">
        <v>2787</v>
      </c>
      <c r="M459" s="18"/>
      <c r="N459" s="15" t="s">
        <v>13499</v>
      </c>
      <c r="O459" s="15" t="s">
        <v>2682</v>
      </c>
      <c r="P459" s="19" t="s">
        <v>13500</v>
      </c>
      <c r="Q459" s="15">
        <v>7.05800054E9</v>
      </c>
      <c r="R459" s="15">
        <v>7.05800054E9</v>
      </c>
      <c r="S459" s="18"/>
      <c r="T459" s="15" t="s">
        <v>13501</v>
      </c>
      <c r="U459" s="15" t="s">
        <v>13502</v>
      </c>
      <c r="V459" s="15" t="s">
        <v>13503</v>
      </c>
      <c r="W459" s="18"/>
      <c r="X459" s="15">
        <v>94.6</v>
      </c>
      <c r="Y459" s="15" t="s">
        <v>2795</v>
      </c>
      <c r="Z459" s="15">
        <v>9.67</v>
      </c>
      <c r="AA459" s="15">
        <v>9.71</v>
      </c>
      <c r="AB459" s="15" t="s">
        <v>2796</v>
      </c>
      <c r="AC459" s="15" t="s">
        <v>2796</v>
      </c>
      <c r="AD459" s="15" t="s">
        <v>2796</v>
      </c>
      <c r="AE459" s="15" t="s">
        <v>2796</v>
      </c>
      <c r="AF459" s="15">
        <v>8.86</v>
      </c>
      <c r="AG459" s="15">
        <v>9.42</v>
      </c>
      <c r="AH459" s="15">
        <v>75.69</v>
      </c>
      <c r="AI459" s="18"/>
      <c r="AJ459" s="15" t="s">
        <v>2787</v>
      </c>
      <c r="AK459" s="15" t="s">
        <v>2787</v>
      </c>
      <c r="AL459" s="15">
        <v>653.33333</v>
      </c>
      <c r="AM459" s="15">
        <v>653.3333333</v>
      </c>
      <c r="AN459" s="15" t="s">
        <v>2797</v>
      </c>
      <c r="AO459" s="15" t="s">
        <v>13504</v>
      </c>
      <c r="AP459" s="15" t="s">
        <v>13504</v>
      </c>
      <c r="AQ459" s="15" t="s">
        <v>13505</v>
      </c>
      <c r="AR459" s="18"/>
      <c r="AS459" s="18"/>
      <c r="AT459" s="18"/>
      <c r="AU459" s="15" t="s">
        <v>2796</v>
      </c>
      <c r="AV459" s="15" t="s">
        <v>13506</v>
      </c>
      <c r="AW459" s="15" t="s">
        <v>13507</v>
      </c>
      <c r="AX459" s="15" t="s">
        <v>2796</v>
      </c>
      <c r="AY459" s="15" t="s">
        <v>13508</v>
      </c>
      <c r="AZ459" s="15" t="s">
        <v>3960</v>
      </c>
      <c r="BA459" s="15" t="s">
        <v>2899</v>
      </c>
      <c r="BB459" s="15" t="s">
        <v>2807</v>
      </c>
      <c r="BC459" s="15" t="s">
        <v>13509</v>
      </c>
      <c r="BD459" s="15" t="s">
        <v>2842</v>
      </c>
      <c r="BE459" s="15" t="s">
        <v>2796</v>
      </c>
      <c r="BF459" s="15" t="s">
        <v>2796</v>
      </c>
      <c r="BG459" s="15" t="s">
        <v>2796</v>
      </c>
      <c r="BH459" s="15" t="s">
        <v>2796</v>
      </c>
      <c r="BI459" s="15" t="s">
        <v>2796</v>
      </c>
      <c r="BJ459" s="19" t="s">
        <v>13510</v>
      </c>
      <c r="BK459" s="19" t="s">
        <v>13511</v>
      </c>
      <c r="BL459" s="19" t="s">
        <v>13512</v>
      </c>
      <c r="BM459" s="19" t="s">
        <v>13513</v>
      </c>
      <c r="BN459" s="19" t="s">
        <v>13514</v>
      </c>
      <c r="BO459" s="19" t="s">
        <v>13515</v>
      </c>
      <c r="BP459" s="18"/>
      <c r="BQ459" s="15" t="s">
        <v>1321</v>
      </c>
      <c r="BR459" s="26"/>
      <c r="BS459" s="26"/>
      <c r="BT459" s="26"/>
      <c r="BU459" s="26"/>
      <c r="BV459" s="26"/>
      <c r="BW459" s="26"/>
      <c r="BX459" s="26"/>
      <c r="BY459" s="18" t="str">
        <f t="shared" si="107"/>
        <v>MECH</v>
      </c>
      <c r="BZ459" s="24" t="str">
        <f t="shared" si="100"/>
        <v>https://drive.google.com/open?id=1qOb7hBQzTFS6Iv1Wwgs_VwDhuzOF9m7n</v>
      </c>
      <c r="CA459" s="24" t="str">
        <f t="shared" si="101"/>
        <v>https://drive.google.com/open?id=1VPdXmtSh7xGFO563MKWvqvfsrGsRS3H9</v>
      </c>
      <c r="CB459" s="15" t="s">
        <v>2821</v>
      </c>
      <c r="CC459" s="15" t="s">
        <v>2821</v>
      </c>
      <c r="CD459" s="25" t="s">
        <v>2797</v>
      </c>
      <c r="CE459" s="18"/>
      <c r="CF459" s="18"/>
      <c r="CG459" s="18"/>
    </row>
    <row r="460" ht="18.75" hidden="1" customHeight="1">
      <c r="A460" s="14">
        <v>44740.52377429398</v>
      </c>
      <c r="B460" s="15" t="s">
        <v>1524</v>
      </c>
      <c r="C460" s="16" t="s">
        <v>13516</v>
      </c>
      <c r="D460" s="15" t="str">
        <f>IFERROR(__xludf.DUMMYFUNCTION("QUERY(TY_ALL_2023_Batch!$A$1:$E$824, ""SELECT E WHERE C='""&amp;B460&amp;""'"", 0)"),"MECH")</f>
        <v>MECH</v>
      </c>
      <c r="E460" s="15" t="s">
        <v>7294</v>
      </c>
      <c r="F460" s="15" t="s">
        <v>4134</v>
      </c>
      <c r="G460" s="15" t="s">
        <v>13517</v>
      </c>
      <c r="H460" s="15" t="s">
        <v>2785</v>
      </c>
      <c r="I460" s="17">
        <v>37060.0</v>
      </c>
      <c r="J460" s="15">
        <v>2020.0</v>
      </c>
      <c r="K460" s="15" t="s">
        <v>2941</v>
      </c>
      <c r="L460" s="15" t="s">
        <v>2787</v>
      </c>
      <c r="M460" s="18"/>
      <c r="N460" s="15" t="s">
        <v>13518</v>
      </c>
      <c r="O460" s="15" t="s">
        <v>1524</v>
      </c>
      <c r="P460" s="19" t="s">
        <v>13519</v>
      </c>
      <c r="Q460" s="15">
        <v>9.130968522E9</v>
      </c>
      <c r="R460" s="15">
        <v>9.130968522E9</v>
      </c>
      <c r="S460" s="15">
        <v>9.130968522E9</v>
      </c>
      <c r="T460" s="15" t="s">
        <v>4134</v>
      </c>
      <c r="U460" s="15" t="s">
        <v>13520</v>
      </c>
      <c r="V460" s="15" t="s">
        <v>13521</v>
      </c>
      <c r="W460" s="15" t="s">
        <v>13521</v>
      </c>
      <c r="X460" s="15">
        <v>70.45</v>
      </c>
      <c r="Y460" s="15" t="s">
        <v>2948</v>
      </c>
      <c r="Z460" s="15">
        <v>8.05</v>
      </c>
      <c r="AA460" s="15">
        <v>8.0</v>
      </c>
      <c r="AB460" s="15" t="s">
        <v>2796</v>
      </c>
      <c r="AC460" s="15" t="s">
        <v>2796</v>
      </c>
      <c r="AD460" s="15" t="s">
        <v>2796</v>
      </c>
      <c r="AE460" s="15" t="s">
        <v>2796</v>
      </c>
      <c r="AF460" s="18"/>
      <c r="AG460" s="18"/>
      <c r="AH460" s="18"/>
      <c r="AI460" s="15">
        <v>90.72</v>
      </c>
      <c r="AJ460" s="15" t="s">
        <v>2787</v>
      </c>
      <c r="AK460" s="15" t="s">
        <v>2787</v>
      </c>
      <c r="AL460" s="15">
        <v>360.0</v>
      </c>
      <c r="AM460" s="15">
        <v>465.0</v>
      </c>
      <c r="AN460" s="15" t="s">
        <v>2797</v>
      </c>
      <c r="AO460" s="18"/>
      <c r="AP460" s="18"/>
      <c r="AQ460" s="15" t="s">
        <v>4843</v>
      </c>
      <c r="AR460" s="15" t="s">
        <v>13522</v>
      </c>
      <c r="AS460" s="18"/>
      <c r="AT460" s="18"/>
      <c r="AU460" s="18"/>
      <c r="AV460" s="15" t="s">
        <v>13523</v>
      </c>
      <c r="AW460" s="15" t="s">
        <v>13524</v>
      </c>
      <c r="AX460" s="18"/>
      <c r="AY460" s="15" t="s">
        <v>13525</v>
      </c>
      <c r="AZ460" s="15" t="s">
        <v>9648</v>
      </c>
      <c r="BA460" s="15" t="s">
        <v>2870</v>
      </c>
      <c r="BB460" s="15" t="s">
        <v>2807</v>
      </c>
      <c r="BC460" s="15" t="s">
        <v>12991</v>
      </c>
      <c r="BD460" s="15" t="s">
        <v>2807</v>
      </c>
      <c r="BE460" s="15" t="s">
        <v>13526</v>
      </c>
      <c r="BF460" s="18"/>
      <c r="BG460" s="15" t="s">
        <v>13527</v>
      </c>
      <c r="BH460" s="15" t="s">
        <v>13528</v>
      </c>
      <c r="BI460" s="15" t="s">
        <v>13529</v>
      </c>
      <c r="BJ460" s="19" t="s">
        <v>13530</v>
      </c>
      <c r="BK460" s="19" t="s">
        <v>13531</v>
      </c>
      <c r="BL460" s="19" t="s">
        <v>13532</v>
      </c>
      <c r="BM460" s="19" t="s">
        <v>13533</v>
      </c>
      <c r="BN460" s="19" t="s">
        <v>13534</v>
      </c>
      <c r="BO460" s="19" t="s">
        <v>13535</v>
      </c>
      <c r="BP460" s="18"/>
      <c r="BQ460" s="15" t="s">
        <v>1321</v>
      </c>
      <c r="BR460" s="18"/>
      <c r="BS460" s="18"/>
      <c r="BT460" s="18"/>
      <c r="BU460" s="18"/>
      <c r="BV460" s="18"/>
      <c r="BW460" s="15" t="s">
        <v>13536</v>
      </c>
      <c r="BX460" s="18"/>
      <c r="BY460" s="18" t="str">
        <f t="shared" si="107"/>
        <v>MECH</v>
      </c>
      <c r="BZ460" s="24" t="str">
        <f t="shared" si="100"/>
        <v>https://drive.google.com/open?id=12zy6g-1jAgTNIeDNgrV9EFVVbtfAxzKq</v>
      </c>
      <c r="CA460" s="24" t="str">
        <f t="shared" si="101"/>
        <v>https://drive.google.com/open?id=1mAgchk5_C8dfsZzBxy8Y1-64sKV4qTeR</v>
      </c>
      <c r="CB460" s="15" t="s">
        <v>2821</v>
      </c>
      <c r="CC460" s="15" t="s">
        <v>2821</v>
      </c>
      <c r="CD460" s="25" t="s">
        <v>2797</v>
      </c>
      <c r="CE460" s="18"/>
      <c r="CF460" s="18"/>
      <c r="CG460" s="18"/>
    </row>
    <row r="461" ht="18.75" hidden="1" customHeight="1">
      <c r="A461" s="14">
        <v>44742.86520958334</v>
      </c>
      <c r="B461" s="15" t="s">
        <v>1347</v>
      </c>
      <c r="C461" s="16" t="s">
        <v>13537</v>
      </c>
      <c r="D461" s="15" t="str">
        <f>IFERROR(__xludf.DUMMYFUNCTION("QUERY(TY_ALL_2023_Batch!$A$1:$E$824, ""SELECT E WHERE C='""&amp;B461&amp;""'"", 0)"),"MECH")</f>
        <v>MECH</v>
      </c>
      <c r="E461" s="15" t="s">
        <v>13538</v>
      </c>
      <c r="F461" s="15" t="s">
        <v>10236</v>
      </c>
      <c r="G461" s="15" t="s">
        <v>13539</v>
      </c>
      <c r="H461" s="15" t="s">
        <v>2785</v>
      </c>
      <c r="I461" s="17">
        <v>37278.0</v>
      </c>
      <c r="J461" s="15">
        <v>2020.0</v>
      </c>
      <c r="K461" s="15" t="s">
        <v>2941</v>
      </c>
      <c r="L461" s="15" t="s">
        <v>2787</v>
      </c>
      <c r="M461" s="18"/>
      <c r="N461" s="15" t="s">
        <v>13540</v>
      </c>
      <c r="O461" s="15" t="s">
        <v>1347</v>
      </c>
      <c r="P461" s="19" t="s">
        <v>13541</v>
      </c>
      <c r="Q461" s="15">
        <v>8.010486141E9</v>
      </c>
      <c r="R461" s="15">
        <v>8.010486141E9</v>
      </c>
      <c r="S461" s="15">
        <v>9.370005497E9</v>
      </c>
      <c r="T461" s="15" t="s">
        <v>13542</v>
      </c>
      <c r="U461" s="15" t="s">
        <v>13543</v>
      </c>
      <c r="V461" s="15" t="s">
        <v>13544</v>
      </c>
      <c r="W461" s="15" t="s">
        <v>13544</v>
      </c>
      <c r="X461" s="15">
        <v>78.4</v>
      </c>
      <c r="Y461" s="15" t="s">
        <v>2948</v>
      </c>
      <c r="Z461" s="15">
        <v>8.19</v>
      </c>
      <c r="AA461" s="15">
        <v>8.53</v>
      </c>
      <c r="AB461" s="15" t="s">
        <v>10361</v>
      </c>
      <c r="AC461" s="15" t="s">
        <v>10361</v>
      </c>
      <c r="AD461" s="15" t="s">
        <v>10361</v>
      </c>
      <c r="AE461" s="15" t="s">
        <v>10361</v>
      </c>
      <c r="AF461" s="18"/>
      <c r="AG461" s="18"/>
      <c r="AH461" s="18"/>
      <c r="AI461" s="15">
        <v>90.77</v>
      </c>
      <c r="AJ461" s="15" t="s">
        <v>2797</v>
      </c>
      <c r="AK461" s="15" t="s">
        <v>2787</v>
      </c>
      <c r="AL461" s="15">
        <v>577.0</v>
      </c>
      <c r="AM461" s="15">
        <v>577.0</v>
      </c>
      <c r="AN461" s="15" t="s">
        <v>2797</v>
      </c>
      <c r="AO461" s="15" t="s">
        <v>10361</v>
      </c>
      <c r="AP461" s="15" t="s">
        <v>10361</v>
      </c>
      <c r="AQ461" s="15" t="s">
        <v>13545</v>
      </c>
      <c r="AR461" s="15" t="s">
        <v>13546</v>
      </c>
      <c r="AS461" s="15" t="s">
        <v>13547</v>
      </c>
      <c r="AT461" s="15" t="s">
        <v>10361</v>
      </c>
      <c r="AU461" s="15" t="s">
        <v>10361</v>
      </c>
      <c r="AV461" s="15" t="s">
        <v>13548</v>
      </c>
      <c r="AW461" s="15" t="s">
        <v>13549</v>
      </c>
      <c r="AX461" s="15" t="s">
        <v>2796</v>
      </c>
      <c r="AY461" s="15" t="s">
        <v>13550</v>
      </c>
      <c r="AZ461" s="15" t="s">
        <v>9648</v>
      </c>
      <c r="BA461" s="15" t="s">
        <v>2870</v>
      </c>
      <c r="BB461" s="15" t="s">
        <v>2807</v>
      </c>
      <c r="BC461" s="15" t="s">
        <v>13013</v>
      </c>
      <c r="BD461" s="15" t="s">
        <v>2807</v>
      </c>
      <c r="BE461" s="15" t="s">
        <v>13551</v>
      </c>
      <c r="BF461" s="15" t="s">
        <v>13552</v>
      </c>
      <c r="BG461" s="15" t="s">
        <v>10361</v>
      </c>
      <c r="BH461" s="15" t="s">
        <v>13553</v>
      </c>
      <c r="BI461" s="15" t="s">
        <v>13554</v>
      </c>
      <c r="BJ461" s="19" t="s">
        <v>13555</v>
      </c>
      <c r="BK461" s="19" t="s">
        <v>13556</v>
      </c>
      <c r="BL461" s="18"/>
      <c r="BM461" s="18"/>
      <c r="BN461" s="19" t="s">
        <v>13557</v>
      </c>
      <c r="BO461" s="19" t="s">
        <v>13558</v>
      </c>
      <c r="BP461" s="19" t="s">
        <v>13559</v>
      </c>
      <c r="BQ461" s="15" t="s">
        <v>1321</v>
      </c>
      <c r="BR461" s="26"/>
      <c r="BS461" s="26"/>
      <c r="BT461" s="26"/>
      <c r="BU461" s="26"/>
      <c r="BV461" s="26"/>
      <c r="BW461" s="15" t="s">
        <v>3313</v>
      </c>
      <c r="BX461" s="26"/>
      <c r="BY461" s="18" t="str">
        <f t="shared" si="107"/>
        <v>MECH</v>
      </c>
      <c r="BZ461" s="18" t="str">
        <f t="shared" si="100"/>
        <v/>
      </c>
      <c r="CA461" s="18" t="str">
        <f t="shared" si="101"/>
        <v/>
      </c>
      <c r="CB461" s="15" t="s">
        <v>2908</v>
      </c>
      <c r="CC461" s="15" t="s">
        <v>2908</v>
      </c>
      <c r="CD461" s="25" t="s">
        <v>2797</v>
      </c>
      <c r="CE461" s="18"/>
      <c r="CF461" s="18"/>
      <c r="CG461" s="18"/>
    </row>
    <row r="462" ht="18.75" hidden="1" customHeight="1">
      <c r="A462" s="14">
        <v>44736.458075</v>
      </c>
      <c r="B462" s="15" t="s">
        <v>2547</v>
      </c>
      <c r="C462" s="16" t="s">
        <v>13560</v>
      </c>
      <c r="D462" s="15" t="str">
        <f>IFERROR(__xludf.DUMMYFUNCTION("QUERY(TY_ALL_2023_Batch!$A$1:$E$824, ""SELECT E WHERE C='""&amp;B462&amp;""'"", 0)"),"MECH")</f>
        <v>MECH</v>
      </c>
      <c r="E462" s="15" t="s">
        <v>13561</v>
      </c>
      <c r="F462" s="15" t="s">
        <v>13562</v>
      </c>
      <c r="G462" s="15" t="s">
        <v>5206</v>
      </c>
      <c r="H462" s="15" t="s">
        <v>2785</v>
      </c>
      <c r="I462" s="17">
        <v>37186.0</v>
      </c>
      <c r="J462" s="15">
        <v>2019.0</v>
      </c>
      <c r="K462" s="15" t="s">
        <v>2786</v>
      </c>
      <c r="L462" s="15" t="s">
        <v>2787</v>
      </c>
      <c r="M462" s="18"/>
      <c r="N462" s="15" t="s">
        <v>13563</v>
      </c>
      <c r="O462" s="15" t="s">
        <v>2547</v>
      </c>
      <c r="P462" s="19" t="s">
        <v>13564</v>
      </c>
      <c r="Q462" s="15">
        <v>7.88810316E9</v>
      </c>
      <c r="R462" s="15">
        <v>7.88810316E9</v>
      </c>
      <c r="S462" s="18"/>
      <c r="T462" s="15" t="s">
        <v>13565</v>
      </c>
      <c r="U462" s="15" t="s">
        <v>13566</v>
      </c>
      <c r="V462" s="15" t="s">
        <v>13567</v>
      </c>
      <c r="W462" s="18"/>
      <c r="X462" s="15">
        <v>87.0</v>
      </c>
      <c r="Y462" s="15" t="s">
        <v>2795</v>
      </c>
      <c r="Z462" s="15">
        <v>8.0</v>
      </c>
      <c r="AA462" s="15">
        <v>7.8</v>
      </c>
      <c r="AB462" s="15" t="s">
        <v>2796</v>
      </c>
      <c r="AC462" s="15" t="s">
        <v>2796</v>
      </c>
      <c r="AD462" s="15" t="s">
        <v>2796</v>
      </c>
      <c r="AE462" s="15" t="s">
        <v>2796</v>
      </c>
      <c r="AF462" s="15">
        <v>8.2</v>
      </c>
      <c r="AG462" s="15">
        <v>8.0</v>
      </c>
      <c r="AH462" s="15">
        <v>72.0</v>
      </c>
      <c r="AI462" s="18"/>
      <c r="AJ462" s="15" t="s">
        <v>2787</v>
      </c>
      <c r="AK462" s="15" t="s">
        <v>2797</v>
      </c>
      <c r="AL462" s="18"/>
      <c r="AM462" s="18"/>
      <c r="AN462" s="15" t="s">
        <v>2787</v>
      </c>
      <c r="AO462" s="18"/>
      <c r="AP462" s="15" t="s">
        <v>13568</v>
      </c>
      <c r="AQ462" s="15" t="s">
        <v>13569</v>
      </c>
      <c r="AR462" s="18"/>
      <c r="AS462" s="18"/>
      <c r="AT462" s="18"/>
      <c r="AU462" s="18"/>
      <c r="AV462" s="15" t="s">
        <v>13570</v>
      </c>
      <c r="AW462" s="15" t="s">
        <v>13571</v>
      </c>
      <c r="AX462" s="18"/>
      <c r="AY462" s="15" t="s">
        <v>13572</v>
      </c>
      <c r="AZ462" s="15" t="s">
        <v>8440</v>
      </c>
      <c r="BA462" s="15" t="s">
        <v>2899</v>
      </c>
      <c r="BB462" s="15" t="s">
        <v>2807</v>
      </c>
      <c r="BC462" s="15" t="s">
        <v>3110</v>
      </c>
      <c r="BD462" s="15" t="s">
        <v>2842</v>
      </c>
      <c r="BE462" s="15" t="s">
        <v>13573</v>
      </c>
      <c r="BF462" s="15" t="s">
        <v>13574</v>
      </c>
      <c r="BG462" s="18"/>
      <c r="BH462" s="18"/>
      <c r="BI462" s="18"/>
      <c r="BJ462" s="19" t="s">
        <v>13575</v>
      </c>
      <c r="BK462" s="19" t="s">
        <v>13576</v>
      </c>
      <c r="BL462" s="18"/>
      <c r="BM462" s="18"/>
      <c r="BN462" s="18"/>
      <c r="BO462" s="19" t="s">
        <v>13577</v>
      </c>
      <c r="BP462" s="19" t="s">
        <v>13578</v>
      </c>
      <c r="BQ462" s="15" t="s">
        <v>1321</v>
      </c>
      <c r="BR462" s="26"/>
      <c r="BS462" s="26"/>
      <c r="BT462" s="26"/>
      <c r="BU462" s="26"/>
      <c r="BV462" s="26"/>
      <c r="BW462" s="26"/>
      <c r="BX462" s="26"/>
      <c r="BY462" s="18" t="str">
        <f t="shared" si="107"/>
        <v>MECH</v>
      </c>
      <c r="BZ462" s="18" t="str">
        <f t="shared" si="100"/>
        <v/>
      </c>
      <c r="CA462" s="18" t="str">
        <f t="shared" si="101"/>
        <v/>
      </c>
      <c r="CB462" s="15" t="s">
        <v>2908</v>
      </c>
      <c r="CC462" s="15" t="s">
        <v>2908</v>
      </c>
      <c r="CD462" s="25" t="s">
        <v>2797</v>
      </c>
      <c r="CE462" s="18"/>
      <c r="CF462" s="18"/>
      <c r="CG462" s="18"/>
    </row>
    <row r="463" ht="18.75" hidden="1" customHeight="1">
      <c r="A463" s="14">
        <v>44736.6668575</v>
      </c>
      <c r="B463" s="15" t="s">
        <v>1434</v>
      </c>
      <c r="C463" s="16" t="s">
        <v>13579</v>
      </c>
      <c r="D463" s="15" t="str">
        <f>IFERROR(__xludf.DUMMYFUNCTION("QUERY(TY_ALL_2023_Batch!$A$1:$E$824, ""SELECT E WHERE C='""&amp;B463&amp;""'"", 0)"),"MECH")</f>
        <v>MECH</v>
      </c>
      <c r="E463" s="15" t="s">
        <v>3078</v>
      </c>
      <c r="F463" s="15" t="s">
        <v>13580</v>
      </c>
      <c r="G463" s="15" t="s">
        <v>2784</v>
      </c>
      <c r="H463" s="15" t="s">
        <v>2785</v>
      </c>
      <c r="I463" s="17">
        <v>37071.0</v>
      </c>
      <c r="J463" s="15">
        <v>2020.0</v>
      </c>
      <c r="K463" s="15" t="s">
        <v>2941</v>
      </c>
      <c r="L463" s="15" t="s">
        <v>2787</v>
      </c>
      <c r="M463" s="18"/>
      <c r="N463" s="15" t="s">
        <v>13581</v>
      </c>
      <c r="O463" s="15" t="s">
        <v>1434</v>
      </c>
      <c r="P463" s="19" t="s">
        <v>13582</v>
      </c>
      <c r="Q463" s="15">
        <v>8.767650369E9</v>
      </c>
      <c r="R463" s="15">
        <v>8.767650369E9</v>
      </c>
      <c r="S463" s="15">
        <v>7.499682598E9</v>
      </c>
      <c r="T463" s="15" t="s">
        <v>13580</v>
      </c>
      <c r="U463" s="15" t="s">
        <v>4598</v>
      </c>
      <c r="V463" s="15" t="s">
        <v>13583</v>
      </c>
      <c r="W463" s="18"/>
      <c r="X463" s="15">
        <v>81.6</v>
      </c>
      <c r="Y463" s="15" t="s">
        <v>2948</v>
      </c>
      <c r="Z463" s="15">
        <v>8.33</v>
      </c>
      <c r="AA463" s="15">
        <v>8.48</v>
      </c>
      <c r="AB463" s="15" t="s">
        <v>2796</v>
      </c>
      <c r="AC463" s="15" t="s">
        <v>2796</v>
      </c>
      <c r="AD463" s="15" t="s">
        <v>2796</v>
      </c>
      <c r="AE463" s="15" t="s">
        <v>2796</v>
      </c>
      <c r="AF463" s="18"/>
      <c r="AG463" s="18"/>
      <c r="AH463" s="18"/>
      <c r="AI463" s="15">
        <v>91.85</v>
      </c>
      <c r="AJ463" s="15" t="s">
        <v>2787</v>
      </c>
      <c r="AK463" s="15" t="s">
        <v>2787</v>
      </c>
      <c r="AL463" s="15">
        <v>391.66</v>
      </c>
      <c r="AM463" s="15">
        <v>335.0</v>
      </c>
      <c r="AN463" s="15" t="s">
        <v>2797</v>
      </c>
      <c r="AO463" s="18"/>
      <c r="AP463" s="18"/>
      <c r="AQ463" s="15" t="s">
        <v>4912</v>
      </c>
      <c r="AR463" s="18"/>
      <c r="AS463" s="18"/>
      <c r="AT463" s="18"/>
      <c r="AU463" s="18"/>
      <c r="AV463" s="15" t="s">
        <v>13584</v>
      </c>
      <c r="AW463" s="15" t="s">
        <v>13585</v>
      </c>
      <c r="AX463" s="18"/>
      <c r="AY463" s="15" t="s">
        <v>13586</v>
      </c>
      <c r="AZ463" s="15" t="s">
        <v>9648</v>
      </c>
      <c r="BA463" s="15" t="s">
        <v>2899</v>
      </c>
      <c r="BB463" s="15" t="s">
        <v>2807</v>
      </c>
      <c r="BC463" s="15" t="s">
        <v>13150</v>
      </c>
      <c r="BD463" s="15" t="s">
        <v>2807</v>
      </c>
      <c r="BE463" s="15" t="s">
        <v>13587</v>
      </c>
      <c r="BF463" s="18"/>
      <c r="BG463" s="18"/>
      <c r="BH463" s="18"/>
      <c r="BI463" s="18"/>
      <c r="BJ463" s="19" t="s">
        <v>13588</v>
      </c>
      <c r="BK463" s="19" t="s">
        <v>13589</v>
      </c>
      <c r="BL463" s="19" t="s">
        <v>13590</v>
      </c>
      <c r="BM463" s="19" t="s">
        <v>13591</v>
      </c>
      <c r="BN463" s="18"/>
      <c r="BO463" s="19" t="s">
        <v>13592</v>
      </c>
      <c r="BP463" s="18"/>
      <c r="BQ463" s="15" t="s">
        <v>1321</v>
      </c>
      <c r="BR463" s="26"/>
      <c r="BS463" s="26"/>
      <c r="BT463" s="19" t="s">
        <v>13593</v>
      </c>
      <c r="BU463" s="26"/>
      <c r="BV463" s="26"/>
      <c r="BW463" s="15" t="s">
        <v>9897</v>
      </c>
      <c r="BX463" s="26"/>
      <c r="BY463" s="18" t="str">
        <f t="shared" si="107"/>
        <v>MECH</v>
      </c>
      <c r="BZ463" s="24" t="str">
        <f t="shared" si="100"/>
        <v>https://drive.google.com/open?id=10tVm0EuoTZ00Oy2hjdE9QBTBUh-iY_5B</v>
      </c>
      <c r="CA463" s="24" t="str">
        <f t="shared" si="101"/>
        <v>https://drive.google.com/open?id=13eAPuoMGg6U81po6Ky_K_autr48NTmbu</v>
      </c>
      <c r="CB463" s="15" t="s">
        <v>2821</v>
      </c>
      <c r="CC463" s="15" t="s">
        <v>2821</v>
      </c>
      <c r="CD463" s="25" t="s">
        <v>2909</v>
      </c>
      <c r="CE463" s="18"/>
      <c r="CF463" s="18"/>
      <c r="CG463" s="18"/>
    </row>
    <row r="464" ht="18.75" hidden="1" customHeight="1">
      <c r="A464" s="14">
        <v>44772.378134074075</v>
      </c>
      <c r="B464" s="15" t="s">
        <v>1461</v>
      </c>
      <c r="C464" s="16" t="s">
        <v>13594</v>
      </c>
      <c r="D464" s="15" t="str">
        <f>IFERROR(__xludf.DUMMYFUNCTION("QUERY(TY_ALL_2023_Batch!$A$1:$E$824, ""SELECT E WHERE C='""&amp;B464&amp;""'"", 0)"),"MECH")</f>
        <v>MECH</v>
      </c>
      <c r="E464" s="15" t="s">
        <v>13595</v>
      </c>
      <c r="F464" s="15" t="s">
        <v>6015</v>
      </c>
      <c r="G464" s="15" t="s">
        <v>13596</v>
      </c>
      <c r="H464" s="15" t="s">
        <v>2785</v>
      </c>
      <c r="I464" s="17">
        <v>37005.0</v>
      </c>
      <c r="J464" s="15">
        <v>2020.0</v>
      </c>
      <c r="K464" s="15" t="s">
        <v>2941</v>
      </c>
      <c r="L464" s="15" t="s">
        <v>2787</v>
      </c>
      <c r="M464" s="18"/>
      <c r="N464" s="15" t="s">
        <v>13597</v>
      </c>
      <c r="O464" s="15" t="s">
        <v>13598</v>
      </c>
      <c r="P464" s="19" t="s">
        <v>13599</v>
      </c>
      <c r="Q464" s="15">
        <v>9.767327692E9</v>
      </c>
      <c r="R464" s="15">
        <v>9.767327692E9</v>
      </c>
      <c r="S464" s="15">
        <v>9.822006485E9</v>
      </c>
      <c r="T464" s="15" t="s">
        <v>13600</v>
      </c>
      <c r="U464" s="15" t="s">
        <v>13601</v>
      </c>
      <c r="V464" s="15" t="s">
        <v>13602</v>
      </c>
      <c r="W464" s="15" t="s">
        <v>13603</v>
      </c>
      <c r="X464" s="15">
        <v>92.2</v>
      </c>
      <c r="Y464" s="15" t="s">
        <v>2948</v>
      </c>
      <c r="Z464" s="15">
        <v>9.29</v>
      </c>
      <c r="AA464" s="15">
        <v>8.52</v>
      </c>
      <c r="AB464" s="15">
        <v>8.52</v>
      </c>
      <c r="AC464" s="15">
        <v>8.33</v>
      </c>
      <c r="AD464" s="15" t="s">
        <v>2796</v>
      </c>
      <c r="AE464" s="15" t="s">
        <v>2796</v>
      </c>
      <c r="AF464" s="18"/>
      <c r="AG464" s="18"/>
      <c r="AH464" s="18"/>
      <c r="AI464" s="15">
        <v>92.31</v>
      </c>
      <c r="AJ464" s="15" t="s">
        <v>2787</v>
      </c>
      <c r="AK464" s="15" t="s">
        <v>2787</v>
      </c>
      <c r="AL464" s="15">
        <v>517.5</v>
      </c>
      <c r="AM464" s="15">
        <v>683.33</v>
      </c>
      <c r="AN464" s="15" t="s">
        <v>2797</v>
      </c>
      <c r="AO464" s="18"/>
      <c r="AP464" s="18"/>
      <c r="AQ464" s="15" t="s">
        <v>13604</v>
      </c>
      <c r="AR464" s="15" t="s">
        <v>13605</v>
      </c>
      <c r="AS464" s="15" t="s">
        <v>13606</v>
      </c>
      <c r="AT464" s="18"/>
      <c r="AU464" s="18"/>
      <c r="AV464" s="18"/>
      <c r="AW464" s="15" t="s">
        <v>13607</v>
      </c>
      <c r="AX464" s="18"/>
      <c r="AY464" s="15" t="s">
        <v>13608</v>
      </c>
      <c r="AZ464" s="15" t="s">
        <v>8440</v>
      </c>
      <c r="BA464" s="15" t="s">
        <v>2870</v>
      </c>
      <c r="BB464" s="15" t="s">
        <v>2807</v>
      </c>
      <c r="BC464" s="15" t="s">
        <v>13609</v>
      </c>
      <c r="BD464" s="15" t="s">
        <v>6169</v>
      </c>
      <c r="BE464" s="15" t="s">
        <v>13610</v>
      </c>
      <c r="BF464" s="18"/>
      <c r="BG464" s="18"/>
      <c r="BH464" s="18"/>
      <c r="BI464" s="18"/>
      <c r="BJ464" s="19" t="s">
        <v>13611</v>
      </c>
      <c r="BK464" s="19" t="s">
        <v>13612</v>
      </c>
      <c r="BL464" s="19" t="s">
        <v>13613</v>
      </c>
      <c r="BM464" s="19" t="s">
        <v>13614</v>
      </c>
      <c r="BN464" s="18"/>
      <c r="BO464" s="19" t="s">
        <v>13615</v>
      </c>
      <c r="BP464" s="18"/>
      <c r="BQ464" s="15" t="s">
        <v>1321</v>
      </c>
      <c r="BR464" s="26"/>
      <c r="BS464" s="26"/>
      <c r="BT464" s="26"/>
      <c r="BU464" s="26"/>
      <c r="BV464" s="26"/>
      <c r="BW464" s="15" t="s">
        <v>13616</v>
      </c>
      <c r="BX464" s="26"/>
      <c r="BY464" s="18" t="str">
        <f t="shared" si="107"/>
        <v>MECH</v>
      </c>
      <c r="BZ464" s="24" t="str">
        <f t="shared" si="100"/>
        <v>https://drive.google.com/open?id=1nij7sD1xTbjxnsFc58l3jgkOYLaP3hNv</v>
      </c>
      <c r="CA464" s="24" t="str">
        <f t="shared" si="101"/>
        <v>https://drive.google.com/open?id=1wNccOmHt_eGegiExRUoyI9O0qdFr-1Ya</v>
      </c>
      <c r="CB464" s="15" t="s">
        <v>2821</v>
      </c>
      <c r="CC464" s="15" t="s">
        <v>2821</v>
      </c>
      <c r="CD464" s="25" t="s">
        <v>2797</v>
      </c>
      <c r="CE464" s="18"/>
      <c r="CF464" s="18"/>
      <c r="CG464" s="18"/>
    </row>
    <row r="465" ht="18.75" hidden="1" customHeight="1">
      <c r="A465" s="14">
        <v>44742.987454780094</v>
      </c>
      <c r="B465" s="15" t="s">
        <v>2499</v>
      </c>
      <c r="C465" s="16" t="s">
        <v>13617</v>
      </c>
      <c r="D465" s="15" t="str">
        <f>IFERROR(__xludf.DUMMYFUNCTION("QUERY(TY_ALL_2023_Batch!$A$1:$E$824, ""SELECT E WHERE C='""&amp;B465&amp;""'"", 0)"),"MECH")</f>
        <v>MECH</v>
      </c>
      <c r="E465" s="15" t="s">
        <v>6135</v>
      </c>
      <c r="F465" s="15" t="s">
        <v>5589</v>
      </c>
      <c r="G465" s="15" t="s">
        <v>13618</v>
      </c>
      <c r="H465" s="15" t="s">
        <v>2785</v>
      </c>
      <c r="I465" s="17">
        <v>44661.0</v>
      </c>
      <c r="J465" s="15">
        <v>2019.0</v>
      </c>
      <c r="K465" s="15" t="s">
        <v>2786</v>
      </c>
      <c r="L465" s="15" t="s">
        <v>2787</v>
      </c>
      <c r="M465" s="18"/>
      <c r="N465" s="15" t="s">
        <v>13619</v>
      </c>
      <c r="O465" s="15" t="s">
        <v>2499</v>
      </c>
      <c r="P465" s="19" t="s">
        <v>13620</v>
      </c>
      <c r="Q465" s="15">
        <v>8.484991029E9</v>
      </c>
      <c r="R465" s="15">
        <v>8.484991029E9</v>
      </c>
      <c r="S465" s="15">
        <v>7.020213426E9</v>
      </c>
      <c r="T465" s="15" t="s">
        <v>13621</v>
      </c>
      <c r="U465" s="15" t="s">
        <v>6682</v>
      </c>
      <c r="V465" s="15" t="s">
        <v>13622</v>
      </c>
      <c r="W465" s="15" t="s">
        <v>13623</v>
      </c>
      <c r="X465" s="15">
        <v>91.0</v>
      </c>
      <c r="Y465" s="15" t="s">
        <v>2795</v>
      </c>
      <c r="Z465" s="15">
        <v>9.29</v>
      </c>
      <c r="AA465" s="15">
        <v>8.95</v>
      </c>
      <c r="AB465" s="15" t="s">
        <v>2796</v>
      </c>
      <c r="AC465" s="15" t="s">
        <v>2796</v>
      </c>
      <c r="AD465" s="15" t="s">
        <v>2796</v>
      </c>
      <c r="AE465" s="15" t="s">
        <v>2796</v>
      </c>
      <c r="AF465" s="15">
        <v>8.74</v>
      </c>
      <c r="AG465" s="15">
        <v>9.24</v>
      </c>
      <c r="AH465" s="15">
        <v>66.0</v>
      </c>
      <c r="AI465" s="18"/>
      <c r="AJ465" s="15" t="s">
        <v>2787</v>
      </c>
      <c r="AK465" s="15" t="s">
        <v>2787</v>
      </c>
      <c r="AL465" s="15">
        <v>598.33</v>
      </c>
      <c r="AM465" s="15">
        <v>626.667</v>
      </c>
      <c r="AN465" s="15" t="s">
        <v>2797</v>
      </c>
      <c r="AO465" s="15">
        <v>0.0</v>
      </c>
      <c r="AP465" s="15">
        <v>0.0</v>
      </c>
      <c r="AQ465" s="15" t="s">
        <v>13624</v>
      </c>
      <c r="AR465" s="18"/>
      <c r="AS465" s="18"/>
      <c r="AT465" s="18"/>
      <c r="AU465" s="18"/>
      <c r="AV465" s="15" t="s">
        <v>13625</v>
      </c>
      <c r="AW465" s="15" t="s">
        <v>13626</v>
      </c>
      <c r="AX465" s="15" t="s">
        <v>13627</v>
      </c>
      <c r="AY465" s="15" t="s">
        <v>13628</v>
      </c>
      <c r="AZ465" s="15" t="s">
        <v>3960</v>
      </c>
      <c r="BA465" s="15" t="s">
        <v>2870</v>
      </c>
      <c r="BB465" s="15" t="s">
        <v>2807</v>
      </c>
      <c r="BC465" s="15" t="s">
        <v>13629</v>
      </c>
      <c r="BD465" s="15" t="s">
        <v>2807</v>
      </c>
      <c r="BE465" s="15" t="s">
        <v>13630</v>
      </c>
      <c r="BF465" s="15" t="s">
        <v>13631</v>
      </c>
      <c r="BG465" s="18"/>
      <c r="BH465" s="18"/>
      <c r="BI465" s="15" t="s">
        <v>13632</v>
      </c>
      <c r="BJ465" s="19" t="s">
        <v>13633</v>
      </c>
      <c r="BK465" s="19" t="s">
        <v>13634</v>
      </c>
      <c r="BL465" s="20" t="s">
        <v>13635</v>
      </c>
      <c r="BM465" s="19" t="s">
        <v>13636</v>
      </c>
      <c r="BN465" s="19" t="s">
        <v>13637</v>
      </c>
      <c r="BO465" s="19" t="s">
        <v>13638</v>
      </c>
      <c r="BP465" s="19" t="s">
        <v>13639</v>
      </c>
      <c r="BQ465" s="15" t="s">
        <v>1321</v>
      </c>
      <c r="BR465" s="26"/>
      <c r="BS465" s="19" t="s">
        <v>13640</v>
      </c>
      <c r="BT465" s="19" t="s">
        <v>13641</v>
      </c>
      <c r="BU465" s="26"/>
      <c r="BV465" s="26"/>
      <c r="BW465" s="15" t="s">
        <v>13642</v>
      </c>
      <c r="BX465" s="26"/>
      <c r="BY465" s="18" t="str">
        <f t="shared" si="107"/>
        <v>MECH</v>
      </c>
      <c r="BZ465" s="24" t="str">
        <f t="shared" si="100"/>
        <v>https://drive.google.com/open?id=19ppRCS7m5_PXq2s85pdt1Gg1RhZS7VHm</v>
      </c>
      <c r="CA465" s="24" t="str">
        <f t="shared" si="101"/>
        <v>https://drive.google.com/open?id=1-jQJpq3UpCH3EqGuVNoIza5EZCy27Sko</v>
      </c>
      <c r="CB465" s="15" t="s">
        <v>2821</v>
      </c>
      <c r="CC465" s="15" t="s">
        <v>2821</v>
      </c>
      <c r="CD465" s="25" t="s">
        <v>2909</v>
      </c>
      <c r="CE465" s="18"/>
      <c r="CF465" s="18"/>
      <c r="CG465" s="18"/>
    </row>
    <row r="466" ht="18.75" hidden="1" customHeight="1">
      <c r="A466" s="14">
        <v>44741.95855335648</v>
      </c>
      <c r="B466" s="15" t="s">
        <v>1383</v>
      </c>
      <c r="C466" s="16" t="s">
        <v>13643</v>
      </c>
      <c r="D466" s="15" t="str">
        <f>IFERROR(__xludf.DUMMYFUNCTION("QUERY(TY_ALL_2023_Batch!$A$1:$E$824, ""SELECT E WHERE C='""&amp;B466&amp;""'"", 0)"),"MECH")</f>
        <v>MECH</v>
      </c>
      <c r="E466" s="15" t="s">
        <v>2911</v>
      </c>
      <c r="F466" s="15" t="s">
        <v>13644</v>
      </c>
      <c r="G466" s="15" t="s">
        <v>5661</v>
      </c>
      <c r="H466" s="15" t="s">
        <v>2785</v>
      </c>
      <c r="I466" s="17">
        <v>36818.0</v>
      </c>
      <c r="J466" s="15">
        <v>2020.0</v>
      </c>
      <c r="K466" s="15" t="s">
        <v>2941</v>
      </c>
      <c r="L466" s="15" t="s">
        <v>2787</v>
      </c>
      <c r="M466" s="18"/>
      <c r="N466" s="15" t="s">
        <v>13645</v>
      </c>
      <c r="O466" s="15" t="s">
        <v>1383</v>
      </c>
      <c r="P466" s="19" t="s">
        <v>13646</v>
      </c>
      <c r="Q466" s="15">
        <v>9.076327633E9</v>
      </c>
      <c r="R466" s="15">
        <v>9.076327633E9</v>
      </c>
      <c r="S466" s="15">
        <v>7.208388063E9</v>
      </c>
      <c r="T466" s="15" t="s">
        <v>13647</v>
      </c>
      <c r="U466" s="15" t="s">
        <v>13648</v>
      </c>
      <c r="V466" s="15" t="s">
        <v>13649</v>
      </c>
      <c r="W466" s="15" t="s">
        <v>13650</v>
      </c>
      <c r="X466" s="15">
        <v>90.0</v>
      </c>
      <c r="Y466" s="15" t="s">
        <v>2948</v>
      </c>
      <c r="Z466" s="15">
        <v>8.48</v>
      </c>
      <c r="AA466" s="15">
        <v>8.67</v>
      </c>
      <c r="AB466" s="15">
        <v>8.1</v>
      </c>
      <c r="AC466" s="15" t="s">
        <v>2796</v>
      </c>
      <c r="AD466" s="15" t="s">
        <v>2796</v>
      </c>
      <c r="AE466" s="15" t="s">
        <v>2796</v>
      </c>
      <c r="AF466" s="18"/>
      <c r="AG466" s="18"/>
      <c r="AH466" s="18"/>
      <c r="AI466" s="15">
        <v>92.0</v>
      </c>
      <c r="AJ466" s="15" t="s">
        <v>2787</v>
      </c>
      <c r="AK466" s="15" t="s">
        <v>2787</v>
      </c>
      <c r="AL466" s="18"/>
      <c r="AM466" s="18"/>
      <c r="AN466" s="15" t="s">
        <v>2797</v>
      </c>
      <c r="AO466" s="15" t="s">
        <v>2796</v>
      </c>
      <c r="AP466" s="15" t="s">
        <v>2796</v>
      </c>
      <c r="AQ466" s="15" t="s">
        <v>13651</v>
      </c>
      <c r="AR466" s="15" t="s">
        <v>13652</v>
      </c>
      <c r="AS466" s="18"/>
      <c r="AT466" s="18"/>
      <c r="AU466" s="18"/>
      <c r="AV466" s="18"/>
      <c r="AW466" s="15" t="s">
        <v>13653</v>
      </c>
      <c r="AX466" s="18"/>
      <c r="AY466" s="15" t="s">
        <v>13654</v>
      </c>
      <c r="AZ466" s="15" t="s">
        <v>9648</v>
      </c>
      <c r="BA466" s="15" t="s">
        <v>2870</v>
      </c>
      <c r="BB466" s="15" t="s">
        <v>2807</v>
      </c>
      <c r="BC466" s="15" t="s">
        <v>13150</v>
      </c>
      <c r="BD466" s="15" t="s">
        <v>2807</v>
      </c>
      <c r="BE466" s="15" t="s">
        <v>13655</v>
      </c>
      <c r="BF466" s="18"/>
      <c r="BG466" s="18"/>
      <c r="BH466" s="15" t="s">
        <v>13656</v>
      </c>
      <c r="BI466" s="15" t="s">
        <v>13657</v>
      </c>
      <c r="BJ466" s="19" t="s">
        <v>13658</v>
      </c>
      <c r="BK466" s="19" t="s">
        <v>13659</v>
      </c>
      <c r="BL466" s="18"/>
      <c r="BM466" s="18"/>
      <c r="BN466" s="19" t="s">
        <v>13660</v>
      </c>
      <c r="BO466" s="19" t="s">
        <v>13661</v>
      </c>
      <c r="BP466" s="19" t="s">
        <v>13662</v>
      </c>
      <c r="BQ466" s="15" t="s">
        <v>1321</v>
      </c>
      <c r="BR466" s="19" t="s">
        <v>13663</v>
      </c>
      <c r="BS466" s="26"/>
      <c r="BT466" s="19" t="s">
        <v>13664</v>
      </c>
      <c r="BU466" s="19" t="s">
        <v>13665</v>
      </c>
      <c r="BV466" s="19" t="s">
        <v>13666</v>
      </c>
      <c r="BW466" s="15" t="s">
        <v>13667</v>
      </c>
      <c r="BX466" s="26"/>
      <c r="BY466" s="18" t="str">
        <f t="shared" si="107"/>
        <v>MECH</v>
      </c>
      <c r="BZ466" s="24" t="str">
        <f t="shared" si="100"/>
        <v>https://drive.google.com/open?id=1WgpmnnC-W_ZQgNesiBQViPVdhnUv3rog</v>
      </c>
      <c r="CA466" s="24" t="str">
        <f t="shared" si="101"/>
        <v>https://drive.google.com/open?id=1nkP1es4D4GjWDU1vsHcCwAm_ytb-p0zs</v>
      </c>
      <c r="CB466" s="15" t="s">
        <v>2908</v>
      </c>
      <c r="CC466" s="15" t="s">
        <v>2908</v>
      </c>
      <c r="CD466" s="25" t="s">
        <v>2909</v>
      </c>
      <c r="CE466" s="18"/>
      <c r="CF466" s="18"/>
      <c r="CG466" s="18"/>
    </row>
    <row r="467" ht="18.75" hidden="1" customHeight="1">
      <c r="A467" s="14">
        <v>44736.43131244213</v>
      </c>
      <c r="B467" s="15" t="s">
        <v>1410</v>
      </c>
      <c r="C467" s="16" t="s">
        <v>13668</v>
      </c>
      <c r="D467" s="15" t="str">
        <f>IFERROR(__xludf.DUMMYFUNCTION("QUERY(TY_ALL_2023_Batch!$A$1:$E$824, ""SELECT E WHERE C='""&amp;B467&amp;""'"", 0)"),"MECH")</f>
        <v>MECH</v>
      </c>
      <c r="E467" s="15" t="s">
        <v>6372</v>
      </c>
      <c r="F467" s="15" t="s">
        <v>13669</v>
      </c>
      <c r="G467" s="15" t="s">
        <v>13670</v>
      </c>
      <c r="H467" s="15" t="s">
        <v>2785</v>
      </c>
      <c r="I467" s="17">
        <v>36631.0</v>
      </c>
      <c r="J467" s="15">
        <v>2020.0</v>
      </c>
      <c r="K467" s="15" t="s">
        <v>2941</v>
      </c>
      <c r="L467" s="15" t="s">
        <v>2787</v>
      </c>
      <c r="M467" s="18"/>
      <c r="N467" s="15" t="s">
        <v>13671</v>
      </c>
      <c r="O467" s="15" t="s">
        <v>1410</v>
      </c>
      <c r="P467" s="19" t="s">
        <v>13672</v>
      </c>
      <c r="Q467" s="15">
        <v>9.545666546E9</v>
      </c>
      <c r="R467" s="15">
        <v>9.545666546E9</v>
      </c>
      <c r="S467" s="15">
        <v>9.67332678E9</v>
      </c>
      <c r="T467" s="15" t="s">
        <v>13669</v>
      </c>
      <c r="U467" s="15" t="s">
        <v>4451</v>
      </c>
      <c r="V467" s="15" t="s">
        <v>13673</v>
      </c>
      <c r="W467" s="15" t="s">
        <v>13674</v>
      </c>
      <c r="X467" s="15">
        <v>90.0</v>
      </c>
      <c r="Y467" s="15" t="s">
        <v>2948</v>
      </c>
      <c r="Z467" s="15">
        <v>8.22</v>
      </c>
      <c r="AA467" s="15">
        <v>8.74</v>
      </c>
      <c r="AB467" s="15">
        <v>8.8</v>
      </c>
      <c r="AC467" s="15" t="s">
        <v>2796</v>
      </c>
      <c r="AD467" s="15" t="s">
        <v>2796</v>
      </c>
      <c r="AE467" s="15" t="s">
        <v>2796</v>
      </c>
      <c r="AF467" s="18"/>
      <c r="AG467" s="18"/>
      <c r="AH467" s="18"/>
      <c r="AI467" s="15">
        <v>90.56</v>
      </c>
      <c r="AJ467" s="15" t="s">
        <v>2787</v>
      </c>
      <c r="AK467" s="15" t="s">
        <v>2787</v>
      </c>
      <c r="AL467" s="15">
        <v>81.0</v>
      </c>
      <c r="AM467" s="15">
        <v>85.0</v>
      </c>
      <c r="AN467" s="15" t="s">
        <v>2797</v>
      </c>
      <c r="AO467" s="15" t="s">
        <v>2908</v>
      </c>
      <c r="AP467" s="15" t="s">
        <v>2908</v>
      </c>
      <c r="AQ467" s="16" t="s">
        <v>13675</v>
      </c>
      <c r="AR467" s="15" t="s">
        <v>13676</v>
      </c>
      <c r="AS467" s="15" t="s">
        <v>13677</v>
      </c>
      <c r="AT467" s="15" t="s">
        <v>13678</v>
      </c>
      <c r="AU467" s="15" t="s">
        <v>13679</v>
      </c>
      <c r="AV467" s="15" t="s">
        <v>13680</v>
      </c>
      <c r="AW467" s="15" t="s">
        <v>13681</v>
      </c>
      <c r="AX467" s="15" t="s">
        <v>13682</v>
      </c>
      <c r="AY467" s="15" t="s">
        <v>13683</v>
      </c>
      <c r="AZ467" s="15" t="s">
        <v>9648</v>
      </c>
      <c r="BA467" s="15" t="s">
        <v>2899</v>
      </c>
      <c r="BB467" s="15" t="s">
        <v>2807</v>
      </c>
      <c r="BC467" s="15" t="s">
        <v>4644</v>
      </c>
      <c r="BD467" s="15" t="s">
        <v>2807</v>
      </c>
      <c r="BE467" s="15" t="s">
        <v>13684</v>
      </c>
      <c r="BF467" s="18"/>
      <c r="BG467" s="18"/>
      <c r="BH467" s="15" t="s">
        <v>13685</v>
      </c>
      <c r="BI467" s="15" t="s">
        <v>13686</v>
      </c>
      <c r="BJ467" s="19" t="s">
        <v>13687</v>
      </c>
      <c r="BK467" s="19" t="s">
        <v>13688</v>
      </c>
      <c r="BL467" s="19" t="s">
        <v>13689</v>
      </c>
      <c r="BM467" s="18"/>
      <c r="BN467" s="19" t="s">
        <v>13690</v>
      </c>
      <c r="BO467" s="19" t="s">
        <v>13691</v>
      </c>
      <c r="BP467" s="18"/>
      <c r="BQ467" s="15" t="s">
        <v>1321</v>
      </c>
      <c r="BR467" s="26"/>
      <c r="BS467" s="26"/>
      <c r="BT467" s="26"/>
      <c r="BU467" s="26"/>
      <c r="BV467" s="26"/>
      <c r="BW467" s="26"/>
      <c r="BX467" s="26"/>
      <c r="BY467" s="18" t="str">
        <f t="shared" si="107"/>
        <v>MECH</v>
      </c>
      <c r="BZ467" s="24" t="str">
        <f t="shared" si="100"/>
        <v>https://drive.google.com/open?id=1YnWBczO6ov06hOSILw_RBV1IAKI6M-xG</v>
      </c>
      <c r="CA467" s="18" t="str">
        <f t="shared" si="101"/>
        <v/>
      </c>
      <c r="CB467" s="15" t="s">
        <v>2821</v>
      </c>
      <c r="CC467" s="15" t="s">
        <v>2908</v>
      </c>
      <c r="CD467" s="25" t="s">
        <v>2797</v>
      </c>
      <c r="CE467" s="18"/>
      <c r="CF467" s="18"/>
      <c r="CG467" s="18"/>
    </row>
    <row r="468" ht="18.75" hidden="1" customHeight="1">
      <c r="A468" s="14">
        <v>44735.77559297453</v>
      </c>
      <c r="B468" s="15" t="s">
        <v>2583</v>
      </c>
      <c r="C468" s="16" t="s">
        <v>13692</v>
      </c>
      <c r="D468" s="15" t="str">
        <f>IFERROR(__xludf.DUMMYFUNCTION("QUERY(TY_ALL_2023_Batch!$A$1:$E$824, ""SELECT E WHERE C='""&amp;B468&amp;""'"", 0)"),"MECH")</f>
        <v>MECH</v>
      </c>
      <c r="E468" s="15" t="s">
        <v>13693</v>
      </c>
      <c r="F468" s="15" t="s">
        <v>13694</v>
      </c>
      <c r="G468" s="15" t="s">
        <v>13695</v>
      </c>
      <c r="H468" s="15" t="s">
        <v>2785</v>
      </c>
      <c r="I468" s="17">
        <v>37223.0</v>
      </c>
      <c r="J468" s="15">
        <v>2019.0</v>
      </c>
      <c r="K468" s="15" t="s">
        <v>2786</v>
      </c>
      <c r="L468" s="15" t="s">
        <v>2787</v>
      </c>
      <c r="M468" s="18"/>
      <c r="N468" s="15" t="s">
        <v>13696</v>
      </c>
      <c r="O468" s="15" t="s">
        <v>2583</v>
      </c>
      <c r="P468" s="19" t="s">
        <v>13697</v>
      </c>
      <c r="Q468" s="15">
        <v>7.030592749E9</v>
      </c>
      <c r="R468" s="15">
        <v>7.620186464E9</v>
      </c>
      <c r="S468" s="15">
        <v>9.975824707E9</v>
      </c>
      <c r="T468" s="15" t="s">
        <v>13694</v>
      </c>
      <c r="U468" s="15" t="s">
        <v>3584</v>
      </c>
      <c r="V468" s="15" t="s">
        <v>13698</v>
      </c>
      <c r="W468" s="15" t="s">
        <v>13699</v>
      </c>
      <c r="X468" s="15">
        <v>91.4</v>
      </c>
      <c r="Y468" s="15" t="s">
        <v>2795</v>
      </c>
      <c r="Z468" s="15">
        <v>9.24</v>
      </c>
      <c r="AA468" s="15">
        <v>8.62</v>
      </c>
      <c r="AB468" s="15">
        <v>7.38</v>
      </c>
      <c r="AC468" s="15">
        <v>8.71</v>
      </c>
      <c r="AD468" s="15" t="s">
        <v>2796</v>
      </c>
      <c r="AE468" s="15" t="s">
        <v>2796</v>
      </c>
      <c r="AF468" s="15">
        <v>8.26</v>
      </c>
      <c r="AG468" s="15">
        <v>9.05</v>
      </c>
      <c r="AH468" s="15">
        <v>77.38</v>
      </c>
      <c r="AI468" s="18"/>
      <c r="AJ468" s="15" t="s">
        <v>2787</v>
      </c>
      <c r="AK468" s="15" t="s">
        <v>2787</v>
      </c>
      <c r="AL468" s="15">
        <v>75.0</v>
      </c>
      <c r="AM468" s="15">
        <v>68.0</v>
      </c>
      <c r="AN468" s="15" t="s">
        <v>2797</v>
      </c>
      <c r="AO468" s="18"/>
      <c r="AP468" s="18"/>
      <c r="AQ468" s="15" t="s">
        <v>13700</v>
      </c>
      <c r="AR468" s="15" t="s">
        <v>13701</v>
      </c>
      <c r="AS468" s="15" t="s">
        <v>13702</v>
      </c>
      <c r="AT468" s="18"/>
      <c r="AU468" s="15" t="s">
        <v>13703</v>
      </c>
      <c r="AV468" s="15" t="s">
        <v>13704</v>
      </c>
      <c r="AW468" s="15" t="s">
        <v>13705</v>
      </c>
      <c r="AX468" s="15" t="s">
        <v>13706</v>
      </c>
      <c r="AY468" s="15" t="s">
        <v>13707</v>
      </c>
      <c r="AZ468" s="15" t="s">
        <v>3960</v>
      </c>
      <c r="BA468" s="15" t="s">
        <v>2870</v>
      </c>
      <c r="BB468" s="15" t="s">
        <v>2807</v>
      </c>
      <c r="BC468" s="15" t="s">
        <v>13708</v>
      </c>
      <c r="BD468" s="15" t="s">
        <v>2842</v>
      </c>
      <c r="BE468" s="15" t="s">
        <v>13709</v>
      </c>
      <c r="BF468" s="15" t="s">
        <v>13710</v>
      </c>
      <c r="BG468" s="15" t="s">
        <v>13711</v>
      </c>
      <c r="BH468" s="15" t="s">
        <v>13712</v>
      </c>
      <c r="BI468" s="15" t="s">
        <v>13713</v>
      </c>
      <c r="BJ468" s="19" t="s">
        <v>13714</v>
      </c>
      <c r="BK468" s="19" t="s">
        <v>13715</v>
      </c>
      <c r="BL468" s="18"/>
      <c r="BM468" s="18"/>
      <c r="BN468" s="19" t="s">
        <v>13716</v>
      </c>
      <c r="BO468" s="19" t="s">
        <v>13717</v>
      </c>
      <c r="BP468" s="18"/>
      <c r="BQ468" s="15" t="s">
        <v>1321</v>
      </c>
      <c r="BR468" s="26"/>
      <c r="BS468" s="26"/>
      <c r="BT468" s="26"/>
      <c r="BU468" s="26"/>
      <c r="BV468" s="26"/>
      <c r="BW468" s="26"/>
      <c r="BX468" s="26"/>
      <c r="BY468" s="18" t="str">
        <f t="shared" si="107"/>
        <v>MECH</v>
      </c>
      <c r="BZ468" s="18" t="str">
        <f t="shared" si="100"/>
        <v/>
      </c>
      <c r="CA468" s="18" t="str">
        <f t="shared" si="101"/>
        <v/>
      </c>
      <c r="CB468" s="15" t="s">
        <v>2908</v>
      </c>
      <c r="CC468" s="15" t="s">
        <v>2908</v>
      </c>
      <c r="CD468" s="25" t="s">
        <v>2797</v>
      </c>
      <c r="CE468" s="18"/>
      <c r="CF468" s="18"/>
      <c r="CG468" s="18"/>
    </row>
    <row r="469" ht="18.75" hidden="1" customHeight="1">
      <c r="A469" s="14">
        <v>44741.82947957176</v>
      </c>
      <c r="B469" s="15" t="s">
        <v>2625</v>
      </c>
      <c r="C469" s="16" t="s">
        <v>13718</v>
      </c>
      <c r="D469" s="15" t="str">
        <f>IFERROR(__xludf.DUMMYFUNCTION("QUERY(TY_ALL_2023_Batch!$A$1:$E$824, ""SELECT E WHERE C='""&amp;B469&amp;""'"", 0)"),"MECH")</f>
        <v>MECH</v>
      </c>
      <c r="E469" s="15" t="s">
        <v>13719</v>
      </c>
      <c r="F469" s="15" t="s">
        <v>10260</v>
      </c>
      <c r="G469" s="15" t="s">
        <v>13720</v>
      </c>
      <c r="H469" s="15" t="s">
        <v>2785</v>
      </c>
      <c r="I469" s="17">
        <v>36920.0</v>
      </c>
      <c r="J469" s="15">
        <v>2019.0</v>
      </c>
      <c r="K469" s="15" t="s">
        <v>2786</v>
      </c>
      <c r="L469" s="15" t="s">
        <v>2787</v>
      </c>
      <c r="M469" s="18"/>
      <c r="N469" s="15" t="s">
        <v>13721</v>
      </c>
      <c r="O469" s="15" t="s">
        <v>13722</v>
      </c>
      <c r="P469" s="19" t="s">
        <v>13723</v>
      </c>
      <c r="Q469" s="15">
        <v>8.788352681E9</v>
      </c>
      <c r="R469" s="15">
        <v>8.788352681E9</v>
      </c>
      <c r="S469" s="15">
        <v>9.096270602E9</v>
      </c>
      <c r="T469" s="15" t="s">
        <v>10260</v>
      </c>
      <c r="U469" s="15" t="s">
        <v>10474</v>
      </c>
      <c r="V469" s="15" t="s">
        <v>13724</v>
      </c>
      <c r="W469" s="15" t="s">
        <v>13724</v>
      </c>
      <c r="X469" s="15">
        <v>89.0</v>
      </c>
      <c r="Y469" s="15" t="s">
        <v>2795</v>
      </c>
      <c r="Z469" s="15">
        <v>8.57</v>
      </c>
      <c r="AA469" s="15">
        <v>8.57</v>
      </c>
      <c r="AB469" s="15" t="s">
        <v>2796</v>
      </c>
      <c r="AC469" s="15" t="s">
        <v>2796</v>
      </c>
      <c r="AD469" s="15" t="s">
        <v>2796</v>
      </c>
      <c r="AE469" s="15" t="s">
        <v>2796</v>
      </c>
      <c r="AF469" s="15">
        <v>7.47</v>
      </c>
      <c r="AG469" s="15">
        <v>7.47</v>
      </c>
      <c r="AH469" s="15">
        <v>63.08</v>
      </c>
      <c r="AI469" s="18"/>
      <c r="AJ469" s="15" t="s">
        <v>2787</v>
      </c>
      <c r="AK469" s="15" t="s">
        <v>2787</v>
      </c>
      <c r="AL469" s="15">
        <v>466.66</v>
      </c>
      <c r="AM469" s="15">
        <v>505.0</v>
      </c>
      <c r="AN469" s="15" t="s">
        <v>2797</v>
      </c>
      <c r="AO469" s="18"/>
      <c r="AP469" s="15" t="s">
        <v>13725</v>
      </c>
      <c r="AQ469" s="15" t="s">
        <v>13726</v>
      </c>
      <c r="AR469" s="18"/>
      <c r="AS469" s="18"/>
      <c r="AT469" s="18"/>
      <c r="AU469" s="15" t="s">
        <v>13727</v>
      </c>
      <c r="AV469" s="15" t="s">
        <v>13728</v>
      </c>
      <c r="AW469" s="15" t="s">
        <v>13729</v>
      </c>
      <c r="AX469" s="18"/>
      <c r="AY469" s="15" t="s">
        <v>13730</v>
      </c>
      <c r="AZ469" s="15" t="s">
        <v>9648</v>
      </c>
      <c r="BA469" s="15" t="s">
        <v>2870</v>
      </c>
      <c r="BB469" s="15" t="s">
        <v>2807</v>
      </c>
      <c r="BC469" s="15" t="s">
        <v>13731</v>
      </c>
      <c r="BD469" s="15" t="s">
        <v>2807</v>
      </c>
      <c r="BE469" s="15" t="s">
        <v>13732</v>
      </c>
      <c r="BF469" s="18"/>
      <c r="BG469" s="18"/>
      <c r="BH469" s="18"/>
      <c r="BI469" s="15" t="s">
        <v>13733</v>
      </c>
      <c r="BJ469" s="19" t="s">
        <v>13734</v>
      </c>
      <c r="BK469" s="19" t="s">
        <v>13735</v>
      </c>
      <c r="BL469" s="19" t="s">
        <v>13736</v>
      </c>
      <c r="BM469" s="20" t="s">
        <v>13737</v>
      </c>
      <c r="BN469" s="19" t="s">
        <v>13738</v>
      </c>
      <c r="BO469" s="19" t="s">
        <v>13739</v>
      </c>
      <c r="BP469" s="19" t="s">
        <v>13740</v>
      </c>
      <c r="BQ469" s="15" t="s">
        <v>1321</v>
      </c>
      <c r="BR469" s="26"/>
      <c r="BS469" s="26"/>
      <c r="BT469" s="19" t="s">
        <v>13741</v>
      </c>
      <c r="BU469" s="26"/>
      <c r="BV469" s="26"/>
      <c r="BW469" s="15" t="s">
        <v>13742</v>
      </c>
      <c r="BX469" s="26"/>
      <c r="BY469" s="18" t="str">
        <f t="shared" si="107"/>
        <v>MECH</v>
      </c>
      <c r="BZ469" s="24" t="str">
        <f t="shared" si="100"/>
        <v>https://drive.google.com/open?id=1Pc3mDASwYPqVTs5uKaTsoQjdfB7TReUa</v>
      </c>
      <c r="CA469" s="24" t="str">
        <f t="shared" si="101"/>
        <v>https://drive.google.com/open?id=1-2Ou7xt6i5_pepyqnyXTW2xgKzJoqOHp</v>
      </c>
      <c r="CB469" s="15" t="s">
        <v>2821</v>
      </c>
      <c r="CC469" s="15" t="s">
        <v>2821</v>
      </c>
      <c r="CD469" s="25" t="s">
        <v>2909</v>
      </c>
      <c r="CE469" s="18"/>
      <c r="CF469" s="18"/>
      <c r="CG469" s="18"/>
    </row>
    <row r="470" ht="18.75" hidden="1" customHeight="1">
      <c r="A470" s="14">
        <v>44772.33856428241</v>
      </c>
      <c r="B470" s="15" t="s">
        <v>1512</v>
      </c>
      <c r="C470" s="16" t="s">
        <v>13743</v>
      </c>
      <c r="D470" s="15" t="str">
        <f>IFERROR(__xludf.DUMMYFUNCTION("QUERY(TY_ALL_2023_Batch!$A$1:$E$824, ""SELECT E WHERE C='""&amp;B470&amp;""'"", 0)"),"MECH")</f>
        <v>MECH</v>
      </c>
      <c r="E470" s="15" t="s">
        <v>13744</v>
      </c>
      <c r="F470" s="15" t="s">
        <v>10188</v>
      </c>
      <c r="G470" s="15" t="s">
        <v>13745</v>
      </c>
      <c r="H470" s="15" t="s">
        <v>2785</v>
      </c>
      <c r="I470" s="17">
        <v>37068.0</v>
      </c>
      <c r="J470" s="15">
        <v>2020.0</v>
      </c>
      <c r="K470" s="15" t="s">
        <v>2941</v>
      </c>
      <c r="L470" s="15" t="s">
        <v>2787</v>
      </c>
      <c r="M470" s="18"/>
      <c r="N470" s="15" t="s">
        <v>13746</v>
      </c>
      <c r="O470" s="15" t="s">
        <v>1512</v>
      </c>
      <c r="P470" s="19" t="s">
        <v>13747</v>
      </c>
      <c r="Q470" s="15">
        <v>9.17230813E9</v>
      </c>
      <c r="R470" s="15">
        <v>9.17230813E9</v>
      </c>
      <c r="S470" s="15">
        <v>9.834323808E9</v>
      </c>
      <c r="T470" s="15" t="s">
        <v>13748</v>
      </c>
      <c r="U470" s="15" t="s">
        <v>3227</v>
      </c>
      <c r="V470" s="15" t="s">
        <v>13749</v>
      </c>
      <c r="W470" s="15" t="s">
        <v>13750</v>
      </c>
      <c r="X470" s="15">
        <v>81.2</v>
      </c>
      <c r="Y470" s="15" t="s">
        <v>2948</v>
      </c>
      <c r="Z470" s="15">
        <v>8.95</v>
      </c>
      <c r="AA470" s="15">
        <v>8.29</v>
      </c>
      <c r="AB470" s="15">
        <v>7.57</v>
      </c>
      <c r="AC470" s="15">
        <v>7.9</v>
      </c>
      <c r="AD470" s="15" t="s">
        <v>2796</v>
      </c>
      <c r="AE470" s="15" t="s">
        <v>2796</v>
      </c>
      <c r="AF470" s="18"/>
      <c r="AG470" s="18"/>
      <c r="AH470" s="18"/>
      <c r="AI470" s="15">
        <v>89.08</v>
      </c>
      <c r="AJ470" s="15" t="s">
        <v>2787</v>
      </c>
      <c r="AK470" s="15" t="s">
        <v>2787</v>
      </c>
      <c r="AL470" s="18"/>
      <c r="AM470" s="18"/>
      <c r="AN470" s="15" t="s">
        <v>2797</v>
      </c>
      <c r="AO470" s="18"/>
      <c r="AP470" s="18"/>
      <c r="AQ470" s="15" t="s">
        <v>13751</v>
      </c>
      <c r="AR470" s="18"/>
      <c r="AS470" s="15"/>
      <c r="AT470" s="18"/>
      <c r="AU470" s="18"/>
      <c r="AV470" s="15" t="s">
        <v>13752</v>
      </c>
      <c r="AW470" s="15" t="s">
        <v>13753</v>
      </c>
      <c r="AX470" s="18"/>
      <c r="AY470" s="15" t="s">
        <v>13754</v>
      </c>
      <c r="AZ470" s="15" t="s">
        <v>9648</v>
      </c>
      <c r="BA470" s="15" t="s">
        <v>2870</v>
      </c>
      <c r="BB470" s="15" t="s">
        <v>2807</v>
      </c>
      <c r="BC470" s="15" t="s">
        <v>13013</v>
      </c>
      <c r="BD470" s="15" t="s">
        <v>2807</v>
      </c>
      <c r="BE470" s="15" t="s">
        <v>2796</v>
      </c>
      <c r="BF470" s="18"/>
      <c r="BG470" s="18"/>
      <c r="BH470" s="18"/>
      <c r="BI470" s="18"/>
      <c r="BJ470" s="19" t="s">
        <v>13755</v>
      </c>
      <c r="BK470" s="19" t="s">
        <v>13756</v>
      </c>
      <c r="BL470" s="18"/>
      <c r="BM470" s="19" t="s">
        <v>13757</v>
      </c>
      <c r="BN470" s="18"/>
      <c r="BO470" s="19" t="s">
        <v>13758</v>
      </c>
      <c r="BP470" s="19" t="s">
        <v>13759</v>
      </c>
      <c r="BQ470" s="15" t="s">
        <v>1321</v>
      </c>
      <c r="BR470" s="26"/>
      <c r="BS470" s="26"/>
      <c r="BT470" s="26"/>
      <c r="BU470" s="26"/>
      <c r="BV470" s="26"/>
      <c r="BW470" s="15" t="s">
        <v>13760</v>
      </c>
      <c r="BX470" s="26"/>
      <c r="BY470" s="18" t="str">
        <f t="shared" si="107"/>
        <v>MECH</v>
      </c>
      <c r="BZ470" s="18" t="str">
        <f t="shared" si="100"/>
        <v/>
      </c>
      <c r="CA470" s="24" t="str">
        <f t="shared" si="101"/>
        <v>https://drive.google.com/open?id=1Ards2BFluApy3bWBnanYwGGDHQAyzhSY</v>
      </c>
      <c r="CB470" s="15" t="s">
        <v>2908</v>
      </c>
      <c r="CC470" s="15" t="s">
        <v>2821</v>
      </c>
      <c r="CD470" s="25" t="s">
        <v>2797</v>
      </c>
      <c r="CE470" s="18"/>
      <c r="CF470" s="18"/>
      <c r="CG470" s="18"/>
    </row>
    <row r="471" ht="18.75" hidden="1" customHeight="1">
      <c r="A471" s="14">
        <v>44742.792567094904</v>
      </c>
      <c r="B471" s="15" t="s">
        <v>1581</v>
      </c>
      <c r="C471" s="16" t="s">
        <v>13761</v>
      </c>
      <c r="D471" s="15" t="str">
        <f>IFERROR(__xludf.DUMMYFUNCTION("QUERY(TY_ALL_2023_Batch!$A$1:$E$824, ""SELECT E WHERE C='""&amp;B471&amp;""'"", 0)"),"MECH")</f>
        <v>MECH</v>
      </c>
      <c r="E471" s="15" t="s">
        <v>13762</v>
      </c>
      <c r="F471" s="15" t="s">
        <v>13763</v>
      </c>
      <c r="G471" s="15" t="s">
        <v>13764</v>
      </c>
      <c r="H471" s="15" t="s">
        <v>2826</v>
      </c>
      <c r="I471" s="17">
        <v>37155.0</v>
      </c>
      <c r="J471" s="15">
        <v>2020.0</v>
      </c>
      <c r="K471" s="15" t="s">
        <v>2941</v>
      </c>
      <c r="L471" s="15" t="s">
        <v>2787</v>
      </c>
      <c r="M471" s="18"/>
      <c r="N471" s="15" t="s">
        <v>13765</v>
      </c>
      <c r="O471" s="15" t="s">
        <v>1581</v>
      </c>
      <c r="P471" s="19" t="s">
        <v>13766</v>
      </c>
      <c r="Q471" s="15">
        <v>8.530203498E9</v>
      </c>
      <c r="R471" s="15">
        <v>8.530203498E9</v>
      </c>
      <c r="S471" s="15">
        <v>9.890314363E9</v>
      </c>
      <c r="T471" s="15" t="s">
        <v>13767</v>
      </c>
      <c r="U471" s="15" t="s">
        <v>13768</v>
      </c>
      <c r="V471" s="15" t="s">
        <v>13769</v>
      </c>
      <c r="W471" s="15" t="s">
        <v>13769</v>
      </c>
      <c r="X471" s="15">
        <v>78.4</v>
      </c>
      <c r="Y471" s="15" t="s">
        <v>2948</v>
      </c>
      <c r="Z471" s="15">
        <v>8.67</v>
      </c>
      <c r="AA471" s="15">
        <v>8.57</v>
      </c>
      <c r="AB471" s="15" t="s">
        <v>2796</v>
      </c>
      <c r="AC471" s="15" t="s">
        <v>2796</v>
      </c>
      <c r="AD471" s="15" t="s">
        <v>2796</v>
      </c>
      <c r="AE471" s="15" t="s">
        <v>2796</v>
      </c>
      <c r="AF471" s="18"/>
      <c r="AG471" s="18"/>
      <c r="AH471" s="18"/>
      <c r="AI471" s="15">
        <v>89.49</v>
      </c>
      <c r="AJ471" s="15" t="s">
        <v>2787</v>
      </c>
      <c r="AK471" s="15" t="s">
        <v>2787</v>
      </c>
      <c r="AL471" s="18"/>
      <c r="AM471" s="18"/>
      <c r="AN471" s="15" t="s">
        <v>2797</v>
      </c>
      <c r="AO471" s="15">
        <v>0.0</v>
      </c>
      <c r="AP471" s="15">
        <v>0.0</v>
      </c>
      <c r="AQ471" s="15" t="s">
        <v>13057</v>
      </c>
      <c r="AR471" s="18"/>
      <c r="AS471" s="15" t="s">
        <v>13770</v>
      </c>
      <c r="AT471" s="18"/>
      <c r="AU471" s="18"/>
      <c r="AV471" s="15" t="s">
        <v>13771</v>
      </c>
      <c r="AW471" s="15" t="s">
        <v>13772</v>
      </c>
      <c r="AX471" s="18"/>
      <c r="AY471" s="15" t="s">
        <v>13773</v>
      </c>
      <c r="AZ471" s="15" t="s">
        <v>8440</v>
      </c>
      <c r="BA471" s="15" t="s">
        <v>2870</v>
      </c>
      <c r="BB471" s="15" t="s">
        <v>2807</v>
      </c>
      <c r="BC471" s="15" t="s">
        <v>13774</v>
      </c>
      <c r="BD471" s="15" t="s">
        <v>2807</v>
      </c>
      <c r="BE471" s="15" t="s">
        <v>13775</v>
      </c>
      <c r="BF471" s="18"/>
      <c r="BG471" s="18"/>
      <c r="BH471" s="18"/>
      <c r="BI471" s="15" t="s">
        <v>13776</v>
      </c>
      <c r="BJ471" s="19" t="s">
        <v>13777</v>
      </c>
      <c r="BK471" s="19" t="s">
        <v>13778</v>
      </c>
      <c r="BL471" s="19" t="s">
        <v>13779</v>
      </c>
      <c r="BM471" s="18"/>
      <c r="BN471" s="18"/>
      <c r="BO471" s="19" t="s">
        <v>13780</v>
      </c>
      <c r="BP471" s="19" t="s">
        <v>13781</v>
      </c>
      <c r="BQ471" s="15" t="s">
        <v>1321</v>
      </c>
      <c r="BR471" s="26"/>
      <c r="BS471" s="26"/>
      <c r="BT471" s="19" t="s">
        <v>13782</v>
      </c>
      <c r="BU471" s="26"/>
      <c r="BV471" s="26"/>
      <c r="BW471" s="15" t="s">
        <v>13783</v>
      </c>
      <c r="BX471" s="26"/>
      <c r="BY471" s="18" t="str">
        <f t="shared" si="107"/>
        <v>MECH</v>
      </c>
      <c r="BZ471" s="24" t="str">
        <f t="shared" si="100"/>
        <v>https://drive.google.com/open?id=1XhVjn1fTxQmVaDuLLKPoID9GGY3f862f</v>
      </c>
      <c r="CA471" s="18" t="str">
        <f t="shared" si="101"/>
        <v/>
      </c>
      <c r="CB471" s="15" t="s">
        <v>2821</v>
      </c>
      <c r="CC471" s="15" t="s">
        <v>2908</v>
      </c>
      <c r="CD471" s="25" t="s">
        <v>2909</v>
      </c>
      <c r="CE471" s="18"/>
      <c r="CF471" s="18"/>
      <c r="CG471" s="18"/>
    </row>
    <row r="472" ht="18.75" hidden="1" customHeight="1">
      <c r="A472" s="14">
        <v>44735.91930233796</v>
      </c>
      <c r="B472" s="15" t="s">
        <v>2463</v>
      </c>
      <c r="C472" s="16" t="s">
        <v>13784</v>
      </c>
      <c r="D472" s="15" t="str">
        <f>IFERROR(__xludf.DUMMYFUNCTION("QUERY(TY_ALL_2023_Batch!$A$1:$E$824, ""SELECT E WHERE C='""&amp;B472&amp;""'"", 0)"),"MECH")</f>
        <v>MECH</v>
      </c>
      <c r="E472" s="15" t="s">
        <v>13785</v>
      </c>
      <c r="F472" s="15" t="s">
        <v>13786</v>
      </c>
      <c r="G472" s="15" t="s">
        <v>13787</v>
      </c>
      <c r="H472" s="15" t="s">
        <v>2785</v>
      </c>
      <c r="I472" s="17">
        <v>37343.0</v>
      </c>
      <c r="J472" s="15">
        <v>2019.0</v>
      </c>
      <c r="K472" s="15" t="s">
        <v>2786</v>
      </c>
      <c r="L472" s="15" t="s">
        <v>2787</v>
      </c>
      <c r="M472" s="18"/>
      <c r="N472" s="15" t="s">
        <v>13788</v>
      </c>
      <c r="O472" s="15" t="s">
        <v>2463</v>
      </c>
      <c r="P472" s="19" t="s">
        <v>13789</v>
      </c>
      <c r="Q472" s="15">
        <v>9.307787236E9</v>
      </c>
      <c r="R472" s="15">
        <v>9.307787236E9</v>
      </c>
      <c r="S472" s="15">
        <v>7.780932129E9</v>
      </c>
      <c r="T472" s="15" t="s">
        <v>13790</v>
      </c>
      <c r="U472" s="15" t="s">
        <v>13791</v>
      </c>
      <c r="V472" s="15" t="s">
        <v>13792</v>
      </c>
      <c r="W472" s="15" t="s">
        <v>13793</v>
      </c>
      <c r="X472" s="15">
        <v>93.0</v>
      </c>
      <c r="Y472" s="15" t="s">
        <v>2795</v>
      </c>
      <c r="Z472" s="15">
        <v>9.14</v>
      </c>
      <c r="AA472" s="15">
        <v>8.95</v>
      </c>
      <c r="AB472" s="15" t="s">
        <v>2796</v>
      </c>
      <c r="AC472" s="15" t="s">
        <v>2796</v>
      </c>
      <c r="AD472" s="15" t="s">
        <v>2796</v>
      </c>
      <c r="AE472" s="15" t="s">
        <v>2796</v>
      </c>
      <c r="AF472" s="15">
        <v>8.63</v>
      </c>
      <c r="AG472" s="15">
        <v>9.0</v>
      </c>
      <c r="AH472" s="15">
        <v>66.8</v>
      </c>
      <c r="AI472" s="18"/>
      <c r="AJ472" s="15" t="s">
        <v>2787</v>
      </c>
      <c r="AK472" s="15" t="s">
        <v>2787</v>
      </c>
      <c r="AL472" s="15">
        <v>593.3</v>
      </c>
      <c r="AM472" s="15">
        <v>514.16</v>
      </c>
      <c r="AN472" s="15" t="s">
        <v>2797</v>
      </c>
      <c r="AO472" s="15" t="s">
        <v>2796</v>
      </c>
      <c r="AP472" s="15" t="s">
        <v>2796</v>
      </c>
      <c r="AQ472" s="15" t="s">
        <v>13794</v>
      </c>
      <c r="AR472" s="15" t="s">
        <v>13795</v>
      </c>
      <c r="AS472" s="15" t="s">
        <v>13796</v>
      </c>
      <c r="AT472" s="15" t="s">
        <v>2796</v>
      </c>
      <c r="AU472" s="15" t="s">
        <v>13797</v>
      </c>
      <c r="AV472" s="15" t="s">
        <v>13798</v>
      </c>
      <c r="AW472" s="15" t="s">
        <v>13799</v>
      </c>
      <c r="AX472" s="15" t="s">
        <v>13800</v>
      </c>
      <c r="AY472" s="15" t="s">
        <v>2796</v>
      </c>
      <c r="AZ472" s="15" t="s">
        <v>5335</v>
      </c>
      <c r="BA472" s="15" t="s">
        <v>2899</v>
      </c>
      <c r="BB472" s="15" t="s">
        <v>3109</v>
      </c>
      <c r="BC472" s="15" t="s">
        <v>13107</v>
      </c>
      <c r="BD472" s="15" t="s">
        <v>3393</v>
      </c>
      <c r="BE472" s="15" t="s">
        <v>13801</v>
      </c>
      <c r="BF472" s="15" t="s">
        <v>13802</v>
      </c>
      <c r="BG472" s="15" t="s">
        <v>2796</v>
      </c>
      <c r="BH472" s="15" t="s">
        <v>2796</v>
      </c>
      <c r="BI472" s="15" t="s">
        <v>13803</v>
      </c>
      <c r="BJ472" s="19" t="s">
        <v>13804</v>
      </c>
      <c r="BK472" s="19" t="s">
        <v>13805</v>
      </c>
      <c r="BL472" s="19" t="s">
        <v>13806</v>
      </c>
      <c r="BM472" s="19" t="s">
        <v>13807</v>
      </c>
      <c r="BN472" s="19" t="s">
        <v>13808</v>
      </c>
      <c r="BO472" s="19" t="s">
        <v>13809</v>
      </c>
      <c r="BP472" s="19" t="s">
        <v>13810</v>
      </c>
      <c r="BQ472" s="15" t="s">
        <v>1321</v>
      </c>
      <c r="BR472" s="26"/>
      <c r="BS472" s="26"/>
      <c r="BT472" s="26"/>
      <c r="BU472" s="26"/>
      <c r="BV472" s="26"/>
      <c r="BW472" s="26"/>
      <c r="BX472" s="26"/>
      <c r="BY472" s="18" t="str">
        <f t="shared" si="107"/>
        <v>MECH</v>
      </c>
      <c r="BZ472" s="24" t="str">
        <f t="shared" si="100"/>
        <v>https://drive.google.com/open?id=11ykhSCGrBxVI3FZgyWTBXfxqVkJgWLpu</v>
      </c>
      <c r="CA472" s="24" t="str">
        <f t="shared" si="101"/>
        <v>https://drive.google.com/open?id=12V_DPmIY07FX-lhtk9zZwHWpBEyZH_b9</v>
      </c>
      <c r="CB472" s="15" t="s">
        <v>2821</v>
      </c>
      <c r="CC472" s="15" t="s">
        <v>2821</v>
      </c>
      <c r="CD472" s="25" t="s">
        <v>2797</v>
      </c>
      <c r="CE472" s="18"/>
      <c r="CF472" s="18"/>
      <c r="CG472" s="18"/>
    </row>
    <row r="473" ht="18.75" hidden="1" customHeight="1">
      <c r="A473" s="14">
        <v>44742.96204357639</v>
      </c>
      <c r="B473" s="15" t="s">
        <v>1455</v>
      </c>
      <c r="C473" s="16" t="s">
        <v>13811</v>
      </c>
      <c r="D473" s="15" t="str">
        <f>IFERROR(__xludf.DUMMYFUNCTION("QUERY(TY_ALL_2023_Batch!$A$1:$E$824, ""SELECT E WHERE C='""&amp;B473&amp;""'"", 0)"),"MECH")</f>
        <v>MECH</v>
      </c>
      <c r="E473" s="15" t="s">
        <v>13812</v>
      </c>
      <c r="F473" s="15" t="s">
        <v>13813</v>
      </c>
      <c r="G473" s="15" t="s">
        <v>2973</v>
      </c>
      <c r="H473" s="15" t="s">
        <v>2826</v>
      </c>
      <c r="I473" s="17">
        <v>37066.0</v>
      </c>
      <c r="J473" s="15">
        <v>2020.0</v>
      </c>
      <c r="K473" s="15" t="s">
        <v>2941</v>
      </c>
      <c r="L473" s="15" t="s">
        <v>2787</v>
      </c>
      <c r="M473" s="18"/>
      <c r="N473" s="15" t="s">
        <v>13814</v>
      </c>
      <c r="O473" s="15" t="s">
        <v>1455</v>
      </c>
      <c r="P473" s="19" t="s">
        <v>13815</v>
      </c>
      <c r="Q473" s="15">
        <v>7.057097944E9</v>
      </c>
      <c r="R473" s="15">
        <v>7.057097944E9</v>
      </c>
      <c r="S473" s="15">
        <v>7.057097944E9</v>
      </c>
      <c r="T473" s="15" t="s">
        <v>13816</v>
      </c>
      <c r="U473" s="15" t="s">
        <v>13817</v>
      </c>
      <c r="V473" s="15" t="s">
        <v>13818</v>
      </c>
      <c r="W473" s="18"/>
      <c r="X473" s="15">
        <v>86.4</v>
      </c>
      <c r="Y473" s="15" t="s">
        <v>2948</v>
      </c>
      <c r="Z473" s="15">
        <v>9.0</v>
      </c>
      <c r="AA473" s="15">
        <v>9.24</v>
      </c>
      <c r="AB473" s="15" t="s">
        <v>2796</v>
      </c>
      <c r="AC473" s="15">
        <v>8.4</v>
      </c>
      <c r="AD473" s="15" t="s">
        <v>2796</v>
      </c>
      <c r="AE473" s="15" t="s">
        <v>2796</v>
      </c>
      <c r="AF473" s="18"/>
      <c r="AG473" s="18"/>
      <c r="AH473" s="18"/>
      <c r="AI473" s="15">
        <v>90.31</v>
      </c>
      <c r="AJ473" s="15" t="s">
        <v>2787</v>
      </c>
      <c r="AK473" s="15" t="s">
        <v>2787</v>
      </c>
      <c r="AL473" s="18"/>
      <c r="AM473" s="18"/>
      <c r="AN473" s="15" t="s">
        <v>2797</v>
      </c>
      <c r="AO473" s="15" t="s">
        <v>13819</v>
      </c>
      <c r="AP473" s="15" t="s">
        <v>13819</v>
      </c>
      <c r="AQ473" s="15" t="s">
        <v>13820</v>
      </c>
      <c r="AR473" s="18"/>
      <c r="AS473" s="18"/>
      <c r="AT473" s="18"/>
      <c r="AU473" s="18"/>
      <c r="AV473" s="18"/>
      <c r="AW473" s="15" t="s">
        <v>13821</v>
      </c>
      <c r="AX473" s="18"/>
      <c r="AY473" s="15" t="s">
        <v>13822</v>
      </c>
      <c r="AZ473" s="15" t="s">
        <v>3960</v>
      </c>
      <c r="BA473" s="15" t="s">
        <v>2870</v>
      </c>
      <c r="BB473" s="15" t="s">
        <v>2807</v>
      </c>
      <c r="BC473" s="15" t="s">
        <v>13609</v>
      </c>
      <c r="BD473" s="15" t="s">
        <v>2807</v>
      </c>
      <c r="BE473" s="15" t="s">
        <v>13823</v>
      </c>
      <c r="BF473" s="18"/>
      <c r="BG473" s="18"/>
      <c r="BH473" s="18"/>
      <c r="BI473" s="15" t="s">
        <v>13824</v>
      </c>
      <c r="BJ473" s="15" t="s">
        <v>13825</v>
      </c>
      <c r="BK473" s="19" t="s">
        <v>13826</v>
      </c>
      <c r="BL473" s="18"/>
      <c r="BM473" s="18"/>
      <c r="BN473" s="18"/>
      <c r="BO473" s="19" t="s">
        <v>13827</v>
      </c>
      <c r="BP473" s="19" t="s">
        <v>13828</v>
      </c>
      <c r="BQ473" s="15" t="s">
        <v>1321</v>
      </c>
      <c r="BR473" s="26"/>
      <c r="BS473" s="26"/>
      <c r="BT473" s="19" t="s">
        <v>13829</v>
      </c>
      <c r="BU473" s="19" t="s">
        <v>13830</v>
      </c>
      <c r="BV473" s="19" t="s">
        <v>13831</v>
      </c>
      <c r="BW473" s="15" t="s">
        <v>13832</v>
      </c>
      <c r="BX473" s="26"/>
      <c r="BY473" s="18" t="str">
        <f t="shared" si="107"/>
        <v>MECH</v>
      </c>
      <c r="BZ473" s="24" t="str">
        <f t="shared" si="100"/>
        <v>https://drive.google.com/open?id=1ZqSrElQDYnI2qqFzttfHxR4P_zVOSe9l</v>
      </c>
      <c r="CA473" s="24" t="str">
        <f t="shared" si="101"/>
        <v>https://drive.google.com/open?id=1Sqlvjiq8ErcpxPre4lztq4pgvbV08EQ-</v>
      </c>
      <c r="CB473" s="15" t="s">
        <v>2908</v>
      </c>
      <c r="CC473" s="15" t="s">
        <v>2908</v>
      </c>
      <c r="CD473" s="25" t="s">
        <v>2909</v>
      </c>
      <c r="CE473" s="18"/>
      <c r="CF473" s="18"/>
      <c r="CG473" s="18"/>
    </row>
    <row r="474" ht="18.75" hidden="1" customHeight="1">
      <c r="A474" s="14">
        <v>44741.643160555555</v>
      </c>
      <c r="B474" s="15" t="s">
        <v>2319</v>
      </c>
      <c r="C474" s="16" t="s">
        <v>13833</v>
      </c>
      <c r="D474" s="15" t="str">
        <f>IFERROR(__xludf.DUMMYFUNCTION("QUERY(TY_ALL_2023_Batch!$A$1:$E$824, ""SELECT E WHERE C='""&amp;B474&amp;""'"", 0)"),"MECH")</f>
        <v>MECH</v>
      </c>
      <c r="E474" s="15" t="s">
        <v>13834</v>
      </c>
      <c r="F474" s="15" t="s">
        <v>6136</v>
      </c>
      <c r="G474" s="15" t="s">
        <v>13787</v>
      </c>
      <c r="H474" s="15" t="s">
        <v>2785</v>
      </c>
      <c r="I474" s="17">
        <v>37061.0</v>
      </c>
      <c r="J474" s="15">
        <v>2019.0</v>
      </c>
      <c r="K474" s="15" t="s">
        <v>2786</v>
      </c>
      <c r="L474" s="15" t="s">
        <v>2787</v>
      </c>
      <c r="M474" s="18"/>
      <c r="N474" s="15" t="s">
        <v>13835</v>
      </c>
      <c r="O474" s="15" t="s">
        <v>2319</v>
      </c>
      <c r="P474" s="19" t="s">
        <v>13836</v>
      </c>
      <c r="Q474" s="15">
        <v>9.307924403E9</v>
      </c>
      <c r="R474" s="15">
        <v>9.307924403E9</v>
      </c>
      <c r="S474" s="18"/>
      <c r="T474" s="15" t="s">
        <v>13837</v>
      </c>
      <c r="U474" s="15" t="s">
        <v>13838</v>
      </c>
      <c r="V474" s="15" t="s">
        <v>13839</v>
      </c>
      <c r="W474" s="15" t="s">
        <v>13840</v>
      </c>
      <c r="X474" s="15">
        <v>81.7</v>
      </c>
      <c r="Y474" s="15" t="s">
        <v>2795</v>
      </c>
      <c r="Z474" s="15">
        <v>9.24</v>
      </c>
      <c r="AA474" s="15">
        <v>9.38</v>
      </c>
      <c r="AB474" s="15" t="s">
        <v>2796</v>
      </c>
      <c r="AC474" s="15" t="s">
        <v>2796</v>
      </c>
      <c r="AD474" s="15" t="s">
        <v>2796</v>
      </c>
      <c r="AE474" s="15" t="s">
        <v>2796</v>
      </c>
      <c r="AF474" s="15">
        <v>9.43</v>
      </c>
      <c r="AG474" s="15">
        <v>8.74</v>
      </c>
      <c r="AH474" s="15">
        <v>90.1</v>
      </c>
      <c r="AI474" s="18"/>
      <c r="AJ474" s="15" t="s">
        <v>2787</v>
      </c>
      <c r="AK474" s="15" t="s">
        <v>2787</v>
      </c>
      <c r="AL474" s="15">
        <v>578.0</v>
      </c>
      <c r="AM474" s="15">
        <v>666.0</v>
      </c>
      <c r="AN474" s="15" t="s">
        <v>2797</v>
      </c>
      <c r="AO474" s="18"/>
      <c r="AP474" s="18"/>
      <c r="AQ474" s="15" t="s">
        <v>13308</v>
      </c>
      <c r="AR474" s="18"/>
      <c r="AS474" s="18"/>
      <c r="AT474" s="18"/>
      <c r="AU474" s="18"/>
      <c r="AV474" s="15" t="s">
        <v>13841</v>
      </c>
      <c r="AW474" s="15" t="s">
        <v>13842</v>
      </c>
      <c r="AX474" s="18"/>
      <c r="AY474" s="15" t="s">
        <v>13843</v>
      </c>
      <c r="AZ474" s="15" t="s">
        <v>4670</v>
      </c>
      <c r="BA474" s="15" t="s">
        <v>5951</v>
      </c>
      <c r="BB474" s="15" t="s">
        <v>2807</v>
      </c>
      <c r="BC474" s="15" t="s">
        <v>4702</v>
      </c>
      <c r="BD474" s="15" t="s">
        <v>2807</v>
      </c>
      <c r="BE474" s="15" t="s">
        <v>2796</v>
      </c>
      <c r="BF474" s="18"/>
      <c r="BG474" s="18"/>
      <c r="BH474" s="18"/>
      <c r="BI474" s="18"/>
      <c r="BJ474" s="19" t="s">
        <v>13844</v>
      </c>
      <c r="BK474" s="19" t="s">
        <v>13845</v>
      </c>
      <c r="BL474" s="19" t="s">
        <v>13846</v>
      </c>
      <c r="BM474" s="20" t="s">
        <v>13847</v>
      </c>
      <c r="BN474" s="19" t="s">
        <v>13848</v>
      </c>
      <c r="BO474" s="19" t="s">
        <v>13849</v>
      </c>
      <c r="BP474" s="19" t="s">
        <v>13850</v>
      </c>
      <c r="BQ474" s="15" t="s">
        <v>1321</v>
      </c>
      <c r="BR474" s="19" t="s">
        <v>13851</v>
      </c>
      <c r="BS474" s="26"/>
      <c r="BT474" s="26"/>
      <c r="BU474" s="26"/>
      <c r="BV474" s="26"/>
      <c r="BW474" s="15" t="s">
        <v>13852</v>
      </c>
      <c r="BX474" s="26"/>
      <c r="BY474" s="18" t="str">
        <f t="shared" si="107"/>
        <v>MECH</v>
      </c>
      <c r="BZ474" s="24" t="str">
        <f t="shared" si="100"/>
        <v>https://drive.google.com/open?id=10EqkOLMUmv-CT53AP4taDpJURrlgPqx9</v>
      </c>
      <c r="CA474" s="24" t="str">
        <f t="shared" si="101"/>
        <v>https://drive.google.com/open?id=17WRsR7wlHlvU5TUQ2eUcAbnPuGQ5Q05y</v>
      </c>
      <c r="CB474" s="15" t="s">
        <v>2821</v>
      </c>
      <c r="CC474" s="15" t="s">
        <v>2821</v>
      </c>
      <c r="CD474" s="25" t="s">
        <v>2797</v>
      </c>
      <c r="CE474" s="18"/>
      <c r="CF474" s="18"/>
      <c r="CG474" s="18"/>
    </row>
    <row r="475" ht="18.75" hidden="1" customHeight="1">
      <c r="A475" s="14">
        <v>44740.55177289352</v>
      </c>
      <c r="B475" s="15" t="s">
        <v>1404</v>
      </c>
      <c r="C475" s="16" t="s">
        <v>13853</v>
      </c>
      <c r="D475" s="15" t="str">
        <f>IFERROR(__xludf.DUMMYFUNCTION("QUERY(TY_ALL_2023_Batch!$A$1:$E$824, ""SELECT E WHERE C='""&amp;B475&amp;""'"", 0)"),"MECH")</f>
        <v>MECH</v>
      </c>
      <c r="E475" s="15" t="s">
        <v>13854</v>
      </c>
      <c r="F475" s="15" t="s">
        <v>13693</v>
      </c>
      <c r="G475" s="15" t="s">
        <v>3296</v>
      </c>
      <c r="H475" s="15" t="s">
        <v>2785</v>
      </c>
      <c r="I475" s="17">
        <v>36314.0</v>
      </c>
      <c r="J475" s="15">
        <v>2020.0</v>
      </c>
      <c r="K475" s="15" t="s">
        <v>2941</v>
      </c>
      <c r="L475" s="15" t="s">
        <v>2787</v>
      </c>
      <c r="M475" s="18"/>
      <c r="N475" s="15" t="s">
        <v>13855</v>
      </c>
      <c r="O475" s="15" t="s">
        <v>1404</v>
      </c>
      <c r="P475" s="19" t="s">
        <v>13856</v>
      </c>
      <c r="Q475" s="15">
        <v>9.35966156E9</v>
      </c>
      <c r="R475" s="15">
        <v>9.35966156E9</v>
      </c>
      <c r="S475" s="15">
        <v>9.7645057E9</v>
      </c>
      <c r="T475" s="15" t="s">
        <v>13857</v>
      </c>
      <c r="U475" s="15" t="s">
        <v>13858</v>
      </c>
      <c r="V475" s="15" t="s">
        <v>13859</v>
      </c>
      <c r="W475" s="15" t="s">
        <v>13860</v>
      </c>
      <c r="X475" s="15">
        <v>77.8</v>
      </c>
      <c r="Y475" s="15" t="s">
        <v>2795</v>
      </c>
      <c r="Z475" s="15">
        <v>8.1</v>
      </c>
      <c r="AA475" s="15">
        <v>8.0</v>
      </c>
      <c r="AB475" s="15" t="s">
        <v>2796</v>
      </c>
      <c r="AC475" s="15" t="s">
        <v>2796</v>
      </c>
      <c r="AD475" s="15" t="s">
        <v>2796</v>
      </c>
      <c r="AE475" s="15" t="s">
        <v>2796</v>
      </c>
      <c r="AF475" s="15">
        <v>8.0</v>
      </c>
      <c r="AG475" s="15">
        <v>8.1</v>
      </c>
      <c r="AH475" s="15">
        <v>54.0</v>
      </c>
      <c r="AI475" s="18"/>
      <c r="AJ475" s="15" t="s">
        <v>2787</v>
      </c>
      <c r="AK475" s="15" t="s">
        <v>2787</v>
      </c>
      <c r="AL475" s="15"/>
      <c r="AM475" s="15"/>
      <c r="AN475" s="15" t="s">
        <v>2787</v>
      </c>
      <c r="AO475" s="15" t="s">
        <v>2796</v>
      </c>
      <c r="AP475" s="15" t="s">
        <v>13861</v>
      </c>
      <c r="AQ475" s="16" t="s">
        <v>13862</v>
      </c>
      <c r="AR475" s="15" t="s">
        <v>13863</v>
      </c>
      <c r="AS475" s="16" t="s">
        <v>13864</v>
      </c>
      <c r="AT475" s="18"/>
      <c r="AU475" s="15" t="s">
        <v>2796</v>
      </c>
      <c r="AV475" s="15" t="s">
        <v>2796</v>
      </c>
      <c r="AW475" s="15" t="s">
        <v>13865</v>
      </c>
      <c r="AX475" s="18"/>
      <c r="AY475" s="15" t="s">
        <v>13866</v>
      </c>
      <c r="AZ475" s="15" t="s">
        <v>8440</v>
      </c>
      <c r="BA475" s="15" t="s">
        <v>2870</v>
      </c>
      <c r="BB475" s="15" t="s">
        <v>9804</v>
      </c>
      <c r="BC475" s="15" t="s">
        <v>2808</v>
      </c>
      <c r="BD475" s="15" t="s">
        <v>2796</v>
      </c>
      <c r="BE475" s="15" t="s">
        <v>13867</v>
      </c>
      <c r="BF475" s="15" t="s">
        <v>2796</v>
      </c>
      <c r="BG475" s="18"/>
      <c r="BH475" s="15" t="s">
        <v>13868</v>
      </c>
      <c r="BI475" s="15" t="s">
        <v>13869</v>
      </c>
      <c r="BJ475" s="19" t="s">
        <v>13870</v>
      </c>
      <c r="BK475" s="19" t="s">
        <v>13871</v>
      </c>
      <c r="BL475" s="18"/>
      <c r="BM475" s="18"/>
      <c r="BN475" s="19" t="s">
        <v>13872</v>
      </c>
      <c r="BO475" s="19" t="s">
        <v>13873</v>
      </c>
      <c r="BP475" s="19" t="s">
        <v>13874</v>
      </c>
      <c r="BQ475" s="15" t="s">
        <v>1321</v>
      </c>
      <c r="BR475" s="26"/>
      <c r="BS475" s="19" t="s">
        <v>13875</v>
      </c>
      <c r="BT475" s="19" t="s">
        <v>13876</v>
      </c>
      <c r="BU475" s="26"/>
      <c r="BV475" s="26"/>
      <c r="BW475" s="15" t="s">
        <v>13877</v>
      </c>
      <c r="BX475" s="26"/>
      <c r="BY475" s="18" t="str">
        <f t="shared" si="107"/>
        <v>MECH</v>
      </c>
      <c r="BZ475" s="18" t="str">
        <f t="shared" si="100"/>
        <v/>
      </c>
      <c r="CA475" s="18" t="str">
        <f t="shared" si="101"/>
        <v/>
      </c>
      <c r="CB475" s="15" t="s">
        <v>2908</v>
      </c>
      <c r="CC475" s="15" t="s">
        <v>2908</v>
      </c>
      <c r="CD475" s="25" t="s">
        <v>2909</v>
      </c>
      <c r="CE475" s="18"/>
      <c r="CF475" s="18"/>
      <c r="CG475" s="18"/>
    </row>
    <row r="476" ht="18.75" hidden="1" customHeight="1">
      <c r="A476" s="14">
        <v>44736.50017461806</v>
      </c>
      <c r="B476" s="15" t="s">
        <v>2694</v>
      </c>
      <c r="C476" s="16" t="s">
        <v>13878</v>
      </c>
      <c r="D476" s="15" t="str">
        <f>IFERROR(__xludf.DUMMYFUNCTION("QUERY(TY_ALL_2023_Batch!$A$1:$E$824, ""SELECT E WHERE C='""&amp;B476&amp;""'"", 0)"),"MECH")</f>
        <v>MECH</v>
      </c>
      <c r="E476" s="15" t="s">
        <v>3850</v>
      </c>
      <c r="F476" s="15" t="s">
        <v>13879</v>
      </c>
      <c r="G476" s="15" t="s">
        <v>13880</v>
      </c>
      <c r="H476" s="15" t="s">
        <v>2826</v>
      </c>
      <c r="I476" s="17">
        <v>37103.0</v>
      </c>
      <c r="J476" s="15">
        <v>2019.0</v>
      </c>
      <c r="K476" s="15" t="s">
        <v>2786</v>
      </c>
      <c r="L476" s="15" t="s">
        <v>2787</v>
      </c>
      <c r="M476" s="18"/>
      <c r="N476" s="15" t="s">
        <v>13881</v>
      </c>
      <c r="O476" s="15" t="s">
        <v>13882</v>
      </c>
      <c r="P476" s="19" t="s">
        <v>13883</v>
      </c>
      <c r="Q476" s="15">
        <v>8.76793809E9</v>
      </c>
      <c r="R476" s="15">
        <v>8.76793809E9</v>
      </c>
      <c r="S476" s="15">
        <v>7.758849502E9</v>
      </c>
      <c r="T476" s="15" t="s">
        <v>13884</v>
      </c>
      <c r="U476" s="15" t="s">
        <v>13885</v>
      </c>
      <c r="V476" s="15" t="s">
        <v>13886</v>
      </c>
      <c r="W476" s="18"/>
      <c r="X476" s="15">
        <v>84.0</v>
      </c>
      <c r="Y476" s="15" t="s">
        <v>2795</v>
      </c>
      <c r="Z476" s="15">
        <v>7.71</v>
      </c>
      <c r="AA476" s="15">
        <v>7.67</v>
      </c>
      <c r="AB476" s="15" t="s">
        <v>2796</v>
      </c>
      <c r="AC476" s="15" t="s">
        <v>2796</v>
      </c>
      <c r="AD476" s="15" t="s">
        <v>2796</v>
      </c>
      <c r="AE476" s="15" t="s">
        <v>2796</v>
      </c>
      <c r="AF476" s="15">
        <v>5.89</v>
      </c>
      <c r="AG476" s="15">
        <v>7.38</v>
      </c>
      <c r="AH476" s="15">
        <v>65.08</v>
      </c>
      <c r="AI476" s="18"/>
      <c r="AJ476" s="15" t="s">
        <v>2787</v>
      </c>
      <c r="AK476" s="15" t="s">
        <v>2787</v>
      </c>
      <c r="AL476" s="15">
        <v>476.6</v>
      </c>
      <c r="AM476" s="15">
        <v>518.33</v>
      </c>
      <c r="AN476" s="15" t="s">
        <v>2797</v>
      </c>
      <c r="AO476" s="18"/>
      <c r="AP476" s="18"/>
      <c r="AQ476" s="15" t="s">
        <v>13887</v>
      </c>
      <c r="AR476" s="18"/>
      <c r="AS476" s="15" t="s">
        <v>13888</v>
      </c>
      <c r="AT476" s="18"/>
      <c r="AU476" s="15" t="s">
        <v>13889</v>
      </c>
      <c r="AV476" s="15" t="s">
        <v>13890</v>
      </c>
      <c r="AW476" s="15" t="s">
        <v>13891</v>
      </c>
      <c r="AX476" s="18"/>
      <c r="AY476" s="15" t="s">
        <v>13892</v>
      </c>
      <c r="AZ476" s="15" t="s">
        <v>3960</v>
      </c>
      <c r="BA476" s="15" t="s">
        <v>3210</v>
      </c>
      <c r="BB476" s="15" t="s">
        <v>2807</v>
      </c>
      <c r="BC476" s="15" t="s">
        <v>2808</v>
      </c>
      <c r="BD476" s="15" t="s">
        <v>2807</v>
      </c>
      <c r="BE476" s="15" t="s">
        <v>13893</v>
      </c>
      <c r="BF476" s="18"/>
      <c r="BG476" s="18"/>
      <c r="BH476" s="15" t="s">
        <v>13894</v>
      </c>
      <c r="BI476" s="15" t="s">
        <v>13895</v>
      </c>
      <c r="BJ476" s="19" t="s">
        <v>13896</v>
      </c>
      <c r="BK476" s="19" t="s">
        <v>13897</v>
      </c>
      <c r="BL476" s="19" t="s">
        <v>13898</v>
      </c>
      <c r="BM476" s="19" t="s">
        <v>13899</v>
      </c>
      <c r="BN476" s="18"/>
      <c r="BO476" s="19" t="s">
        <v>13900</v>
      </c>
      <c r="BP476" s="19" t="s">
        <v>13901</v>
      </c>
      <c r="BQ476" s="15" t="s">
        <v>1321</v>
      </c>
      <c r="BR476" s="26"/>
      <c r="BS476" s="26"/>
      <c r="BT476" s="26"/>
      <c r="BU476" s="26"/>
      <c r="BV476" s="26"/>
      <c r="BW476" s="26"/>
      <c r="BX476" s="26"/>
      <c r="BY476" s="18" t="str">
        <f t="shared" si="107"/>
        <v>MECH</v>
      </c>
      <c r="BZ476" s="24" t="str">
        <f t="shared" si="100"/>
        <v>https://drive.google.com/open?id=1-4r0We4Z4y7AIDd7jSV3iEc1zeAWN8-Q</v>
      </c>
      <c r="CA476" s="24" t="str">
        <f t="shared" si="101"/>
        <v>https://drive.google.com/open?id=1lBxnhPQGR8dsQLgfWZO0816axG5vnci7</v>
      </c>
      <c r="CB476" s="15" t="s">
        <v>2821</v>
      </c>
      <c r="CC476" s="15" t="s">
        <v>2821</v>
      </c>
      <c r="CD476" s="25" t="s">
        <v>2797</v>
      </c>
      <c r="CE476" s="18"/>
      <c r="CF476" s="18"/>
      <c r="CG476" s="18"/>
    </row>
    <row r="477" ht="18.75" hidden="1" customHeight="1">
      <c r="A477" s="14">
        <v>44736.43626545139</v>
      </c>
      <c r="B477" s="15" t="s">
        <v>2544</v>
      </c>
      <c r="C477" s="16" t="s">
        <v>13902</v>
      </c>
      <c r="D477" s="15" t="str">
        <f>IFERROR(__xludf.DUMMYFUNCTION("QUERY(TY_ALL_2023_Batch!$A$1:$E$824, ""SELECT E WHERE C='""&amp;B477&amp;""'"", 0)"),"MECH")</f>
        <v>MECH</v>
      </c>
      <c r="E477" s="15" t="s">
        <v>12717</v>
      </c>
      <c r="F477" s="15" t="s">
        <v>7855</v>
      </c>
      <c r="G477" s="15" t="s">
        <v>13903</v>
      </c>
      <c r="H477" s="15" t="s">
        <v>2826</v>
      </c>
      <c r="I477" s="17">
        <v>37195.0</v>
      </c>
      <c r="J477" s="15">
        <v>2019.0</v>
      </c>
      <c r="K477" s="15" t="s">
        <v>2786</v>
      </c>
      <c r="L477" s="15" t="s">
        <v>2787</v>
      </c>
      <c r="M477" s="18"/>
      <c r="N477" s="15" t="s">
        <v>13904</v>
      </c>
      <c r="O477" s="15" t="s">
        <v>2322</v>
      </c>
      <c r="P477" s="19" t="s">
        <v>13905</v>
      </c>
      <c r="Q477" s="15">
        <v>9.021358159E9</v>
      </c>
      <c r="R477" s="15">
        <v>9.021358159E9</v>
      </c>
      <c r="S477" s="15">
        <v>9.021358159E9</v>
      </c>
      <c r="T477" s="15" t="s">
        <v>13906</v>
      </c>
      <c r="U477" s="15" t="s">
        <v>13907</v>
      </c>
      <c r="V477" s="15" t="s">
        <v>13908</v>
      </c>
      <c r="W477" s="15" t="s">
        <v>13908</v>
      </c>
      <c r="X477" s="15">
        <v>84.2</v>
      </c>
      <c r="Y477" s="15" t="s">
        <v>2795</v>
      </c>
      <c r="Z477" s="15">
        <v>7.52</v>
      </c>
      <c r="AA477" s="15">
        <v>8.33</v>
      </c>
      <c r="AB477" s="15" t="s">
        <v>2796</v>
      </c>
      <c r="AC477" s="15" t="s">
        <v>2796</v>
      </c>
      <c r="AD477" s="15" t="s">
        <v>2796</v>
      </c>
      <c r="AE477" s="15" t="s">
        <v>2796</v>
      </c>
      <c r="AF477" s="15">
        <v>5.79</v>
      </c>
      <c r="AG477" s="15">
        <v>7.24</v>
      </c>
      <c r="AH477" s="15">
        <v>63.69</v>
      </c>
      <c r="AI477" s="18"/>
      <c r="AJ477" s="15" t="s">
        <v>2787</v>
      </c>
      <c r="AK477" s="15" t="s">
        <v>2787</v>
      </c>
      <c r="AL477" s="15">
        <v>560.0</v>
      </c>
      <c r="AM477" s="15">
        <v>380.0</v>
      </c>
      <c r="AN477" s="15" t="s">
        <v>2787</v>
      </c>
      <c r="AO477" s="18"/>
      <c r="AP477" s="18"/>
      <c r="AQ477" s="19" t="s">
        <v>13909</v>
      </c>
      <c r="AR477" s="19" t="s">
        <v>13910</v>
      </c>
      <c r="AS477" s="15" t="s">
        <v>13911</v>
      </c>
      <c r="AT477" s="15" t="s">
        <v>13912</v>
      </c>
      <c r="AU477" s="15" t="s">
        <v>13913</v>
      </c>
      <c r="AV477" s="15" t="s">
        <v>13914</v>
      </c>
      <c r="AW477" s="15" t="s">
        <v>13915</v>
      </c>
      <c r="AX477" s="15" t="s">
        <v>2796</v>
      </c>
      <c r="AY477" s="15" t="s">
        <v>13916</v>
      </c>
      <c r="AZ477" s="15" t="s">
        <v>3960</v>
      </c>
      <c r="BA477" s="15" t="s">
        <v>2899</v>
      </c>
      <c r="BB477" s="15" t="s">
        <v>2807</v>
      </c>
      <c r="BC477" s="15" t="s">
        <v>12991</v>
      </c>
      <c r="BD477" s="15" t="s">
        <v>13917</v>
      </c>
      <c r="BE477" s="15" t="s">
        <v>13918</v>
      </c>
      <c r="BF477" s="15" t="s">
        <v>13919</v>
      </c>
      <c r="BG477" s="18"/>
      <c r="BH477" s="18"/>
      <c r="BI477" s="15" t="s">
        <v>13920</v>
      </c>
      <c r="BJ477" s="19" t="s">
        <v>13921</v>
      </c>
      <c r="BK477" s="19" t="s">
        <v>13922</v>
      </c>
      <c r="BL477" s="19" t="s">
        <v>13923</v>
      </c>
      <c r="BM477" s="20" t="s">
        <v>13924</v>
      </c>
      <c r="BN477" s="19" t="s">
        <v>13925</v>
      </c>
      <c r="BO477" s="19" t="s">
        <v>13926</v>
      </c>
      <c r="BP477" s="19" t="s">
        <v>13927</v>
      </c>
      <c r="BQ477" s="15" t="s">
        <v>1321</v>
      </c>
      <c r="BR477" s="26"/>
      <c r="BS477" s="26"/>
      <c r="BT477" s="26"/>
      <c r="BU477" s="26"/>
      <c r="BV477" s="26"/>
      <c r="BW477" s="26"/>
      <c r="BX477" s="26"/>
      <c r="BY477" s="18" t="str">
        <f t="shared" si="107"/>
        <v>MECH</v>
      </c>
      <c r="BZ477" s="24" t="str">
        <f t="shared" si="100"/>
        <v>https://drive.google.com/open?id=1gSNe2tnQcJYdbq2SlKqfZS6dt6L8Y0py</v>
      </c>
      <c r="CA477" s="24" t="str">
        <f t="shared" si="101"/>
        <v>https://drive.google.com/open?id=1dhhloASTwV6cfZcbljIodi1l7J1gkv6F</v>
      </c>
      <c r="CB477" s="15" t="s">
        <v>2908</v>
      </c>
      <c r="CC477" s="15" t="s">
        <v>2821</v>
      </c>
      <c r="CD477" s="25" t="s">
        <v>2797</v>
      </c>
      <c r="CE477" s="18"/>
      <c r="CF477" s="18"/>
      <c r="CG477" s="18"/>
    </row>
    <row r="478" ht="18.75" hidden="1" customHeight="1">
      <c r="A478" s="14">
        <v>44735.50165864584</v>
      </c>
      <c r="B478" s="15" t="s">
        <v>2556</v>
      </c>
      <c r="C478" s="16" t="s">
        <v>13928</v>
      </c>
      <c r="D478" s="15" t="str">
        <f>IFERROR(__xludf.DUMMYFUNCTION("QUERY(TY_ALL_2023_Batch!$A$1:$E$824, ""SELECT E WHERE C='""&amp;B478&amp;""'"", 0)"),"MECH")</f>
        <v>MECH</v>
      </c>
      <c r="E478" s="15" t="s">
        <v>11890</v>
      </c>
      <c r="F478" s="15" t="s">
        <v>3806</v>
      </c>
      <c r="G478" s="15" t="s">
        <v>13929</v>
      </c>
      <c r="H478" s="15" t="s">
        <v>2785</v>
      </c>
      <c r="I478" s="17">
        <v>37167.0</v>
      </c>
      <c r="J478" s="15">
        <v>2019.0</v>
      </c>
      <c r="K478" s="15" t="s">
        <v>2786</v>
      </c>
      <c r="L478" s="15" t="s">
        <v>2787</v>
      </c>
      <c r="M478" s="18"/>
      <c r="N478" s="15" t="s">
        <v>13930</v>
      </c>
      <c r="O478" s="15" t="s">
        <v>2556</v>
      </c>
      <c r="P478" s="19" t="s">
        <v>13931</v>
      </c>
      <c r="Q478" s="15">
        <v>7.028418778E9</v>
      </c>
      <c r="R478" s="15">
        <v>7.028418778E9</v>
      </c>
      <c r="S478" s="15">
        <v>9.112628895E9</v>
      </c>
      <c r="T478" s="15" t="s">
        <v>13932</v>
      </c>
      <c r="U478" s="15" t="s">
        <v>13933</v>
      </c>
      <c r="V478" s="15" t="s">
        <v>13934</v>
      </c>
      <c r="W478" s="18"/>
      <c r="X478" s="15">
        <v>92.8</v>
      </c>
      <c r="Y478" s="15" t="s">
        <v>2795</v>
      </c>
      <c r="Z478" s="15">
        <v>9.62</v>
      </c>
      <c r="AA478" s="15">
        <v>9.1</v>
      </c>
      <c r="AB478" s="15" t="s">
        <v>2796</v>
      </c>
      <c r="AC478" s="15" t="s">
        <v>2796</v>
      </c>
      <c r="AD478" s="15" t="s">
        <v>2796</v>
      </c>
      <c r="AE478" s="15" t="s">
        <v>2796</v>
      </c>
      <c r="AF478" s="15">
        <v>8.62</v>
      </c>
      <c r="AG478" s="15">
        <v>8.15</v>
      </c>
      <c r="AH478" s="15">
        <v>77.54</v>
      </c>
      <c r="AI478" s="18"/>
      <c r="AJ478" s="15" t="s">
        <v>2787</v>
      </c>
      <c r="AK478" s="15" t="s">
        <v>2787</v>
      </c>
      <c r="AL478" s="15">
        <v>425.0</v>
      </c>
      <c r="AM478" s="15">
        <v>630.8</v>
      </c>
      <c r="AN478" s="15" t="s">
        <v>2797</v>
      </c>
      <c r="AO478" s="18"/>
      <c r="AP478" s="18"/>
      <c r="AQ478" s="15" t="s">
        <v>13935</v>
      </c>
      <c r="AR478" s="15" t="s">
        <v>13936</v>
      </c>
      <c r="AS478" s="15" t="s">
        <v>13937</v>
      </c>
      <c r="AT478" s="18"/>
      <c r="AU478" s="15" t="s">
        <v>13938</v>
      </c>
      <c r="AV478" s="15" t="s">
        <v>13939</v>
      </c>
      <c r="AW478" s="15" t="s">
        <v>13940</v>
      </c>
      <c r="AX478" s="18"/>
      <c r="AY478" s="15" t="s">
        <v>13941</v>
      </c>
      <c r="AZ478" s="15" t="s">
        <v>3960</v>
      </c>
      <c r="BA478" s="15" t="s">
        <v>10710</v>
      </c>
      <c r="BB478" s="15" t="s">
        <v>2807</v>
      </c>
      <c r="BC478" s="15" t="s">
        <v>13942</v>
      </c>
      <c r="BD478" s="15" t="s">
        <v>2807</v>
      </c>
      <c r="BE478" s="15" t="s">
        <v>13943</v>
      </c>
      <c r="BF478" s="18"/>
      <c r="BG478" s="18"/>
      <c r="BH478" s="18"/>
      <c r="BI478" s="15" t="s">
        <v>13944</v>
      </c>
      <c r="BJ478" s="19" t="s">
        <v>13945</v>
      </c>
      <c r="BK478" s="19" t="s">
        <v>13946</v>
      </c>
      <c r="BL478" s="19" t="s">
        <v>13947</v>
      </c>
      <c r="BM478" s="20" t="s">
        <v>13948</v>
      </c>
      <c r="BN478" s="19" t="s">
        <v>13949</v>
      </c>
      <c r="BO478" s="19" t="s">
        <v>13950</v>
      </c>
      <c r="BP478" s="19" t="s">
        <v>13951</v>
      </c>
      <c r="BQ478" s="15" t="s">
        <v>1321</v>
      </c>
      <c r="BR478" s="26"/>
      <c r="BS478" s="26"/>
      <c r="BT478" s="26"/>
      <c r="BU478" s="26"/>
      <c r="BV478" s="26"/>
      <c r="BW478" s="26"/>
      <c r="BX478" s="26"/>
      <c r="BY478" s="18" t="str">
        <f t="shared" si="107"/>
        <v>MECH</v>
      </c>
      <c r="BZ478" s="24" t="str">
        <f t="shared" si="100"/>
        <v>https://drive.google.com/open?id=1dUKn3E-2EpTDmT2UPF6pXMmfhLLAScjl</v>
      </c>
      <c r="CA478" s="24" t="str">
        <f t="shared" si="101"/>
        <v>https://drive.google.com/open?id=1nZiWaXMMPvSDW35ZrQeoZHmXtfZRZ8um</v>
      </c>
      <c r="CB478" s="15" t="s">
        <v>2821</v>
      </c>
      <c r="CC478" s="15" t="s">
        <v>2821</v>
      </c>
      <c r="CD478" s="25" t="s">
        <v>2797</v>
      </c>
      <c r="CE478" s="18"/>
      <c r="CF478" s="18"/>
      <c r="CG478" s="18"/>
    </row>
    <row r="479" ht="18.75" hidden="1" customHeight="1">
      <c r="A479" s="14">
        <v>44742.8999325926</v>
      </c>
      <c r="B479" s="15" t="s">
        <v>1374</v>
      </c>
      <c r="C479" s="16" t="s">
        <v>13952</v>
      </c>
      <c r="D479" s="15" t="str">
        <f>IFERROR(__xludf.DUMMYFUNCTION("QUERY(TY_ALL_2023_Batch!$A$1:$E$824, ""SELECT E WHERE C='""&amp;B479&amp;""'"", 0)"),"MECH")</f>
        <v>MECH</v>
      </c>
      <c r="E479" s="15" t="s">
        <v>5251</v>
      </c>
      <c r="F479" s="15" t="s">
        <v>2939</v>
      </c>
      <c r="G479" s="15" t="s">
        <v>13953</v>
      </c>
      <c r="H479" s="15" t="s">
        <v>2826</v>
      </c>
      <c r="I479" s="17">
        <v>36842.0</v>
      </c>
      <c r="J479" s="15">
        <v>2020.0</v>
      </c>
      <c r="K479" s="15" t="s">
        <v>2941</v>
      </c>
      <c r="L479" s="15" t="s">
        <v>2787</v>
      </c>
      <c r="M479" s="18"/>
      <c r="N479" s="15" t="s">
        <v>13954</v>
      </c>
      <c r="O479" s="15" t="s">
        <v>13955</v>
      </c>
      <c r="P479" s="19" t="s">
        <v>13956</v>
      </c>
      <c r="Q479" s="15">
        <v>8.421965715E9</v>
      </c>
      <c r="R479" s="15">
        <v>9.075310677E9</v>
      </c>
      <c r="S479" s="15">
        <v>7.70974373E9</v>
      </c>
      <c r="T479" s="15" t="s">
        <v>13957</v>
      </c>
      <c r="U479" s="15" t="s">
        <v>13958</v>
      </c>
      <c r="V479" s="15" t="s">
        <v>13959</v>
      </c>
      <c r="W479" s="15" t="s">
        <v>13960</v>
      </c>
      <c r="X479" s="15">
        <v>93.4</v>
      </c>
      <c r="Y479" s="15" t="s">
        <v>2948</v>
      </c>
      <c r="Z479" s="15">
        <v>8.86</v>
      </c>
      <c r="AA479" s="15">
        <v>8.57</v>
      </c>
      <c r="AB479" s="15">
        <v>8.08</v>
      </c>
      <c r="AC479" s="15">
        <v>8.25</v>
      </c>
      <c r="AD479" s="15" t="s">
        <v>2796</v>
      </c>
      <c r="AE479" s="15" t="s">
        <v>2796</v>
      </c>
      <c r="AF479" s="18"/>
      <c r="AG479" s="18"/>
      <c r="AH479" s="18"/>
      <c r="AI479" s="15">
        <v>80.94</v>
      </c>
      <c r="AJ479" s="15" t="s">
        <v>2787</v>
      </c>
      <c r="AK479" s="15" t="s">
        <v>2787</v>
      </c>
      <c r="AL479" s="15">
        <v>416.66</v>
      </c>
      <c r="AM479" s="15">
        <v>588.33</v>
      </c>
      <c r="AN479" s="15" t="s">
        <v>2797</v>
      </c>
      <c r="AO479" s="15" t="s">
        <v>2797</v>
      </c>
      <c r="AP479" s="15" t="s">
        <v>2797</v>
      </c>
      <c r="AQ479" s="15" t="s">
        <v>13961</v>
      </c>
      <c r="AR479" s="15" t="s">
        <v>13962</v>
      </c>
      <c r="AS479" s="15" t="s">
        <v>13963</v>
      </c>
      <c r="AT479" s="18"/>
      <c r="AU479" s="18"/>
      <c r="AV479" s="15" t="s">
        <v>13964</v>
      </c>
      <c r="AW479" s="15" t="s">
        <v>13965</v>
      </c>
      <c r="AX479" s="15" t="s">
        <v>13966</v>
      </c>
      <c r="AY479" s="15" t="s">
        <v>13967</v>
      </c>
      <c r="AZ479" s="15" t="s">
        <v>9648</v>
      </c>
      <c r="BA479" s="15" t="s">
        <v>2899</v>
      </c>
      <c r="BB479" s="15" t="s">
        <v>3109</v>
      </c>
      <c r="BC479" s="15" t="s">
        <v>13968</v>
      </c>
      <c r="BD479" s="15" t="s">
        <v>2842</v>
      </c>
      <c r="BE479" s="15" t="s">
        <v>13969</v>
      </c>
      <c r="BF479" s="15" t="s">
        <v>13970</v>
      </c>
      <c r="BG479" s="15" t="s">
        <v>13971</v>
      </c>
      <c r="BH479" s="15" t="s">
        <v>13972</v>
      </c>
      <c r="BI479" s="15" t="s">
        <v>13973</v>
      </c>
      <c r="BJ479" s="19" t="s">
        <v>13974</v>
      </c>
      <c r="BK479" s="19" t="s">
        <v>13975</v>
      </c>
      <c r="BL479" s="19" t="s">
        <v>13976</v>
      </c>
      <c r="BM479" s="19" t="s">
        <v>13977</v>
      </c>
      <c r="BN479" s="19" t="s">
        <v>13978</v>
      </c>
      <c r="BO479" s="19" t="s">
        <v>13979</v>
      </c>
      <c r="BP479" s="19" t="s">
        <v>13980</v>
      </c>
      <c r="BQ479" s="15" t="s">
        <v>1321</v>
      </c>
      <c r="BR479" s="19" t="s">
        <v>13981</v>
      </c>
      <c r="BS479" s="19" t="s">
        <v>13982</v>
      </c>
      <c r="BT479" s="19" t="s">
        <v>13983</v>
      </c>
      <c r="BU479" s="19" t="s">
        <v>13984</v>
      </c>
      <c r="BV479" s="19" t="s">
        <v>13985</v>
      </c>
      <c r="BW479" s="15" t="s">
        <v>13986</v>
      </c>
      <c r="BX479" s="26"/>
      <c r="BY479" s="18" t="str">
        <f t="shared" si="107"/>
        <v>MECH</v>
      </c>
      <c r="BZ479" s="24" t="str">
        <f t="shared" si="100"/>
        <v>https://drive.google.com/open?id=1PrIpLT5ZLd_ykhSSYkeEylYLA9CtgmI5</v>
      </c>
      <c r="CA479" s="24" t="str">
        <f t="shared" si="101"/>
        <v>https://drive.google.com/open?id=1jLu3B4NXESs0fSXkExiCB38ie7X1RT88</v>
      </c>
      <c r="CB479" s="15" t="s">
        <v>2821</v>
      </c>
      <c r="CC479" s="15" t="s">
        <v>2821</v>
      </c>
      <c r="CD479" s="25" t="s">
        <v>2909</v>
      </c>
      <c r="CE479" s="18"/>
      <c r="CF479" s="18"/>
      <c r="CG479" s="18"/>
    </row>
    <row r="480" ht="18.75" hidden="1" customHeight="1">
      <c r="A480" s="14">
        <v>44735.98944484953</v>
      </c>
      <c r="B480" s="15" t="s">
        <v>1530</v>
      </c>
      <c r="C480" s="16" t="s">
        <v>13987</v>
      </c>
      <c r="D480" s="15" t="str">
        <f>IFERROR(__xludf.DUMMYFUNCTION("QUERY(TY_ALL_2023_Batch!$A$1:$E$824, ""SELECT E WHERE C='""&amp;B480&amp;""'"", 0)"),"MECH")</f>
        <v>MECH</v>
      </c>
      <c r="E480" s="15" t="s">
        <v>13988</v>
      </c>
      <c r="F480" s="15" t="s">
        <v>13989</v>
      </c>
      <c r="G480" s="15" t="s">
        <v>13990</v>
      </c>
      <c r="H480" s="15" t="s">
        <v>2785</v>
      </c>
      <c r="I480" s="17">
        <v>37171.0</v>
      </c>
      <c r="J480" s="15">
        <v>2020.0</v>
      </c>
      <c r="K480" s="15" t="s">
        <v>2941</v>
      </c>
      <c r="L480" s="15" t="s">
        <v>2787</v>
      </c>
      <c r="M480" s="18"/>
      <c r="N480" s="15" t="s">
        <v>13991</v>
      </c>
      <c r="O480" s="15" t="s">
        <v>1530</v>
      </c>
      <c r="P480" s="19" t="s">
        <v>13992</v>
      </c>
      <c r="Q480" s="15">
        <v>7.756079565E9</v>
      </c>
      <c r="R480" s="15">
        <v>7.756079565E9</v>
      </c>
      <c r="S480" s="15">
        <v>9.421522216E9</v>
      </c>
      <c r="T480" s="15" t="s">
        <v>13989</v>
      </c>
      <c r="U480" s="15" t="s">
        <v>3677</v>
      </c>
      <c r="V480" s="15" t="s">
        <v>13993</v>
      </c>
      <c r="W480" s="18"/>
      <c r="X480" s="15">
        <v>95.4</v>
      </c>
      <c r="Y480" s="15" t="s">
        <v>2948</v>
      </c>
      <c r="Z480" s="15">
        <v>9.41</v>
      </c>
      <c r="AA480" s="15">
        <v>8.2</v>
      </c>
      <c r="AB480" s="15">
        <v>9.2</v>
      </c>
      <c r="AC480" s="15">
        <v>9.4</v>
      </c>
      <c r="AD480" s="15" t="s">
        <v>2796</v>
      </c>
      <c r="AE480" s="15" t="s">
        <v>2796</v>
      </c>
      <c r="AF480" s="18"/>
      <c r="AG480" s="18"/>
      <c r="AH480" s="18"/>
      <c r="AI480" s="15">
        <v>91.8</v>
      </c>
      <c r="AJ480" s="15" t="s">
        <v>2797</v>
      </c>
      <c r="AK480" s="15" t="s">
        <v>2787</v>
      </c>
      <c r="AL480" s="15" t="s">
        <v>2796</v>
      </c>
      <c r="AM480" s="15">
        <v>578.33</v>
      </c>
      <c r="AN480" s="15" t="s">
        <v>2797</v>
      </c>
      <c r="AO480" s="15" t="s">
        <v>2796</v>
      </c>
      <c r="AP480" s="15" t="s">
        <v>2796</v>
      </c>
      <c r="AQ480" s="15" t="s">
        <v>13994</v>
      </c>
      <c r="AR480" s="15" t="s">
        <v>13995</v>
      </c>
      <c r="AS480" s="15" t="s">
        <v>13996</v>
      </c>
      <c r="AT480" s="15" t="s">
        <v>2796</v>
      </c>
      <c r="AU480" s="15" t="s">
        <v>2796</v>
      </c>
      <c r="AV480" s="15" t="s">
        <v>13997</v>
      </c>
      <c r="AW480" s="15" t="s">
        <v>13998</v>
      </c>
      <c r="AX480" s="15" t="s">
        <v>2796</v>
      </c>
      <c r="AY480" s="15" t="s">
        <v>13999</v>
      </c>
      <c r="AZ480" s="15" t="s">
        <v>3960</v>
      </c>
      <c r="BA480" s="15" t="s">
        <v>14000</v>
      </c>
      <c r="BB480" s="15" t="s">
        <v>2807</v>
      </c>
      <c r="BC480" s="15" t="s">
        <v>14001</v>
      </c>
      <c r="BD480" s="15" t="s">
        <v>2807</v>
      </c>
      <c r="BE480" s="15" t="s">
        <v>14002</v>
      </c>
      <c r="BF480" s="15" t="s">
        <v>14003</v>
      </c>
      <c r="BG480" s="15" t="s">
        <v>2796</v>
      </c>
      <c r="BH480" s="15" t="s">
        <v>2796</v>
      </c>
      <c r="BI480" s="15" t="s">
        <v>14004</v>
      </c>
      <c r="BJ480" s="15" t="s">
        <v>14005</v>
      </c>
      <c r="BK480" s="19" t="s">
        <v>14006</v>
      </c>
      <c r="BL480" s="18"/>
      <c r="BM480" s="19" t="s">
        <v>14007</v>
      </c>
      <c r="BN480" s="19" t="s">
        <v>14008</v>
      </c>
      <c r="BO480" s="19" t="s">
        <v>14009</v>
      </c>
      <c r="BP480" s="18"/>
      <c r="BQ480" s="15" t="s">
        <v>1321</v>
      </c>
      <c r="BR480" s="26"/>
      <c r="BS480" s="26"/>
      <c r="BT480" s="26"/>
      <c r="BU480" s="26"/>
      <c r="BV480" s="26"/>
      <c r="BW480" s="26"/>
      <c r="BX480" s="26"/>
      <c r="BY480" s="18" t="str">
        <f t="shared" si="107"/>
        <v>MECH</v>
      </c>
      <c r="BZ480" s="18" t="str">
        <f t="shared" si="100"/>
        <v/>
      </c>
      <c r="CA480" s="24" t="str">
        <f t="shared" si="101"/>
        <v>https://drive.google.com/open?id=1Tx4xj1HpLWZMdhAvxNSIOhE09Pl513g6</v>
      </c>
      <c r="CB480" s="15" t="s">
        <v>2908</v>
      </c>
      <c r="CC480" s="15" t="s">
        <v>2821</v>
      </c>
      <c r="CD480" s="25" t="s">
        <v>2797</v>
      </c>
      <c r="CE480" s="18"/>
      <c r="CF480" s="18"/>
      <c r="CG480" s="18"/>
    </row>
    <row r="481" ht="18.75" hidden="1" customHeight="1">
      <c r="A481" s="14">
        <v>44736.45997030093</v>
      </c>
      <c r="B481" s="15" t="s">
        <v>2604</v>
      </c>
      <c r="C481" s="16" t="s">
        <v>14010</v>
      </c>
      <c r="D481" s="15" t="str">
        <f>IFERROR(__xludf.DUMMYFUNCTION("QUERY(TY_ALL_2023_Batch!$A$1:$E$824, ""SELECT E WHERE C='""&amp;B481&amp;""'"", 0)"),"MECH")</f>
        <v>MECH</v>
      </c>
      <c r="E481" s="15" t="s">
        <v>13988</v>
      </c>
      <c r="F481" s="15" t="s">
        <v>5456</v>
      </c>
      <c r="G481" s="15" t="s">
        <v>14011</v>
      </c>
      <c r="H481" s="15" t="s">
        <v>2785</v>
      </c>
      <c r="I481" s="17">
        <v>37409.0</v>
      </c>
      <c r="J481" s="15">
        <v>2019.0</v>
      </c>
      <c r="K481" s="15" t="s">
        <v>2786</v>
      </c>
      <c r="L481" s="15" t="s">
        <v>2787</v>
      </c>
      <c r="M481" s="18"/>
      <c r="N481" s="15" t="s">
        <v>14012</v>
      </c>
      <c r="O481" s="15" t="s">
        <v>14013</v>
      </c>
      <c r="P481" s="19" t="s">
        <v>14014</v>
      </c>
      <c r="Q481" s="15">
        <v>9.867949254E9</v>
      </c>
      <c r="R481" s="15">
        <v>9.867949254E9</v>
      </c>
      <c r="S481" s="18"/>
      <c r="T481" s="15" t="s">
        <v>5456</v>
      </c>
      <c r="U481" s="15" t="s">
        <v>3365</v>
      </c>
      <c r="V481" s="15" t="s">
        <v>14015</v>
      </c>
      <c r="W481" s="15" t="s">
        <v>14016</v>
      </c>
      <c r="X481" s="15">
        <v>92.8</v>
      </c>
      <c r="Y481" s="15" t="s">
        <v>2795</v>
      </c>
      <c r="Z481" s="15">
        <v>9.1</v>
      </c>
      <c r="AA481" s="15">
        <v>8.71</v>
      </c>
      <c r="AB481" s="15" t="s">
        <v>2796</v>
      </c>
      <c r="AC481" s="15" t="s">
        <v>2796</v>
      </c>
      <c r="AD481" s="15" t="s">
        <v>2796</v>
      </c>
      <c r="AE481" s="15" t="s">
        <v>2796</v>
      </c>
      <c r="AF481" s="15">
        <v>9.11</v>
      </c>
      <c r="AG481" s="15">
        <v>9.1</v>
      </c>
      <c r="AH481" s="15">
        <v>76.77</v>
      </c>
      <c r="AI481" s="18"/>
      <c r="AJ481" s="15" t="s">
        <v>2787</v>
      </c>
      <c r="AK481" s="15" t="s">
        <v>2787</v>
      </c>
      <c r="AL481" s="15">
        <v>321.667</v>
      </c>
      <c r="AM481" s="15">
        <v>436.667</v>
      </c>
      <c r="AN481" s="15" t="s">
        <v>2797</v>
      </c>
      <c r="AO481" s="18"/>
      <c r="AP481" s="18"/>
      <c r="AQ481" s="15" t="s">
        <v>14017</v>
      </c>
      <c r="AR481" s="18"/>
      <c r="AS481" s="15" t="s">
        <v>14018</v>
      </c>
      <c r="AT481" s="18"/>
      <c r="AU481" s="15" t="s">
        <v>14019</v>
      </c>
      <c r="AV481" s="15" t="s">
        <v>14020</v>
      </c>
      <c r="AW481" s="15" t="s">
        <v>14021</v>
      </c>
      <c r="AX481" s="18"/>
      <c r="AY481" s="15" t="s">
        <v>14022</v>
      </c>
      <c r="AZ481" s="15" t="s">
        <v>3960</v>
      </c>
      <c r="BA481" s="15" t="s">
        <v>2806</v>
      </c>
      <c r="BB481" s="15" t="s">
        <v>8773</v>
      </c>
      <c r="BC481" s="15" t="s">
        <v>13150</v>
      </c>
      <c r="BD481" s="15" t="s">
        <v>2842</v>
      </c>
      <c r="BE481" s="15" t="s">
        <v>14023</v>
      </c>
      <c r="BF481" s="15" t="s">
        <v>14024</v>
      </c>
      <c r="BG481" s="18"/>
      <c r="BH481" s="15" t="s">
        <v>14025</v>
      </c>
      <c r="BI481" s="18"/>
      <c r="BJ481" s="19" t="s">
        <v>14026</v>
      </c>
      <c r="BK481" s="19" t="s">
        <v>14027</v>
      </c>
      <c r="BL481" s="19" t="s">
        <v>14028</v>
      </c>
      <c r="BM481" s="19" t="s">
        <v>14029</v>
      </c>
      <c r="BN481" s="19" t="s">
        <v>14030</v>
      </c>
      <c r="BO481" s="19" t="s">
        <v>14031</v>
      </c>
      <c r="BP481" s="19" t="s">
        <v>14032</v>
      </c>
      <c r="BQ481" s="15" t="s">
        <v>1321</v>
      </c>
      <c r="BR481" s="26"/>
      <c r="BS481" s="26"/>
      <c r="BT481" s="26"/>
      <c r="BU481" s="26"/>
      <c r="BV481" s="26"/>
      <c r="BW481" s="26"/>
      <c r="BX481" s="26"/>
      <c r="BY481" s="18" t="str">
        <f t="shared" si="107"/>
        <v>MECH</v>
      </c>
      <c r="BZ481" s="24" t="str">
        <f t="shared" si="100"/>
        <v>https://drive.google.com/open?id=1uVKwtKC3Fq_Yx1u-zX7v8iku_quFWDBe</v>
      </c>
      <c r="CA481" s="24" t="str">
        <f t="shared" si="101"/>
        <v>https://drive.google.com/open?id=1nnKGeGlKo-E5ngiH2OnmhW4782hRxeLU</v>
      </c>
      <c r="CB481" s="15" t="s">
        <v>2821</v>
      </c>
      <c r="CC481" s="15" t="s">
        <v>2821</v>
      </c>
      <c r="CD481" s="25" t="s">
        <v>2797</v>
      </c>
      <c r="CE481" s="18"/>
      <c r="CF481" s="18"/>
      <c r="CG481" s="18"/>
    </row>
    <row r="482" ht="18.75" hidden="1" customHeight="1">
      <c r="A482" s="14">
        <v>44742.930253865736</v>
      </c>
      <c r="B482" s="15" t="s">
        <v>2535</v>
      </c>
      <c r="C482" s="16" t="s">
        <v>14033</v>
      </c>
      <c r="D482" s="15" t="str">
        <f>IFERROR(__xludf.DUMMYFUNCTION("QUERY(TY_ALL_2023_Batch!$A$1:$E$824, ""SELECT E WHERE C='""&amp;B482&amp;""'"", 0)"),"MECH")</f>
        <v>MECH</v>
      </c>
      <c r="E482" s="15" t="s">
        <v>3378</v>
      </c>
      <c r="F482" s="15" t="s">
        <v>14034</v>
      </c>
      <c r="G482" s="15" t="s">
        <v>14035</v>
      </c>
      <c r="H482" s="15" t="s">
        <v>2785</v>
      </c>
      <c r="I482" s="17">
        <v>36800.0</v>
      </c>
      <c r="J482" s="15">
        <v>2019.0</v>
      </c>
      <c r="K482" s="15" t="s">
        <v>2786</v>
      </c>
      <c r="L482" s="15" t="s">
        <v>2787</v>
      </c>
      <c r="M482" s="18"/>
      <c r="N482" s="15" t="s">
        <v>14036</v>
      </c>
      <c r="O482" s="15" t="s">
        <v>14037</v>
      </c>
      <c r="P482" s="19" t="s">
        <v>14038</v>
      </c>
      <c r="Q482" s="15">
        <v>9.112492909E9</v>
      </c>
      <c r="R482" s="15">
        <v>9.112492909E9</v>
      </c>
      <c r="S482" s="15">
        <v>9.049551656E9</v>
      </c>
      <c r="T482" s="15" t="s">
        <v>14039</v>
      </c>
      <c r="U482" s="15" t="s">
        <v>14040</v>
      </c>
      <c r="V482" s="15" t="s">
        <v>14041</v>
      </c>
      <c r="W482" s="15" t="s">
        <v>14042</v>
      </c>
      <c r="X482" s="15">
        <v>80.4</v>
      </c>
      <c r="Y482" s="15" t="s">
        <v>2795</v>
      </c>
      <c r="Z482" s="15">
        <v>7.29</v>
      </c>
      <c r="AA482" s="15">
        <v>7.35</v>
      </c>
      <c r="AB482" s="15" t="s">
        <v>2796</v>
      </c>
      <c r="AC482" s="15" t="s">
        <v>2796</v>
      </c>
      <c r="AD482" s="15" t="s">
        <v>2796</v>
      </c>
      <c r="AE482" s="15" t="s">
        <v>2796</v>
      </c>
      <c r="AF482" s="15">
        <v>7.29</v>
      </c>
      <c r="AG482" s="15">
        <v>6.74</v>
      </c>
      <c r="AH482" s="15">
        <v>67.34</v>
      </c>
      <c r="AI482" s="18"/>
      <c r="AJ482" s="15" t="s">
        <v>2797</v>
      </c>
      <c r="AK482" s="15" t="s">
        <v>2787</v>
      </c>
      <c r="AL482" s="18"/>
      <c r="AM482" s="15">
        <v>650.0</v>
      </c>
      <c r="AN482" s="15" t="s">
        <v>2797</v>
      </c>
      <c r="AO482" s="15" t="s">
        <v>2796</v>
      </c>
      <c r="AP482" s="15" t="s">
        <v>2796</v>
      </c>
      <c r="AQ482" s="15" t="s">
        <v>14043</v>
      </c>
      <c r="AR482" s="15" t="s">
        <v>14044</v>
      </c>
      <c r="AS482" s="15" t="s">
        <v>2796</v>
      </c>
      <c r="AT482" s="15" t="s">
        <v>14043</v>
      </c>
      <c r="AU482" s="15" t="s">
        <v>14045</v>
      </c>
      <c r="AV482" s="15" t="s">
        <v>14046</v>
      </c>
      <c r="AW482" s="15" t="s">
        <v>14047</v>
      </c>
      <c r="AX482" s="15" t="s">
        <v>2796</v>
      </c>
      <c r="AY482" s="15" t="s">
        <v>14048</v>
      </c>
      <c r="AZ482" s="15" t="s">
        <v>8440</v>
      </c>
      <c r="BA482" s="15" t="s">
        <v>4727</v>
      </c>
      <c r="BB482" s="15" t="s">
        <v>2807</v>
      </c>
      <c r="BC482" s="15" t="s">
        <v>14049</v>
      </c>
      <c r="BD482" s="15" t="s">
        <v>2807</v>
      </c>
      <c r="BE482" s="15" t="s">
        <v>14050</v>
      </c>
      <c r="BF482" s="15" t="s">
        <v>14051</v>
      </c>
      <c r="BG482" s="18"/>
      <c r="BH482" s="18"/>
      <c r="BI482" s="15" t="s">
        <v>14052</v>
      </c>
      <c r="BJ482" s="19" t="s">
        <v>14053</v>
      </c>
      <c r="BK482" s="19" t="s">
        <v>14054</v>
      </c>
      <c r="BL482" s="18"/>
      <c r="BM482" s="19" t="s">
        <v>14055</v>
      </c>
      <c r="BN482" s="18"/>
      <c r="BO482" s="19" t="s">
        <v>14056</v>
      </c>
      <c r="BP482" s="19" t="s">
        <v>14057</v>
      </c>
      <c r="BQ482" s="15" t="s">
        <v>1321</v>
      </c>
      <c r="BR482" s="26"/>
      <c r="BS482" s="26"/>
      <c r="BT482" s="19" t="s">
        <v>14058</v>
      </c>
      <c r="BU482" s="26"/>
      <c r="BV482" s="26"/>
      <c r="BW482" s="15" t="s">
        <v>14059</v>
      </c>
      <c r="BX482" s="26"/>
      <c r="BY482" s="18" t="str">
        <f t="shared" si="107"/>
        <v>MECH</v>
      </c>
      <c r="BZ482" s="18" t="str">
        <f t="shared" si="100"/>
        <v/>
      </c>
      <c r="CA482" s="24" t="str">
        <f t="shared" si="101"/>
        <v>https://drive.google.com/open?id=1WCM5lAng21spu0xX1w0V0QXYbWG5T51Q</v>
      </c>
      <c r="CB482" s="15" t="s">
        <v>2908</v>
      </c>
      <c r="CC482" s="15" t="s">
        <v>2821</v>
      </c>
      <c r="CD482" s="25" t="s">
        <v>2909</v>
      </c>
      <c r="CE482" s="18"/>
      <c r="CF482" s="18"/>
      <c r="CG482" s="18"/>
    </row>
    <row r="483" ht="18.75" hidden="1" customHeight="1">
      <c r="A483" s="14">
        <v>44772.35718258102</v>
      </c>
      <c r="B483" s="15" t="s">
        <v>2478</v>
      </c>
      <c r="C483" s="16" t="s">
        <v>14060</v>
      </c>
      <c r="D483" s="15" t="str">
        <f>IFERROR(__xludf.DUMMYFUNCTION("QUERY(TY_ALL_2023_Batch!$A$1:$E$824, ""SELECT E WHERE C='""&amp;B483&amp;""'"", 0)"),"MECH")</f>
        <v>MECH</v>
      </c>
      <c r="E483" s="15" t="s">
        <v>4303</v>
      </c>
      <c r="F483" s="15" t="s">
        <v>7855</v>
      </c>
      <c r="G483" s="15" t="s">
        <v>14061</v>
      </c>
      <c r="H483" s="15" t="s">
        <v>2826</v>
      </c>
      <c r="I483" s="17">
        <v>36473.0</v>
      </c>
      <c r="J483" s="15">
        <v>2019.0</v>
      </c>
      <c r="K483" s="15" t="s">
        <v>2786</v>
      </c>
      <c r="L483" s="15" t="s">
        <v>2787</v>
      </c>
      <c r="M483" s="18"/>
      <c r="N483" s="15" t="s">
        <v>14062</v>
      </c>
      <c r="O483" s="15" t="s">
        <v>2478</v>
      </c>
      <c r="P483" s="19" t="s">
        <v>14063</v>
      </c>
      <c r="Q483" s="15">
        <v>9.579384895E9</v>
      </c>
      <c r="R483" s="15">
        <v>7.888238445E9</v>
      </c>
      <c r="S483" s="15">
        <v>9.168227338E9</v>
      </c>
      <c r="T483" s="15" t="s">
        <v>14064</v>
      </c>
      <c r="U483" s="15" t="s">
        <v>14065</v>
      </c>
      <c r="V483" s="15" t="s">
        <v>14066</v>
      </c>
      <c r="W483" s="15" t="s">
        <v>14067</v>
      </c>
      <c r="X483" s="15">
        <v>83.0</v>
      </c>
      <c r="Y483" s="15" t="s">
        <v>2795</v>
      </c>
      <c r="Z483" s="15">
        <v>9.0</v>
      </c>
      <c r="AA483" s="15">
        <v>8.29</v>
      </c>
      <c r="AB483" s="15">
        <v>6.24</v>
      </c>
      <c r="AC483" s="15">
        <v>7.24</v>
      </c>
      <c r="AD483" s="15" t="s">
        <v>2796</v>
      </c>
      <c r="AE483" s="15" t="s">
        <v>2796</v>
      </c>
      <c r="AF483" s="15">
        <v>7.37</v>
      </c>
      <c r="AG483" s="15">
        <v>7.81</v>
      </c>
      <c r="AH483" s="15">
        <v>70.15</v>
      </c>
      <c r="AI483" s="18"/>
      <c r="AJ483" s="15" t="s">
        <v>2787</v>
      </c>
      <c r="AK483" s="15" t="s">
        <v>2787</v>
      </c>
      <c r="AL483" s="15">
        <v>415.0</v>
      </c>
      <c r="AM483" s="15">
        <v>455.0</v>
      </c>
      <c r="AN483" s="15" t="s">
        <v>2787</v>
      </c>
      <c r="AO483" s="15" t="s">
        <v>2796</v>
      </c>
      <c r="AP483" s="15" t="s">
        <v>14068</v>
      </c>
      <c r="AQ483" s="19" t="s">
        <v>14069</v>
      </c>
      <c r="AR483" s="18"/>
      <c r="AS483" s="18"/>
      <c r="AT483" s="18"/>
      <c r="AU483" s="15" t="s">
        <v>14070</v>
      </c>
      <c r="AV483" s="15" t="s">
        <v>14071</v>
      </c>
      <c r="AW483" s="15" t="s">
        <v>14072</v>
      </c>
      <c r="AX483" s="15" t="s">
        <v>14073</v>
      </c>
      <c r="AY483" s="15" t="s">
        <v>14074</v>
      </c>
      <c r="AZ483" s="15" t="s">
        <v>3960</v>
      </c>
      <c r="BA483" s="15" t="s">
        <v>2839</v>
      </c>
      <c r="BB483" s="15" t="s">
        <v>5729</v>
      </c>
      <c r="BC483" s="15" t="s">
        <v>14075</v>
      </c>
      <c r="BD483" s="15" t="s">
        <v>2842</v>
      </c>
      <c r="BE483" s="15" t="s">
        <v>2796</v>
      </c>
      <c r="BF483" s="18"/>
      <c r="BG483" s="18"/>
      <c r="BH483" s="18"/>
      <c r="BI483" s="15" t="s">
        <v>14076</v>
      </c>
      <c r="BJ483" s="19" t="s">
        <v>14077</v>
      </c>
      <c r="BK483" s="19" t="s">
        <v>14078</v>
      </c>
      <c r="BL483" s="19" t="s">
        <v>14079</v>
      </c>
      <c r="BM483" s="19" t="s">
        <v>14080</v>
      </c>
      <c r="BN483" s="19" t="s">
        <v>14081</v>
      </c>
      <c r="BO483" s="19" t="s">
        <v>14082</v>
      </c>
      <c r="BP483" s="19" t="s">
        <v>14083</v>
      </c>
      <c r="BQ483" s="15" t="s">
        <v>1321</v>
      </c>
      <c r="BR483" s="19" t="s">
        <v>14084</v>
      </c>
      <c r="BS483" s="19" t="s">
        <v>14085</v>
      </c>
      <c r="BT483" s="19" t="s">
        <v>14086</v>
      </c>
      <c r="BU483" s="19" t="s">
        <v>14087</v>
      </c>
      <c r="BV483" s="19" t="s">
        <v>14088</v>
      </c>
      <c r="BW483" s="15" t="s">
        <v>14089</v>
      </c>
      <c r="BX483" s="26"/>
      <c r="BY483" s="18" t="str">
        <f t="shared" si="107"/>
        <v>MECH</v>
      </c>
      <c r="BZ483" s="24" t="str">
        <f t="shared" si="100"/>
        <v>https://drive.google.com/open?id=1JgH1F-uUKGFgUXWQ6dmK7NilHLSq9K0v</v>
      </c>
      <c r="CA483" s="24" t="str">
        <f t="shared" si="101"/>
        <v>https://drive.google.com/open?id=17opWEISWFHnAbpOiMHNrLpXXM6U0vJ0w</v>
      </c>
      <c r="CB483" s="15" t="s">
        <v>2821</v>
      </c>
      <c r="CC483" s="15" t="s">
        <v>2821</v>
      </c>
      <c r="CD483" s="25" t="s">
        <v>2909</v>
      </c>
      <c r="CE483" s="18"/>
      <c r="CF483" s="18"/>
      <c r="CG483" s="18"/>
    </row>
    <row r="484" ht="18.75" hidden="1" customHeight="1">
      <c r="A484" s="14">
        <v>44742.98916888889</v>
      </c>
      <c r="B484" s="15" t="s">
        <v>1341</v>
      </c>
      <c r="C484" s="16" t="s">
        <v>14090</v>
      </c>
      <c r="D484" s="15" t="str">
        <f>IFERROR(__xludf.DUMMYFUNCTION("QUERY(TY_ALL_2023_Batch!$A$1:$E$824, ""SELECT E WHERE C='""&amp;B484&amp;""'"", 0)"),"MECH")</f>
        <v>MECH</v>
      </c>
      <c r="E484" s="15" t="s">
        <v>14091</v>
      </c>
      <c r="F484" s="15" t="s">
        <v>9814</v>
      </c>
      <c r="G484" s="15" t="s">
        <v>14092</v>
      </c>
      <c r="H484" s="15" t="s">
        <v>2785</v>
      </c>
      <c r="I484" s="17">
        <v>37159.0</v>
      </c>
      <c r="J484" s="15">
        <v>2020.0</v>
      </c>
      <c r="K484" s="15" t="s">
        <v>2941</v>
      </c>
      <c r="L484" s="15" t="s">
        <v>2787</v>
      </c>
      <c r="M484" s="18"/>
      <c r="N484" s="15" t="s">
        <v>14093</v>
      </c>
      <c r="O484" s="15" t="s">
        <v>1341</v>
      </c>
      <c r="P484" s="19" t="s">
        <v>14094</v>
      </c>
      <c r="Q484" s="15">
        <v>8.793845664E9</v>
      </c>
      <c r="R484" s="15">
        <v>8.793845664E9</v>
      </c>
      <c r="S484" s="15">
        <v>9.028572073E9</v>
      </c>
      <c r="T484" s="15" t="s">
        <v>14095</v>
      </c>
      <c r="U484" s="15" t="s">
        <v>14096</v>
      </c>
      <c r="V484" s="15" t="s">
        <v>14097</v>
      </c>
      <c r="W484" s="18"/>
      <c r="X484" s="15">
        <v>97.0</v>
      </c>
      <c r="Y484" s="15" t="s">
        <v>2948</v>
      </c>
      <c r="Z484" s="15">
        <v>9.14</v>
      </c>
      <c r="AA484" s="15">
        <v>9.05</v>
      </c>
      <c r="AB484" s="15">
        <v>9.28</v>
      </c>
      <c r="AC484" s="15">
        <v>8.71</v>
      </c>
      <c r="AD484" s="15" t="s">
        <v>2796</v>
      </c>
      <c r="AE484" s="15" t="s">
        <v>2796</v>
      </c>
      <c r="AF484" s="18"/>
      <c r="AG484" s="18"/>
      <c r="AH484" s="18"/>
      <c r="AI484" s="15">
        <v>90.56</v>
      </c>
      <c r="AJ484" s="15" t="s">
        <v>2787</v>
      </c>
      <c r="AK484" s="15" t="s">
        <v>2787</v>
      </c>
      <c r="AL484" s="15">
        <v>597.5</v>
      </c>
      <c r="AM484" s="15">
        <v>535.0</v>
      </c>
      <c r="AN484" s="15" t="s">
        <v>2797</v>
      </c>
      <c r="AO484" s="18"/>
      <c r="AP484" s="18"/>
      <c r="AQ484" s="15" t="s">
        <v>14098</v>
      </c>
      <c r="AR484" s="15" t="s">
        <v>14099</v>
      </c>
      <c r="AS484" s="18"/>
      <c r="AT484" s="18"/>
      <c r="AU484" s="18"/>
      <c r="AV484" s="15" t="s">
        <v>14100</v>
      </c>
      <c r="AW484" s="15" t="s">
        <v>14101</v>
      </c>
      <c r="AX484" s="18"/>
      <c r="AY484" s="15" t="s">
        <v>14102</v>
      </c>
      <c r="AZ484" s="15" t="s">
        <v>5335</v>
      </c>
      <c r="BA484" s="15" t="s">
        <v>14103</v>
      </c>
      <c r="BB484" s="15" t="s">
        <v>14104</v>
      </c>
      <c r="BC484" s="15" t="s">
        <v>14105</v>
      </c>
      <c r="BD484" s="15" t="s">
        <v>2842</v>
      </c>
      <c r="BE484" s="15" t="s">
        <v>14106</v>
      </c>
      <c r="BF484" s="18"/>
      <c r="BG484" s="18"/>
      <c r="BH484" s="18"/>
      <c r="BI484" s="15" t="s">
        <v>14107</v>
      </c>
      <c r="BJ484" s="15" t="s">
        <v>14108</v>
      </c>
      <c r="BK484" s="19" t="s">
        <v>14109</v>
      </c>
      <c r="BL484" s="19" t="s">
        <v>14110</v>
      </c>
      <c r="BM484" s="19" t="s">
        <v>14111</v>
      </c>
      <c r="BN484" s="19" t="s">
        <v>14112</v>
      </c>
      <c r="BO484" s="19" t="s">
        <v>14113</v>
      </c>
      <c r="BP484" s="19" t="s">
        <v>14114</v>
      </c>
      <c r="BQ484" s="15" t="s">
        <v>1321</v>
      </c>
      <c r="BR484" s="26"/>
      <c r="BS484" s="26"/>
      <c r="BT484" s="26"/>
      <c r="BU484" s="26"/>
      <c r="BV484" s="26"/>
      <c r="BW484" s="15" t="s">
        <v>14115</v>
      </c>
      <c r="BX484" s="26"/>
      <c r="BY484" s="18" t="str">
        <f t="shared" si="107"/>
        <v>MECH</v>
      </c>
      <c r="BZ484" s="24" t="str">
        <f t="shared" si="100"/>
        <v>https://drive.google.com/open?id=1sDE7c-Mh-Um_bPMh3aNfuEvYQINrlgvR</v>
      </c>
      <c r="CA484" s="24" t="str">
        <f t="shared" si="101"/>
        <v>https://drive.google.com/open?id=1NPEgbswVjgy046WbabGNAAet5Vja1O0S</v>
      </c>
      <c r="CB484" s="15" t="s">
        <v>2821</v>
      </c>
      <c r="CC484" s="15" t="s">
        <v>2821</v>
      </c>
      <c r="CD484" s="25" t="s">
        <v>2797</v>
      </c>
      <c r="CE484" s="18"/>
      <c r="CF484" s="18"/>
      <c r="CG484" s="18"/>
    </row>
    <row r="485" ht="18.75" hidden="1" customHeight="1">
      <c r="A485" s="14">
        <v>44736.5331215162</v>
      </c>
      <c r="B485" s="15" t="s">
        <v>1440</v>
      </c>
      <c r="C485" s="16" t="s">
        <v>14116</v>
      </c>
      <c r="D485" s="15" t="str">
        <f>IFERROR(__xludf.DUMMYFUNCTION("QUERY(TY_ALL_2023_Batch!$A$1:$E$824, ""SELECT E WHERE C='""&amp;B485&amp;""'"", 0)"),"MECH")</f>
        <v>MECH</v>
      </c>
      <c r="E485" s="15" t="s">
        <v>4881</v>
      </c>
      <c r="F485" s="15" t="s">
        <v>8483</v>
      </c>
      <c r="G485" s="15" t="s">
        <v>14117</v>
      </c>
      <c r="H485" s="15" t="s">
        <v>2826</v>
      </c>
      <c r="I485" s="17">
        <v>36990.0</v>
      </c>
      <c r="J485" s="15">
        <v>2020.0</v>
      </c>
      <c r="K485" s="15" t="s">
        <v>2941</v>
      </c>
      <c r="L485" s="15" t="s">
        <v>2787</v>
      </c>
      <c r="M485" s="18"/>
      <c r="N485" s="15" t="s">
        <v>14118</v>
      </c>
      <c r="O485" s="15" t="s">
        <v>1440</v>
      </c>
      <c r="P485" s="19" t="s">
        <v>14119</v>
      </c>
      <c r="Q485" s="15">
        <v>9.730725468E9</v>
      </c>
      <c r="R485" s="15">
        <v>9.730725468E9</v>
      </c>
      <c r="S485" s="15">
        <v>7.499382142E9</v>
      </c>
      <c r="T485" s="15" t="s">
        <v>14120</v>
      </c>
      <c r="U485" s="15" t="s">
        <v>14121</v>
      </c>
      <c r="V485" s="15" t="s">
        <v>14122</v>
      </c>
      <c r="W485" s="15" t="s">
        <v>14123</v>
      </c>
      <c r="X485" s="15">
        <v>87.2</v>
      </c>
      <c r="Y485" s="15" t="s">
        <v>2948</v>
      </c>
      <c r="Z485" s="15">
        <v>8.3</v>
      </c>
      <c r="AA485" s="15">
        <v>8.62</v>
      </c>
      <c r="AB485" s="15" t="s">
        <v>2796</v>
      </c>
      <c r="AC485" s="15" t="s">
        <v>2796</v>
      </c>
      <c r="AD485" s="15" t="s">
        <v>2796</v>
      </c>
      <c r="AE485" s="15" t="s">
        <v>2796</v>
      </c>
      <c r="AF485" s="18"/>
      <c r="AG485" s="18"/>
      <c r="AH485" s="18"/>
      <c r="AI485" s="15">
        <v>82.87</v>
      </c>
      <c r="AJ485" s="15" t="s">
        <v>2787</v>
      </c>
      <c r="AK485" s="15" t="s">
        <v>2797</v>
      </c>
      <c r="AL485" s="18"/>
      <c r="AM485" s="18"/>
      <c r="AN485" s="15" t="s">
        <v>2787</v>
      </c>
      <c r="AO485" s="15" t="s">
        <v>2796</v>
      </c>
      <c r="AP485" s="18"/>
      <c r="AQ485" s="15" t="s">
        <v>5604</v>
      </c>
      <c r="AR485" s="15" t="s">
        <v>14124</v>
      </c>
      <c r="AS485" s="18"/>
      <c r="AT485" s="18"/>
      <c r="AU485" s="15" t="s">
        <v>2796</v>
      </c>
      <c r="AV485" s="15" t="s">
        <v>2796</v>
      </c>
      <c r="AW485" s="15" t="s">
        <v>14125</v>
      </c>
      <c r="AX485" s="18"/>
      <c r="AY485" s="15" t="s">
        <v>14126</v>
      </c>
      <c r="AZ485" s="15" t="s">
        <v>9648</v>
      </c>
      <c r="BA485" s="15" t="s">
        <v>4085</v>
      </c>
      <c r="BB485" s="15" t="s">
        <v>2807</v>
      </c>
      <c r="BC485" s="15" t="s">
        <v>13150</v>
      </c>
      <c r="BD485" s="15" t="s">
        <v>2807</v>
      </c>
      <c r="BE485" s="15" t="s">
        <v>2796</v>
      </c>
      <c r="BF485" s="18"/>
      <c r="BG485" s="15" t="s">
        <v>14127</v>
      </c>
      <c r="BH485" s="15" t="s">
        <v>14128</v>
      </c>
      <c r="BI485" s="15" t="s">
        <v>14129</v>
      </c>
      <c r="BJ485" s="19" t="s">
        <v>14130</v>
      </c>
      <c r="BK485" s="19" t="s">
        <v>14131</v>
      </c>
      <c r="BL485" s="18"/>
      <c r="BM485" s="18"/>
      <c r="BN485" s="18"/>
      <c r="BO485" s="19" t="s">
        <v>14132</v>
      </c>
      <c r="BP485" s="18"/>
      <c r="BQ485" s="15" t="s">
        <v>1321</v>
      </c>
      <c r="BR485" s="26"/>
      <c r="BS485" s="26"/>
      <c r="BT485" s="26"/>
      <c r="BU485" s="26"/>
      <c r="BV485" s="26"/>
      <c r="BW485" s="26"/>
      <c r="BX485" s="26"/>
      <c r="BY485" s="18" t="str">
        <f t="shared" si="107"/>
        <v>MECH</v>
      </c>
      <c r="BZ485" s="18" t="str">
        <f t="shared" si="100"/>
        <v/>
      </c>
      <c r="CA485" s="18" t="str">
        <f t="shared" si="101"/>
        <v/>
      </c>
      <c r="CB485" s="15" t="s">
        <v>2908</v>
      </c>
      <c r="CC485" s="15" t="s">
        <v>2908</v>
      </c>
      <c r="CD485" s="25" t="s">
        <v>2797</v>
      </c>
      <c r="CE485" s="18"/>
      <c r="CF485" s="18"/>
      <c r="CG485" s="18"/>
    </row>
    <row r="486" ht="18.75" hidden="1" customHeight="1">
      <c r="A486" s="14">
        <v>44772.35051134259</v>
      </c>
      <c r="B486" s="15" t="s">
        <v>1476</v>
      </c>
      <c r="C486" s="16" t="s">
        <v>14133</v>
      </c>
      <c r="D486" s="15" t="str">
        <f>IFERROR(__xludf.DUMMYFUNCTION("QUERY(TY_ALL_2023_Batch!$A$1:$E$824, ""SELECT E WHERE C='""&amp;B486&amp;""'"", 0)"),"MECH")</f>
        <v>MECH</v>
      </c>
      <c r="E486" s="15" t="s">
        <v>14134</v>
      </c>
      <c r="F486" s="15" t="s">
        <v>6015</v>
      </c>
      <c r="G486" s="15" t="s">
        <v>5325</v>
      </c>
      <c r="H486" s="15" t="s">
        <v>2785</v>
      </c>
      <c r="I486" s="17">
        <v>37221.0</v>
      </c>
      <c r="J486" s="15">
        <v>2020.0</v>
      </c>
      <c r="K486" s="15" t="s">
        <v>2941</v>
      </c>
      <c r="L486" s="15" t="s">
        <v>2787</v>
      </c>
      <c r="M486" s="18"/>
      <c r="N486" s="15" t="s">
        <v>14135</v>
      </c>
      <c r="O486" s="15" t="s">
        <v>1476</v>
      </c>
      <c r="P486" s="19" t="s">
        <v>14136</v>
      </c>
      <c r="Q486" s="15">
        <v>7.218333953E9</v>
      </c>
      <c r="R486" s="15">
        <v>7.218333953E9</v>
      </c>
      <c r="S486" s="15">
        <v>7.218333953E9</v>
      </c>
      <c r="T486" s="15" t="s">
        <v>14137</v>
      </c>
      <c r="U486" s="15" t="s">
        <v>14138</v>
      </c>
      <c r="V486" s="15" t="s">
        <v>14139</v>
      </c>
      <c r="W486" s="15" t="s">
        <v>14140</v>
      </c>
      <c r="X486" s="15">
        <v>88.6</v>
      </c>
      <c r="Y486" s="15" t="s">
        <v>2948</v>
      </c>
      <c r="Z486" s="15">
        <v>9.38</v>
      </c>
      <c r="AA486" s="15">
        <v>9.0</v>
      </c>
      <c r="AB486" s="15">
        <v>8.57</v>
      </c>
      <c r="AC486" s="15">
        <v>9.1</v>
      </c>
      <c r="AD486" s="15" t="s">
        <v>2796</v>
      </c>
      <c r="AE486" s="15" t="s">
        <v>2796</v>
      </c>
      <c r="AF486" s="18"/>
      <c r="AG486" s="18"/>
      <c r="AH486" s="18"/>
      <c r="AI486" s="15">
        <v>92.41</v>
      </c>
      <c r="AJ486" s="15" t="s">
        <v>2787</v>
      </c>
      <c r="AK486" s="15" t="s">
        <v>2787</v>
      </c>
      <c r="AL486" s="15">
        <v>471.66</v>
      </c>
      <c r="AM486" s="15">
        <v>409.16</v>
      </c>
      <c r="AN486" s="15" t="s">
        <v>2797</v>
      </c>
      <c r="AO486" s="18"/>
      <c r="AP486" s="18"/>
      <c r="AQ486" s="15" t="s">
        <v>14141</v>
      </c>
      <c r="AR486" s="18"/>
      <c r="AS486" s="18"/>
      <c r="AT486" s="18"/>
      <c r="AU486" s="18"/>
      <c r="AV486" s="15" t="s">
        <v>14142</v>
      </c>
      <c r="AW486" s="15" t="s">
        <v>14143</v>
      </c>
      <c r="AX486" s="18"/>
      <c r="AY486" s="15" t="s">
        <v>14144</v>
      </c>
      <c r="AZ486" s="15" t="s">
        <v>8440</v>
      </c>
      <c r="BA486" s="15" t="s">
        <v>2839</v>
      </c>
      <c r="BB486" s="15" t="s">
        <v>12859</v>
      </c>
      <c r="BC486" s="15" t="s">
        <v>14145</v>
      </c>
      <c r="BD486" s="15" t="s">
        <v>2842</v>
      </c>
      <c r="BE486" s="15" t="s">
        <v>14146</v>
      </c>
      <c r="BF486" s="18"/>
      <c r="BG486" s="18"/>
      <c r="BH486" s="18"/>
      <c r="BI486" s="15" t="s">
        <v>14147</v>
      </c>
      <c r="BJ486" s="19" t="s">
        <v>14148</v>
      </c>
      <c r="BK486" s="19" t="s">
        <v>14149</v>
      </c>
      <c r="BL486" s="19" t="s">
        <v>14150</v>
      </c>
      <c r="BM486" s="19" t="s">
        <v>14151</v>
      </c>
      <c r="BN486" s="18"/>
      <c r="BO486" s="19" t="s">
        <v>14152</v>
      </c>
      <c r="BP486" s="18"/>
      <c r="BQ486" s="15" t="s">
        <v>1321</v>
      </c>
      <c r="BR486" s="26"/>
      <c r="BS486" s="26"/>
      <c r="BT486" s="26"/>
      <c r="BU486" s="19" t="s">
        <v>14153</v>
      </c>
      <c r="BV486" s="19" t="s">
        <v>14154</v>
      </c>
      <c r="BW486" s="15" t="s">
        <v>3989</v>
      </c>
      <c r="BX486" s="26"/>
      <c r="BY486" s="18" t="str">
        <f t="shared" si="107"/>
        <v>MECH</v>
      </c>
      <c r="BZ486" s="24" t="str">
        <f t="shared" si="100"/>
        <v>https://drive.google.com/open?id=196twUaO4APjEfv07njmulGXBVegwNh4L</v>
      </c>
      <c r="CA486" s="24" t="str">
        <f t="shared" si="101"/>
        <v>https://drive.google.com/open?id=13_e-RB7exioDyMGw_eLcey1yTag3hjTP</v>
      </c>
      <c r="CB486" s="15" t="s">
        <v>2821</v>
      </c>
      <c r="CC486" s="15" t="s">
        <v>2821</v>
      </c>
      <c r="CD486" s="25" t="s">
        <v>2797</v>
      </c>
      <c r="CE486" s="18"/>
      <c r="CF486" s="18"/>
      <c r="CG486" s="18"/>
    </row>
    <row r="487" ht="18.75" hidden="1" customHeight="1">
      <c r="A487" s="14">
        <v>44735.96342083333</v>
      </c>
      <c r="B487" s="15" t="s">
        <v>2403</v>
      </c>
      <c r="C487" s="16" t="s">
        <v>14155</v>
      </c>
      <c r="D487" s="15" t="str">
        <f>IFERROR(__xludf.DUMMYFUNCTION("QUERY(TY_ALL_2023_Batch!$A$1:$E$824, ""SELECT E WHERE C='""&amp;B487&amp;""'"", 0)"),"MECH")</f>
        <v>MECH</v>
      </c>
      <c r="E487" s="15" t="s">
        <v>5378</v>
      </c>
      <c r="F487" s="15" t="s">
        <v>14156</v>
      </c>
      <c r="G487" s="15" t="s">
        <v>7179</v>
      </c>
      <c r="H487" s="15" t="s">
        <v>2785</v>
      </c>
      <c r="I487" s="17">
        <v>36911.0</v>
      </c>
      <c r="J487" s="15">
        <v>2019.0</v>
      </c>
      <c r="K487" s="15" t="s">
        <v>2786</v>
      </c>
      <c r="L487" s="15" t="s">
        <v>2787</v>
      </c>
      <c r="M487" s="18"/>
      <c r="N487" s="15" t="s">
        <v>14157</v>
      </c>
      <c r="O487" s="15" t="s">
        <v>2403</v>
      </c>
      <c r="P487" s="19" t="s">
        <v>14158</v>
      </c>
      <c r="Q487" s="15">
        <v>7.498935732E9</v>
      </c>
      <c r="R487" s="15">
        <v>7.498935732E9</v>
      </c>
      <c r="S487" s="15">
        <v>9.764621006E9</v>
      </c>
      <c r="T487" s="15" t="s">
        <v>14156</v>
      </c>
      <c r="U487" s="15" t="s">
        <v>3409</v>
      </c>
      <c r="V487" s="15" t="s">
        <v>14159</v>
      </c>
      <c r="W487" s="15" t="s">
        <v>14160</v>
      </c>
      <c r="X487" s="15">
        <v>95.4</v>
      </c>
      <c r="Y487" s="15" t="s">
        <v>2795</v>
      </c>
      <c r="Z487" s="15">
        <v>9.48</v>
      </c>
      <c r="AA487" s="15">
        <v>9.86</v>
      </c>
      <c r="AB487" s="15" t="s">
        <v>2796</v>
      </c>
      <c r="AC487" s="15" t="s">
        <v>2796</v>
      </c>
      <c r="AD487" s="15" t="s">
        <v>2796</v>
      </c>
      <c r="AE487" s="15" t="s">
        <v>2796</v>
      </c>
      <c r="AF487" s="15">
        <v>9.76</v>
      </c>
      <c r="AG487" s="15">
        <v>9.11</v>
      </c>
      <c r="AH487" s="15">
        <v>91.38</v>
      </c>
      <c r="AI487" s="18"/>
      <c r="AJ487" s="15" t="s">
        <v>2787</v>
      </c>
      <c r="AK487" s="15" t="s">
        <v>2787</v>
      </c>
      <c r="AL487" s="15">
        <v>618.33</v>
      </c>
      <c r="AM487" s="15">
        <v>700.0</v>
      </c>
      <c r="AN487" s="15" t="s">
        <v>2797</v>
      </c>
      <c r="AO487" s="18"/>
      <c r="AP487" s="18"/>
      <c r="AQ487" s="15" t="s">
        <v>5282</v>
      </c>
      <c r="AR487" s="18"/>
      <c r="AS487" s="15" t="s">
        <v>6143</v>
      </c>
      <c r="AT487" s="18"/>
      <c r="AU487" s="15" t="s">
        <v>14161</v>
      </c>
      <c r="AV487" s="15" t="s">
        <v>14162</v>
      </c>
      <c r="AW487" s="15" t="s">
        <v>14163</v>
      </c>
      <c r="AX487" s="18"/>
      <c r="AY487" s="15" t="s">
        <v>14164</v>
      </c>
      <c r="AZ487" s="15" t="s">
        <v>5335</v>
      </c>
      <c r="BA487" s="15" t="s">
        <v>2899</v>
      </c>
      <c r="BB487" s="15" t="s">
        <v>3462</v>
      </c>
      <c r="BC487" s="15" t="s">
        <v>3132</v>
      </c>
      <c r="BD487" s="15" t="s">
        <v>2807</v>
      </c>
      <c r="BE487" s="15" t="s">
        <v>14165</v>
      </c>
      <c r="BF487" s="18"/>
      <c r="BG487" s="18"/>
      <c r="BH487" s="15" t="s">
        <v>14166</v>
      </c>
      <c r="BI487" s="18"/>
      <c r="BJ487" s="19" t="s">
        <v>14167</v>
      </c>
      <c r="BK487" s="19" t="s">
        <v>14168</v>
      </c>
      <c r="BL487" s="19" t="s">
        <v>14169</v>
      </c>
      <c r="BM487" s="19" t="s">
        <v>14170</v>
      </c>
      <c r="BN487" s="19" t="s">
        <v>14171</v>
      </c>
      <c r="BO487" s="19" t="s">
        <v>14172</v>
      </c>
      <c r="BP487" s="19" t="s">
        <v>14173</v>
      </c>
      <c r="BQ487" s="15" t="s">
        <v>1321</v>
      </c>
      <c r="BR487" s="26"/>
      <c r="BS487" s="26"/>
      <c r="BT487" s="26"/>
      <c r="BU487" s="26"/>
      <c r="BV487" s="26"/>
      <c r="BW487" s="26"/>
      <c r="BX487" s="26"/>
      <c r="BY487" s="18" t="str">
        <f t="shared" si="107"/>
        <v>MECH</v>
      </c>
      <c r="BZ487" s="24" t="str">
        <f t="shared" si="100"/>
        <v>https://drive.google.com/open?id=1oVQsyQ0QGK1LN_F71zsBz4XZWdTYGy_6</v>
      </c>
      <c r="CA487" s="24" t="str">
        <f t="shared" si="101"/>
        <v>https://drive.google.com/open?id=1ahtytP2qnZlGlELKA08SEpfHASNw5aC3</v>
      </c>
      <c r="CB487" s="15" t="s">
        <v>2821</v>
      </c>
      <c r="CC487" s="15" t="s">
        <v>2821</v>
      </c>
      <c r="CD487" s="25" t="s">
        <v>2797</v>
      </c>
      <c r="CE487" s="18"/>
      <c r="CF487" s="18"/>
      <c r="CG487" s="18"/>
    </row>
    <row r="488" ht="18.75" hidden="1" customHeight="1">
      <c r="A488" s="14">
        <v>44735.893463043976</v>
      </c>
      <c r="B488" s="15" t="s">
        <v>2553</v>
      </c>
      <c r="C488" s="16" t="s">
        <v>14174</v>
      </c>
      <c r="D488" s="15" t="str">
        <f>IFERROR(__xludf.DUMMYFUNCTION("QUERY(TY_ALL_2023_Batch!$A$1:$E$824, ""SELECT E WHERE C='""&amp;B488&amp;""'"", 0)"),"MECH")</f>
        <v>MECH</v>
      </c>
      <c r="E488" s="15" t="s">
        <v>14175</v>
      </c>
      <c r="F488" s="15" t="s">
        <v>14176</v>
      </c>
      <c r="G488" s="15" t="s">
        <v>14177</v>
      </c>
      <c r="H488" s="15" t="s">
        <v>2785</v>
      </c>
      <c r="I488" s="17">
        <v>37012.0</v>
      </c>
      <c r="J488" s="15">
        <v>2019.0</v>
      </c>
      <c r="K488" s="15" t="s">
        <v>2786</v>
      </c>
      <c r="L488" s="15" t="s">
        <v>2787</v>
      </c>
      <c r="M488" s="18"/>
      <c r="N488" s="15" t="s">
        <v>14178</v>
      </c>
      <c r="O488" s="15" t="s">
        <v>14179</v>
      </c>
      <c r="P488" s="19" t="s">
        <v>14180</v>
      </c>
      <c r="Q488" s="15">
        <v>9.307502792E9</v>
      </c>
      <c r="R488" s="15">
        <v>9.307502792E9</v>
      </c>
      <c r="S488" s="15">
        <v>9.673454458E9</v>
      </c>
      <c r="T488" s="15" t="s">
        <v>14181</v>
      </c>
      <c r="U488" s="15" t="s">
        <v>14182</v>
      </c>
      <c r="V488" s="15" t="s">
        <v>14183</v>
      </c>
      <c r="W488" s="15" t="s">
        <v>14184</v>
      </c>
      <c r="X488" s="15">
        <v>83.8</v>
      </c>
      <c r="Y488" s="15" t="s">
        <v>2795</v>
      </c>
      <c r="Z488" s="15">
        <v>7.0</v>
      </c>
      <c r="AA488" s="15">
        <v>7.81</v>
      </c>
      <c r="AB488" s="15" t="s">
        <v>2796</v>
      </c>
      <c r="AC488" s="15" t="s">
        <v>2796</v>
      </c>
      <c r="AD488" s="15" t="s">
        <v>2796</v>
      </c>
      <c r="AE488" s="15" t="s">
        <v>2796</v>
      </c>
      <c r="AF488" s="15">
        <v>6.37</v>
      </c>
      <c r="AG488" s="15">
        <v>7.95</v>
      </c>
      <c r="AH488" s="15">
        <v>68.0</v>
      </c>
      <c r="AI488" s="18"/>
      <c r="AJ488" s="15" t="s">
        <v>2787</v>
      </c>
      <c r="AK488" s="15" t="s">
        <v>2787</v>
      </c>
      <c r="AL488" s="15">
        <v>674.0</v>
      </c>
      <c r="AM488" s="15">
        <v>653.0</v>
      </c>
      <c r="AN488" s="15" t="s">
        <v>2797</v>
      </c>
      <c r="AO488" s="18"/>
      <c r="AP488" s="18"/>
      <c r="AQ488" s="15" t="s">
        <v>14185</v>
      </c>
      <c r="AR488" s="15" t="s">
        <v>14186</v>
      </c>
      <c r="AS488" s="15" t="s">
        <v>14187</v>
      </c>
      <c r="AT488" s="18"/>
      <c r="AU488" s="15" t="s">
        <v>14188</v>
      </c>
      <c r="AV488" s="15" t="s">
        <v>14189</v>
      </c>
      <c r="AW488" s="15" t="s">
        <v>14190</v>
      </c>
      <c r="AX488" s="15" t="s">
        <v>14191</v>
      </c>
      <c r="AY488" s="15" t="s">
        <v>14192</v>
      </c>
      <c r="AZ488" s="15" t="s">
        <v>8440</v>
      </c>
      <c r="BA488" s="15" t="s">
        <v>2839</v>
      </c>
      <c r="BB488" s="15" t="s">
        <v>12859</v>
      </c>
      <c r="BC488" s="15" t="s">
        <v>13150</v>
      </c>
      <c r="BD488" s="15" t="s">
        <v>2807</v>
      </c>
      <c r="BE488" s="15" t="s">
        <v>2957</v>
      </c>
      <c r="BF488" s="18"/>
      <c r="BG488" s="18"/>
      <c r="BH488" s="15" t="s">
        <v>14193</v>
      </c>
      <c r="BI488" s="18"/>
      <c r="BJ488" s="19" t="s">
        <v>14194</v>
      </c>
      <c r="BK488" s="19" t="s">
        <v>14195</v>
      </c>
      <c r="BL488" s="18"/>
      <c r="BM488" s="19" t="s">
        <v>14196</v>
      </c>
      <c r="BN488" s="19" t="s">
        <v>14197</v>
      </c>
      <c r="BO488" s="19" t="s">
        <v>14198</v>
      </c>
      <c r="BP488" s="19" t="s">
        <v>14199</v>
      </c>
      <c r="BQ488" s="15" t="s">
        <v>1321</v>
      </c>
      <c r="BR488" s="26"/>
      <c r="BS488" s="26"/>
      <c r="BT488" s="26"/>
      <c r="BU488" s="26"/>
      <c r="BV488" s="26"/>
      <c r="BW488" s="26"/>
      <c r="BX488" s="26"/>
      <c r="BY488" s="18" t="str">
        <f t="shared" si="107"/>
        <v>MECH</v>
      </c>
      <c r="BZ488" s="18" t="str">
        <f t="shared" si="100"/>
        <v/>
      </c>
      <c r="CA488" s="24" t="str">
        <f t="shared" si="101"/>
        <v>https://drive.google.com/open?id=12lfvvA3QhZpjQ9ndIHGP4p2rSyamPgNf</v>
      </c>
      <c r="CB488" s="15" t="s">
        <v>2908</v>
      </c>
      <c r="CC488" s="15" t="s">
        <v>2821</v>
      </c>
      <c r="CD488" s="25" t="s">
        <v>2797</v>
      </c>
      <c r="CE488" s="18"/>
      <c r="CF488" s="18"/>
      <c r="CG488" s="18"/>
    </row>
    <row r="489" ht="18.75" hidden="1" customHeight="1">
      <c r="A489" s="14">
        <v>44742.89015427083</v>
      </c>
      <c r="B489" s="15" t="s">
        <v>1482</v>
      </c>
      <c r="C489" s="15">
        <v>2.20200055E8</v>
      </c>
      <c r="D489" s="15" t="str">
        <f>IFERROR(__xludf.DUMMYFUNCTION("QUERY(TY_ALL_2023_Batch!$A$1:$E$824, ""SELECT E WHERE C='""&amp;B489&amp;""'"", 0)"),"MECH")</f>
        <v>MECH</v>
      </c>
      <c r="E489" s="15" t="s">
        <v>14200</v>
      </c>
      <c r="F489" s="15" t="s">
        <v>6349</v>
      </c>
      <c r="G489" s="15" t="s">
        <v>3852</v>
      </c>
      <c r="H489" s="15" t="s">
        <v>2826</v>
      </c>
      <c r="I489" s="17">
        <v>35708.0</v>
      </c>
      <c r="J489" s="15">
        <v>2020.0</v>
      </c>
      <c r="K489" s="15" t="s">
        <v>2941</v>
      </c>
      <c r="L489" s="15" t="s">
        <v>2787</v>
      </c>
      <c r="M489" s="18"/>
      <c r="N489" s="15" t="s">
        <v>14201</v>
      </c>
      <c r="O489" s="15" t="s">
        <v>1482</v>
      </c>
      <c r="P489" s="19" t="s">
        <v>14202</v>
      </c>
      <c r="Q489" s="15">
        <v>9.130329068E9</v>
      </c>
      <c r="R489" s="15">
        <v>9.130329068E9</v>
      </c>
      <c r="S489" s="15">
        <v>8.308700929E9</v>
      </c>
      <c r="T489" s="15" t="s">
        <v>14203</v>
      </c>
      <c r="U489" s="15" t="s">
        <v>14204</v>
      </c>
      <c r="V489" s="15" t="s">
        <v>14205</v>
      </c>
      <c r="W489" s="15" t="s">
        <v>14206</v>
      </c>
      <c r="X489" s="15">
        <v>89.82</v>
      </c>
      <c r="Y489" s="15" t="s">
        <v>2948</v>
      </c>
      <c r="Z489" s="15">
        <v>8.29</v>
      </c>
      <c r="AA489" s="15">
        <v>8.65</v>
      </c>
      <c r="AB489" s="15" t="s">
        <v>2796</v>
      </c>
      <c r="AC489" s="15" t="s">
        <v>2796</v>
      </c>
      <c r="AD489" s="15" t="s">
        <v>2796</v>
      </c>
      <c r="AE489" s="15" t="s">
        <v>2796</v>
      </c>
      <c r="AF489" s="18"/>
      <c r="AG489" s="18"/>
      <c r="AH489" s="18"/>
      <c r="AI489" s="15">
        <v>92.31</v>
      </c>
      <c r="AJ489" s="15" t="s">
        <v>2787</v>
      </c>
      <c r="AK489" s="15" t="s">
        <v>2787</v>
      </c>
      <c r="AL489" s="18"/>
      <c r="AM489" s="15">
        <v>505.0</v>
      </c>
      <c r="AN489" s="15" t="s">
        <v>2797</v>
      </c>
      <c r="AO489" s="15" t="s">
        <v>2796</v>
      </c>
      <c r="AP489" s="15" t="s">
        <v>2796</v>
      </c>
      <c r="AQ489" s="19" t="s">
        <v>14207</v>
      </c>
      <c r="AR489" s="15" t="s">
        <v>3313</v>
      </c>
      <c r="AS489" s="15"/>
      <c r="AT489" s="15" t="s">
        <v>3313</v>
      </c>
      <c r="AU489" s="15" t="s">
        <v>3313</v>
      </c>
      <c r="AV489" s="15" t="s">
        <v>14208</v>
      </c>
      <c r="AW489" s="15" t="s">
        <v>14209</v>
      </c>
      <c r="AX489" s="15" t="s">
        <v>14210</v>
      </c>
      <c r="AY489" s="15" t="s">
        <v>14211</v>
      </c>
      <c r="AZ489" s="15" t="s">
        <v>8440</v>
      </c>
      <c r="BA489" s="15" t="s">
        <v>2839</v>
      </c>
      <c r="BB489" s="15" t="s">
        <v>3109</v>
      </c>
      <c r="BC489" s="15" t="s">
        <v>13013</v>
      </c>
      <c r="BD489" s="15" t="s">
        <v>2807</v>
      </c>
      <c r="BE489" s="15" t="s">
        <v>14212</v>
      </c>
      <c r="BF489" s="18"/>
      <c r="BG489" s="18"/>
      <c r="BH489" s="15" t="s">
        <v>14213</v>
      </c>
      <c r="BI489" s="15" t="s">
        <v>14214</v>
      </c>
      <c r="BJ489" s="19" t="s">
        <v>14215</v>
      </c>
      <c r="BK489" s="19" t="s">
        <v>14216</v>
      </c>
      <c r="BL489" s="18"/>
      <c r="BM489" s="18"/>
      <c r="BN489" s="19" t="s">
        <v>14217</v>
      </c>
      <c r="BO489" s="19" t="s">
        <v>14218</v>
      </c>
      <c r="BP489" s="19" t="s">
        <v>14219</v>
      </c>
      <c r="BQ489" s="15" t="s">
        <v>1321</v>
      </c>
      <c r="BR489" s="19" t="s">
        <v>14220</v>
      </c>
      <c r="BS489" s="19" t="s">
        <v>14221</v>
      </c>
      <c r="BT489" s="19" t="s">
        <v>14222</v>
      </c>
      <c r="BU489" s="26"/>
      <c r="BV489" s="19" t="s">
        <v>14223</v>
      </c>
      <c r="BW489" s="15" t="s">
        <v>14224</v>
      </c>
      <c r="BX489" s="26"/>
      <c r="BY489" s="18" t="str">
        <f t="shared" si="107"/>
        <v>MECH</v>
      </c>
      <c r="BZ489" s="18" t="str">
        <f t="shared" si="100"/>
        <v/>
      </c>
      <c r="CA489" s="24" t="str">
        <f t="shared" si="101"/>
        <v>https://drive.google.com/open?id=1eY2aTx8o2PcpVmdVXgt1KSXmdv8-PdwW</v>
      </c>
      <c r="CB489" s="15" t="s">
        <v>2908</v>
      </c>
      <c r="CC489" s="15" t="s">
        <v>2908</v>
      </c>
      <c r="CD489" s="25" t="s">
        <v>2909</v>
      </c>
      <c r="CE489" s="18"/>
      <c r="CF489" s="18"/>
      <c r="CG489" s="18"/>
    </row>
    <row r="490" ht="18.75" hidden="1" customHeight="1">
      <c r="A490" s="14">
        <v>44742.954239618055</v>
      </c>
      <c r="B490" s="15" t="s">
        <v>1575</v>
      </c>
      <c r="C490" s="16" t="s">
        <v>14225</v>
      </c>
      <c r="D490" s="15" t="str">
        <f>IFERROR(__xludf.DUMMYFUNCTION("QUERY(TY_ALL_2023_Batch!$A$1:$E$824, ""SELECT E WHERE C='""&amp;B490&amp;""'"", 0)"),"MECH")</f>
        <v>MECH</v>
      </c>
      <c r="E490" s="15" t="s">
        <v>3449</v>
      </c>
      <c r="F490" s="15" t="s">
        <v>3193</v>
      </c>
      <c r="G490" s="15" t="s">
        <v>14226</v>
      </c>
      <c r="H490" s="15" t="s">
        <v>2785</v>
      </c>
      <c r="I490" s="17">
        <v>37239.0</v>
      </c>
      <c r="J490" s="15">
        <v>2020.0</v>
      </c>
      <c r="K490" s="15" t="s">
        <v>2941</v>
      </c>
      <c r="L490" s="15" t="s">
        <v>2787</v>
      </c>
      <c r="M490" s="18"/>
      <c r="N490" s="15" t="s">
        <v>14227</v>
      </c>
      <c r="O490" s="15" t="s">
        <v>1575</v>
      </c>
      <c r="P490" s="19" t="s">
        <v>14228</v>
      </c>
      <c r="Q490" s="15">
        <v>8.484832727E9</v>
      </c>
      <c r="R490" s="15">
        <v>8.484832727E9</v>
      </c>
      <c r="S490" s="15">
        <v>7.387822777E9</v>
      </c>
      <c r="T490" s="15" t="s">
        <v>3193</v>
      </c>
      <c r="U490" s="15" t="s">
        <v>12385</v>
      </c>
      <c r="V490" s="15" t="s">
        <v>14229</v>
      </c>
      <c r="W490" s="18"/>
      <c r="X490" s="15">
        <v>83.8</v>
      </c>
      <c r="Y490" s="15" t="s">
        <v>2948</v>
      </c>
      <c r="Z490" s="15">
        <v>9.19</v>
      </c>
      <c r="AA490" s="15">
        <v>8.43</v>
      </c>
      <c r="AB490" s="15" t="s">
        <v>2796</v>
      </c>
      <c r="AC490" s="15" t="s">
        <v>2796</v>
      </c>
      <c r="AD490" s="15" t="s">
        <v>2796</v>
      </c>
      <c r="AE490" s="15" t="s">
        <v>2796</v>
      </c>
      <c r="AF490" s="18"/>
      <c r="AG490" s="18"/>
      <c r="AH490" s="18"/>
      <c r="AI490" s="15">
        <v>93.74</v>
      </c>
      <c r="AJ490" s="15" t="s">
        <v>2787</v>
      </c>
      <c r="AK490" s="15" t="s">
        <v>2787</v>
      </c>
      <c r="AL490" s="15">
        <v>507.0</v>
      </c>
      <c r="AM490" s="15">
        <v>510.0</v>
      </c>
      <c r="AN490" s="15" t="s">
        <v>2797</v>
      </c>
      <c r="AO490" s="15" t="s">
        <v>2796</v>
      </c>
      <c r="AP490" s="15" t="s">
        <v>2796</v>
      </c>
      <c r="AQ490" s="15" t="s">
        <v>14230</v>
      </c>
      <c r="AR490" s="18"/>
      <c r="AS490" s="18"/>
      <c r="AT490" s="18"/>
      <c r="AU490" s="18"/>
      <c r="AV490" s="18"/>
      <c r="AW490" s="15" t="s">
        <v>14231</v>
      </c>
      <c r="AX490" s="18"/>
      <c r="AY490" s="15" t="s">
        <v>14232</v>
      </c>
      <c r="AZ490" s="15" t="s">
        <v>4377</v>
      </c>
      <c r="BA490" s="15" t="s">
        <v>8546</v>
      </c>
      <c r="BB490" s="15" t="s">
        <v>2807</v>
      </c>
      <c r="BC490" s="15" t="s">
        <v>13013</v>
      </c>
      <c r="BD490" s="15" t="s">
        <v>2807</v>
      </c>
      <c r="BE490" s="15" t="s">
        <v>14233</v>
      </c>
      <c r="BF490" s="15" t="s">
        <v>14234</v>
      </c>
      <c r="BG490" s="15" t="s">
        <v>14235</v>
      </c>
      <c r="BH490" s="15" t="s">
        <v>14236</v>
      </c>
      <c r="BI490" s="15" t="s">
        <v>14237</v>
      </c>
      <c r="BJ490" s="19" t="s">
        <v>14238</v>
      </c>
      <c r="BK490" s="19" t="s">
        <v>14239</v>
      </c>
      <c r="BL490" s="19" t="s">
        <v>14240</v>
      </c>
      <c r="BM490" s="19" t="s">
        <v>14241</v>
      </c>
      <c r="BN490" s="19" t="s">
        <v>14242</v>
      </c>
      <c r="BO490" s="19" t="s">
        <v>14243</v>
      </c>
      <c r="BP490" s="19" t="s">
        <v>14244</v>
      </c>
      <c r="BQ490" s="15" t="s">
        <v>1321</v>
      </c>
      <c r="BR490" s="26"/>
      <c r="BS490" s="26"/>
      <c r="BT490" s="26"/>
      <c r="BU490" s="26"/>
      <c r="BV490" s="26"/>
      <c r="BW490" s="15" t="s">
        <v>3005</v>
      </c>
      <c r="BX490" s="26"/>
      <c r="BY490" s="18" t="str">
        <f t="shared" si="107"/>
        <v>MECH</v>
      </c>
      <c r="BZ490" s="24" t="str">
        <f t="shared" si="100"/>
        <v>https://drive.google.com/open?id=1wrvHjnDzgmChf8xX8Dpo1Z4CM7TU8JiW</v>
      </c>
      <c r="CA490" s="24" t="str">
        <f t="shared" si="101"/>
        <v>https://drive.google.com/open?id=189S2nG-L2K4dViEkEZM1hWArNln_khyJ</v>
      </c>
      <c r="CB490" s="15" t="s">
        <v>2821</v>
      </c>
      <c r="CC490" s="15" t="s">
        <v>2821</v>
      </c>
      <c r="CD490" s="25" t="s">
        <v>2797</v>
      </c>
      <c r="CE490" s="18"/>
      <c r="CF490" s="18"/>
      <c r="CG490" s="18"/>
    </row>
    <row r="491" ht="18.75" hidden="1" customHeight="1">
      <c r="A491" s="14">
        <v>44736.85505100695</v>
      </c>
      <c r="B491" s="15" t="s">
        <v>2430</v>
      </c>
      <c r="C491" s="16" t="s">
        <v>14245</v>
      </c>
      <c r="D491" s="15" t="str">
        <f>IFERROR(__xludf.DUMMYFUNCTION("QUERY(TY_ALL_2023_Batch!$A$1:$E$824, ""SELECT E WHERE C='""&amp;B491&amp;""'"", 0)"),"MECH")</f>
        <v>MECH</v>
      </c>
      <c r="E491" s="15" t="s">
        <v>9632</v>
      </c>
      <c r="F491" s="15" t="s">
        <v>3098</v>
      </c>
      <c r="G491" s="15" t="s">
        <v>14246</v>
      </c>
      <c r="H491" s="15" t="s">
        <v>2785</v>
      </c>
      <c r="I491" s="17">
        <v>37147.0</v>
      </c>
      <c r="J491" s="15">
        <v>2019.0</v>
      </c>
      <c r="K491" s="15" t="s">
        <v>2786</v>
      </c>
      <c r="L491" s="15" t="s">
        <v>2787</v>
      </c>
      <c r="M491" s="18"/>
      <c r="N491" s="15" t="s">
        <v>14247</v>
      </c>
      <c r="O491" s="15" t="s">
        <v>2430</v>
      </c>
      <c r="P491" s="19" t="s">
        <v>14248</v>
      </c>
      <c r="Q491" s="15">
        <v>9.763171611E9</v>
      </c>
      <c r="R491" s="15">
        <v>9.763171611E9</v>
      </c>
      <c r="S491" s="15">
        <v>8.600401694E9</v>
      </c>
      <c r="T491" s="15" t="s">
        <v>3098</v>
      </c>
      <c r="U491" s="15" t="s">
        <v>4299</v>
      </c>
      <c r="V491" s="15" t="s">
        <v>14249</v>
      </c>
      <c r="W491" s="15" t="s">
        <v>14250</v>
      </c>
      <c r="X491" s="15">
        <v>92.0</v>
      </c>
      <c r="Y491" s="15" t="s">
        <v>2795</v>
      </c>
      <c r="Z491" s="15">
        <v>8.33</v>
      </c>
      <c r="AA491" s="15">
        <v>8.11</v>
      </c>
      <c r="AB491" s="15">
        <v>7.83</v>
      </c>
      <c r="AC491" s="15" t="s">
        <v>2796</v>
      </c>
      <c r="AD491" s="15" t="s">
        <v>2796</v>
      </c>
      <c r="AE491" s="15" t="s">
        <v>2796</v>
      </c>
      <c r="AF491" s="15">
        <v>8.67</v>
      </c>
      <c r="AG491" s="15">
        <v>8.39</v>
      </c>
      <c r="AH491" s="15">
        <v>78.62</v>
      </c>
      <c r="AI491" s="18"/>
      <c r="AJ491" s="15" t="s">
        <v>2797</v>
      </c>
      <c r="AK491" s="15" t="s">
        <v>2787</v>
      </c>
      <c r="AL491" s="15" t="s">
        <v>2796</v>
      </c>
      <c r="AM491" s="15">
        <v>608.0</v>
      </c>
      <c r="AN491" s="15" t="s">
        <v>2797</v>
      </c>
      <c r="AO491" s="15" t="s">
        <v>2796</v>
      </c>
      <c r="AP491" s="15" t="s">
        <v>2796</v>
      </c>
      <c r="AQ491" s="15" t="s">
        <v>2796</v>
      </c>
      <c r="AR491" s="15" t="s">
        <v>2796</v>
      </c>
      <c r="AS491" s="15" t="s">
        <v>14251</v>
      </c>
      <c r="AT491" s="15" t="s">
        <v>2796</v>
      </c>
      <c r="AU491" s="15" t="s">
        <v>14252</v>
      </c>
      <c r="AV491" s="15" t="s">
        <v>14253</v>
      </c>
      <c r="AW491" s="15" t="s">
        <v>14254</v>
      </c>
      <c r="AX491" s="15" t="s">
        <v>2796</v>
      </c>
      <c r="AY491" s="15" t="s">
        <v>2796</v>
      </c>
      <c r="AZ491" s="15" t="s">
        <v>3960</v>
      </c>
      <c r="BA491" s="15" t="s">
        <v>10292</v>
      </c>
      <c r="BB491" s="15" t="s">
        <v>2807</v>
      </c>
      <c r="BC491" s="15" t="s">
        <v>13107</v>
      </c>
      <c r="BD491" s="15" t="s">
        <v>2842</v>
      </c>
      <c r="BE491" s="15" t="s">
        <v>2796</v>
      </c>
      <c r="BF491" s="15" t="s">
        <v>2796</v>
      </c>
      <c r="BG491" s="15" t="s">
        <v>2796</v>
      </c>
      <c r="BH491" s="15" t="s">
        <v>2796</v>
      </c>
      <c r="BI491" s="15" t="s">
        <v>14255</v>
      </c>
      <c r="BJ491" s="19" t="s">
        <v>14256</v>
      </c>
      <c r="BK491" s="19" t="s">
        <v>14257</v>
      </c>
      <c r="BL491" s="18"/>
      <c r="BM491" s="20" t="s">
        <v>14258</v>
      </c>
      <c r="BN491" s="18"/>
      <c r="BO491" s="19" t="s">
        <v>14259</v>
      </c>
      <c r="BP491" s="18"/>
      <c r="BQ491" s="15" t="s">
        <v>1321</v>
      </c>
      <c r="BR491" s="18"/>
      <c r="BS491" s="18"/>
      <c r="BT491" s="18"/>
      <c r="BU491" s="18"/>
      <c r="BV491" s="18"/>
      <c r="BW491" s="15" t="s">
        <v>14260</v>
      </c>
      <c r="BX491" s="18"/>
      <c r="BY491" s="18" t="str">
        <f t="shared" si="107"/>
        <v>MECH</v>
      </c>
      <c r="BZ491" s="18" t="str">
        <f t="shared" si="100"/>
        <v/>
      </c>
      <c r="CA491" s="24" t="str">
        <f t="shared" si="101"/>
        <v>https://drive.google.com/open?id=1E9L2eDqbmZLcaPWPnR9K7rLA0NhwYc1r</v>
      </c>
      <c r="CB491" s="15" t="s">
        <v>2908</v>
      </c>
      <c r="CC491" s="15" t="s">
        <v>2821</v>
      </c>
      <c r="CD491" s="25" t="s">
        <v>2797</v>
      </c>
      <c r="CE491" s="18"/>
      <c r="CF491" s="18"/>
      <c r="CG491" s="18"/>
    </row>
    <row r="492" ht="18.75" hidden="1" customHeight="1">
      <c r="A492" s="14">
        <v>44742.95195436342</v>
      </c>
      <c r="B492" s="15" t="s">
        <v>2496</v>
      </c>
      <c r="C492" s="16" t="s">
        <v>14261</v>
      </c>
      <c r="D492" s="15" t="str">
        <f>IFERROR(__xludf.DUMMYFUNCTION("QUERY(TY_ALL_2023_Batch!$A$1:$E$824, ""SELECT E WHERE C='""&amp;B492&amp;""'"", 0)"),"MECH")</f>
        <v>MECH</v>
      </c>
      <c r="E492" s="15" t="s">
        <v>14262</v>
      </c>
      <c r="F492" s="15" t="s">
        <v>8952</v>
      </c>
      <c r="G492" s="15" t="s">
        <v>14263</v>
      </c>
      <c r="H492" s="15" t="s">
        <v>2785</v>
      </c>
      <c r="I492" s="17">
        <v>37021.0</v>
      </c>
      <c r="J492" s="15">
        <v>2019.0</v>
      </c>
      <c r="K492" s="15" t="s">
        <v>2786</v>
      </c>
      <c r="L492" s="15" t="s">
        <v>2787</v>
      </c>
      <c r="M492" s="18"/>
      <c r="N492" s="15" t="s">
        <v>14264</v>
      </c>
      <c r="O492" s="15" t="s">
        <v>2496</v>
      </c>
      <c r="P492" s="19" t="s">
        <v>14265</v>
      </c>
      <c r="Q492" s="15">
        <v>8.080099436E9</v>
      </c>
      <c r="R492" s="15">
        <v>8.080099436E9</v>
      </c>
      <c r="S492" s="15">
        <v>8.308457815E9</v>
      </c>
      <c r="T492" s="15" t="s">
        <v>8952</v>
      </c>
      <c r="U492" s="15" t="s">
        <v>3677</v>
      </c>
      <c r="V492" s="15" t="s">
        <v>14266</v>
      </c>
      <c r="W492" s="15" t="s">
        <v>14267</v>
      </c>
      <c r="X492" s="15">
        <v>84.8</v>
      </c>
      <c r="Y492" s="15" t="s">
        <v>2795</v>
      </c>
      <c r="Z492" s="15">
        <v>8.81</v>
      </c>
      <c r="AA492" s="15">
        <v>8.67</v>
      </c>
      <c r="AB492" s="15" t="s">
        <v>2796</v>
      </c>
      <c r="AC492" s="15" t="s">
        <v>2796</v>
      </c>
      <c r="AD492" s="15" t="s">
        <v>2796</v>
      </c>
      <c r="AE492" s="15" t="s">
        <v>2796</v>
      </c>
      <c r="AF492" s="15">
        <v>8.32</v>
      </c>
      <c r="AG492" s="15">
        <v>8.52</v>
      </c>
      <c r="AH492" s="15">
        <v>73.23</v>
      </c>
      <c r="AI492" s="18"/>
      <c r="AJ492" s="15" t="s">
        <v>2787</v>
      </c>
      <c r="AK492" s="15" t="s">
        <v>2787</v>
      </c>
      <c r="AL492" s="15">
        <v>625.0</v>
      </c>
      <c r="AM492" s="15">
        <v>630.0</v>
      </c>
      <c r="AN492" s="15" t="s">
        <v>2797</v>
      </c>
      <c r="AO492" s="18"/>
      <c r="AP492" s="18"/>
      <c r="AQ492" s="15" t="s">
        <v>14268</v>
      </c>
      <c r="AR492" s="18"/>
      <c r="AS492" s="18"/>
      <c r="AT492" s="18"/>
      <c r="AU492" s="18"/>
      <c r="AV492" s="18"/>
      <c r="AW492" s="15" t="s">
        <v>14269</v>
      </c>
      <c r="AX492" s="18"/>
      <c r="AY492" s="15" t="s">
        <v>14270</v>
      </c>
      <c r="AZ492" s="15" t="s">
        <v>3960</v>
      </c>
      <c r="BA492" s="15" t="s">
        <v>2806</v>
      </c>
      <c r="BB492" s="15" t="s">
        <v>3462</v>
      </c>
      <c r="BC492" s="15" t="s">
        <v>14271</v>
      </c>
      <c r="BD492" s="15" t="s">
        <v>2807</v>
      </c>
      <c r="BE492" s="15" t="s">
        <v>2796</v>
      </c>
      <c r="BF492" s="18"/>
      <c r="BG492" s="18"/>
      <c r="BH492" s="18"/>
      <c r="BI492" s="15" t="s">
        <v>14272</v>
      </c>
      <c r="BJ492" s="19" t="s">
        <v>14273</v>
      </c>
      <c r="BK492" s="19" t="s">
        <v>14274</v>
      </c>
      <c r="BL492" s="19" t="s">
        <v>14275</v>
      </c>
      <c r="BM492" s="19" t="s">
        <v>14276</v>
      </c>
      <c r="BN492" s="19" t="s">
        <v>14277</v>
      </c>
      <c r="BO492" s="19" t="s">
        <v>14278</v>
      </c>
      <c r="BP492" s="18"/>
      <c r="BQ492" s="15" t="s">
        <v>1321</v>
      </c>
      <c r="BR492" s="26"/>
      <c r="BS492" s="26"/>
      <c r="BT492" s="19" t="s">
        <v>14279</v>
      </c>
      <c r="BU492" s="26"/>
      <c r="BV492" s="26"/>
      <c r="BW492" s="15" t="s">
        <v>14280</v>
      </c>
      <c r="BX492" s="26"/>
      <c r="BY492" s="18" t="str">
        <f t="shared" si="107"/>
        <v>MECH</v>
      </c>
      <c r="BZ492" s="24" t="str">
        <f t="shared" si="100"/>
        <v>https://drive.google.com/open?id=1OfTblWiGzybjYYT7g6_NbxlfMsJK_B_k</v>
      </c>
      <c r="CA492" s="24" t="str">
        <f t="shared" si="101"/>
        <v>https://drive.google.com/open?id=14W5WqoY5-7vqRUoDLe0vfcowff4mV7su</v>
      </c>
      <c r="CB492" s="15" t="s">
        <v>2821</v>
      </c>
      <c r="CC492" s="15" t="s">
        <v>2821</v>
      </c>
      <c r="CD492" s="25" t="s">
        <v>2909</v>
      </c>
      <c r="CE492" s="18"/>
      <c r="CF492" s="18"/>
      <c r="CG492" s="18"/>
    </row>
    <row r="493" ht="18.75" hidden="1" customHeight="1">
      <c r="A493" s="14">
        <v>44736.80409189815</v>
      </c>
      <c r="B493" s="15" t="s">
        <v>2409</v>
      </c>
      <c r="C493" s="16" t="s">
        <v>14281</v>
      </c>
      <c r="D493" s="15" t="str">
        <f>IFERROR(__xludf.DUMMYFUNCTION("QUERY(TY_ALL_2023_Batch!$A$1:$E$824, ""SELECT E WHERE C='""&amp;B493&amp;""'"", 0)"),"MECH")</f>
        <v>MECH</v>
      </c>
      <c r="E493" s="15" t="s">
        <v>6294</v>
      </c>
      <c r="F493" s="15" t="s">
        <v>14282</v>
      </c>
      <c r="G493" s="15" t="s">
        <v>6743</v>
      </c>
      <c r="H493" s="15" t="s">
        <v>2785</v>
      </c>
      <c r="I493" s="17">
        <v>37322.0</v>
      </c>
      <c r="J493" s="15">
        <v>2019.0</v>
      </c>
      <c r="K493" s="15" t="s">
        <v>2786</v>
      </c>
      <c r="L493" s="15" t="s">
        <v>2787</v>
      </c>
      <c r="M493" s="18"/>
      <c r="N493" s="15" t="s">
        <v>14283</v>
      </c>
      <c r="O493" s="15" t="s">
        <v>2409</v>
      </c>
      <c r="P493" s="19" t="s">
        <v>14284</v>
      </c>
      <c r="Q493" s="15">
        <v>8.208914453E9</v>
      </c>
      <c r="R493" s="15">
        <v>8.27586156E9</v>
      </c>
      <c r="S493" s="18"/>
      <c r="T493" s="15" t="s">
        <v>14285</v>
      </c>
      <c r="U493" s="15" t="s">
        <v>14286</v>
      </c>
      <c r="V493" s="15" t="s">
        <v>14287</v>
      </c>
      <c r="W493" s="15" t="s">
        <v>14288</v>
      </c>
      <c r="X493" s="15">
        <v>87.8</v>
      </c>
      <c r="Y493" s="15" t="s">
        <v>2795</v>
      </c>
      <c r="Z493" s="15">
        <v>9.71</v>
      </c>
      <c r="AA493" s="15">
        <v>9.24</v>
      </c>
      <c r="AB493" s="15" t="s">
        <v>2796</v>
      </c>
      <c r="AC493" s="15" t="s">
        <v>2796</v>
      </c>
      <c r="AD493" s="15" t="s">
        <v>2796</v>
      </c>
      <c r="AE493" s="15" t="s">
        <v>2796</v>
      </c>
      <c r="AF493" s="15">
        <v>8.11</v>
      </c>
      <c r="AG493" s="15">
        <v>9.29</v>
      </c>
      <c r="AH493" s="15">
        <v>67.08</v>
      </c>
      <c r="AI493" s="18"/>
      <c r="AJ493" s="15" t="s">
        <v>2787</v>
      </c>
      <c r="AK493" s="15" t="s">
        <v>2787</v>
      </c>
      <c r="AL493" s="15">
        <v>1645.0</v>
      </c>
      <c r="AM493" s="15">
        <v>1910.0</v>
      </c>
      <c r="AN493" s="15" t="s">
        <v>2787</v>
      </c>
      <c r="AO493" s="18"/>
      <c r="AP493" s="15" t="s">
        <v>14289</v>
      </c>
      <c r="AQ493" s="15" t="s">
        <v>14290</v>
      </c>
      <c r="AR493" s="18"/>
      <c r="AS493" s="18"/>
      <c r="AT493" s="18"/>
      <c r="AU493" s="15" t="s">
        <v>14291</v>
      </c>
      <c r="AV493" s="15" t="s">
        <v>14292</v>
      </c>
      <c r="AW493" s="15" t="s">
        <v>14293</v>
      </c>
      <c r="AX493" s="18"/>
      <c r="AY493" s="15" t="s">
        <v>14294</v>
      </c>
      <c r="AZ493" s="15" t="s">
        <v>8440</v>
      </c>
      <c r="BA493" s="15" t="s">
        <v>2806</v>
      </c>
      <c r="BB493" s="15" t="s">
        <v>2807</v>
      </c>
      <c r="BC493" s="15" t="s">
        <v>2808</v>
      </c>
      <c r="BD493" s="15" t="s">
        <v>2807</v>
      </c>
      <c r="BE493" s="15" t="s">
        <v>14295</v>
      </c>
      <c r="BF493" s="15" t="s">
        <v>14296</v>
      </c>
      <c r="BG493" s="18"/>
      <c r="BH493" s="18"/>
      <c r="BI493" s="15" t="s">
        <v>14297</v>
      </c>
      <c r="BJ493" s="19" t="s">
        <v>14298</v>
      </c>
      <c r="BK493" s="19" t="s">
        <v>14299</v>
      </c>
      <c r="BL493" s="19" t="s">
        <v>14300</v>
      </c>
      <c r="BM493" s="19" t="s">
        <v>14301</v>
      </c>
      <c r="BN493" s="19" t="s">
        <v>14302</v>
      </c>
      <c r="BO493" s="19" t="s">
        <v>14303</v>
      </c>
      <c r="BP493" s="19" t="s">
        <v>14304</v>
      </c>
      <c r="BQ493" s="15" t="s">
        <v>1321</v>
      </c>
      <c r="BR493" s="26"/>
      <c r="BS493" s="26"/>
      <c r="BT493" s="26"/>
      <c r="BU493" s="19" t="s">
        <v>14305</v>
      </c>
      <c r="BV493" s="19" t="s">
        <v>14306</v>
      </c>
      <c r="BW493" s="15" t="s">
        <v>14307</v>
      </c>
      <c r="BX493" s="26"/>
      <c r="BY493" s="18" t="str">
        <f t="shared" si="107"/>
        <v>MECH</v>
      </c>
      <c r="BZ493" s="24" t="str">
        <f t="shared" si="100"/>
        <v>https://drive.google.com/open?id=1pbTzFNALWKmJUXIdhCU3g2EFXClGSYVg</v>
      </c>
      <c r="CA493" s="24" t="str">
        <f t="shared" si="101"/>
        <v>https://drive.google.com/open?id=1Bjf7lrdzolbexKTWAC9dafl1JNP037lJ</v>
      </c>
      <c r="CB493" s="15" t="s">
        <v>2821</v>
      </c>
      <c r="CC493" s="15" t="s">
        <v>2821</v>
      </c>
      <c r="CD493" s="25" t="s">
        <v>2797</v>
      </c>
      <c r="CE493" s="18"/>
      <c r="CF493" s="18"/>
      <c r="CG493" s="18"/>
    </row>
    <row r="494" ht="18.75" hidden="1" customHeight="1">
      <c r="A494" s="14">
        <v>44739.55001958333</v>
      </c>
      <c r="B494" s="15" t="s">
        <v>1422</v>
      </c>
      <c r="C494" s="16" t="s">
        <v>14308</v>
      </c>
      <c r="D494" s="15" t="str">
        <f>IFERROR(__xludf.DUMMYFUNCTION("QUERY(TY_ALL_2023_Batch!$A$1:$E$824, ""SELECT E WHERE C='""&amp;B494&amp;""'"", 0)"),"MECH")</f>
        <v>MECH</v>
      </c>
      <c r="E494" s="15" t="s">
        <v>14309</v>
      </c>
      <c r="F494" s="15" t="s">
        <v>14310</v>
      </c>
      <c r="G494" s="15" t="s">
        <v>14311</v>
      </c>
      <c r="H494" s="15" t="s">
        <v>2785</v>
      </c>
      <c r="I494" s="17">
        <v>36829.0</v>
      </c>
      <c r="J494" s="15">
        <v>2020.0</v>
      </c>
      <c r="K494" s="15" t="s">
        <v>2941</v>
      </c>
      <c r="L494" s="15" t="s">
        <v>2787</v>
      </c>
      <c r="M494" s="18"/>
      <c r="N494" s="15" t="s">
        <v>14312</v>
      </c>
      <c r="O494" s="15" t="s">
        <v>1422</v>
      </c>
      <c r="P494" s="19" t="s">
        <v>14313</v>
      </c>
      <c r="Q494" s="15">
        <v>7.350105644E9</v>
      </c>
      <c r="R494" s="15">
        <v>7.350105644E9</v>
      </c>
      <c r="S494" s="15">
        <v>8.999959562E9</v>
      </c>
      <c r="T494" s="15" t="s">
        <v>14314</v>
      </c>
      <c r="U494" s="15" t="s">
        <v>14315</v>
      </c>
      <c r="V494" s="15" t="s">
        <v>14316</v>
      </c>
      <c r="W494" s="18"/>
      <c r="X494" s="15">
        <v>78.0</v>
      </c>
      <c r="Y494" s="15" t="s">
        <v>2948</v>
      </c>
      <c r="Z494" s="15">
        <v>7.19</v>
      </c>
      <c r="AA494" s="15">
        <v>7.35</v>
      </c>
      <c r="AB494" s="15" t="s">
        <v>2796</v>
      </c>
      <c r="AC494" s="15" t="s">
        <v>2796</v>
      </c>
      <c r="AD494" s="15" t="s">
        <v>2796</v>
      </c>
      <c r="AE494" s="15" t="s">
        <v>2796</v>
      </c>
      <c r="AF494" s="18"/>
      <c r="AG494" s="18"/>
      <c r="AH494" s="18"/>
      <c r="AI494" s="15">
        <v>88.46</v>
      </c>
      <c r="AJ494" s="15" t="s">
        <v>2787</v>
      </c>
      <c r="AK494" s="15" t="s">
        <v>2787</v>
      </c>
      <c r="AL494" s="15"/>
      <c r="AM494" s="15">
        <v>55.74</v>
      </c>
      <c r="AN494" s="15" t="s">
        <v>2797</v>
      </c>
      <c r="AO494" s="15">
        <v>0.0</v>
      </c>
      <c r="AP494" s="15" t="s">
        <v>2796</v>
      </c>
      <c r="AQ494" s="15" t="s">
        <v>4353</v>
      </c>
      <c r="AR494" s="18"/>
      <c r="AS494" s="15" t="s">
        <v>10292</v>
      </c>
      <c r="AT494" s="15" t="s">
        <v>14317</v>
      </c>
      <c r="AU494" s="18"/>
      <c r="AV494" s="18"/>
      <c r="AW494" s="15" t="s">
        <v>14318</v>
      </c>
      <c r="AX494" s="18"/>
      <c r="AY494" s="15" t="s">
        <v>14319</v>
      </c>
      <c r="AZ494" s="15" t="s">
        <v>3960</v>
      </c>
      <c r="BA494" s="15" t="s">
        <v>4085</v>
      </c>
      <c r="BB494" s="15" t="s">
        <v>2807</v>
      </c>
      <c r="BC494" s="15" t="s">
        <v>2808</v>
      </c>
      <c r="BD494" s="15" t="s">
        <v>14320</v>
      </c>
      <c r="BE494" s="15" t="s">
        <v>14321</v>
      </c>
      <c r="BF494" s="18"/>
      <c r="BG494" s="18"/>
      <c r="BH494" s="18"/>
      <c r="BI494" s="18"/>
      <c r="BJ494" s="19" t="s">
        <v>14322</v>
      </c>
      <c r="BK494" s="19" t="s">
        <v>14323</v>
      </c>
      <c r="BL494" s="18"/>
      <c r="BM494" s="19" t="s">
        <v>14324</v>
      </c>
      <c r="BN494" s="18"/>
      <c r="BO494" s="19" t="s">
        <v>14325</v>
      </c>
      <c r="BP494" s="18"/>
      <c r="BQ494" s="15" t="s">
        <v>1321</v>
      </c>
      <c r="BR494" s="26"/>
      <c r="BS494" s="26"/>
      <c r="BT494" s="19" t="s">
        <v>14326</v>
      </c>
      <c r="BU494" s="26"/>
      <c r="BV494" s="26"/>
      <c r="BW494" s="15" t="s">
        <v>14327</v>
      </c>
      <c r="BX494" s="26"/>
      <c r="BY494" s="18" t="str">
        <f t="shared" si="107"/>
        <v>MECH</v>
      </c>
      <c r="BZ494" s="18" t="str">
        <f t="shared" si="100"/>
        <v/>
      </c>
      <c r="CA494" s="24" t="str">
        <f t="shared" si="101"/>
        <v>https://drive.google.com/open?id=1C_EIihh1RUZEcX1dvuDdDTxWWVWcrTfh</v>
      </c>
      <c r="CB494" s="15" t="s">
        <v>2908</v>
      </c>
      <c r="CC494" s="15" t="s">
        <v>2821</v>
      </c>
      <c r="CD494" s="25" t="s">
        <v>2909</v>
      </c>
      <c r="CE494" s="18"/>
      <c r="CF494" s="18"/>
      <c r="CG494" s="18"/>
    </row>
    <row r="495" ht="18.75" hidden="1" customHeight="1">
      <c r="A495" s="14">
        <v>44743.01173226852</v>
      </c>
      <c r="B495" s="15" t="s">
        <v>1536</v>
      </c>
      <c r="C495" s="16" t="s">
        <v>14328</v>
      </c>
      <c r="D495" s="15" t="str">
        <f>IFERROR(__xludf.DUMMYFUNCTION("QUERY(TY_ALL_2023_Batch!$A$1:$E$824, ""SELECT E WHERE C='""&amp;B495&amp;""'"", 0)"),"MECH")</f>
        <v>MECH</v>
      </c>
      <c r="E495" s="15" t="s">
        <v>13562</v>
      </c>
      <c r="F495" s="15" t="s">
        <v>14329</v>
      </c>
      <c r="G495" s="15" t="s">
        <v>14330</v>
      </c>
      <c r="H495" s="15" t="s">
        <v>2785</v>
      </c>
      <c r="I495" s="17">
        <v>36923.0</v>
      </c>
      <c r="J495" s="15">
        <v>2020.0</v>
      </c>
      <c r="K495" s="15" t="s">
        <v>2941</v>
      </c>
      <c r="L495" s="15" t="s">
        <v>2787</v>
      </c>
      <c r="M495" s="18"/>
      <c r="N495" s="15" t="s">
        <v>14331</v>
      </c>
      <c r="O495" s="15" t="s">
        <v>1536</v>
      </c>
      <c r="P495" s="19" t="s">
        <v>14332</v>
      </c>
      <c r="Q495" s="15">
        <v>8.483966849E9</v>
      </c>
      <c r="R495" s="15">
        <v>8.600097104E9</v>
      </c>
      <c r="S495" s="15">
        <v>8.600097104E9</v>
      </c>
      <c r="T495" s="15" t="s">
        <v>14329</v>
      </c>
      <c r="U495" s="15" t="s">
        <v>7690</v>
      </c>
      <c r="V495" s="15" t="s">
        <v>14333</v>
      </c>
      <c r="W495" s="15" t="s">
        <v>14334</v>
      </c>
      <c r="X495" s="15">
        <v>82.0</v>
      </c>
      <c r="Y495" s="15" t="s">
        <v>2948</v>
      </c>
      <c r="Z495" s="15">
        <v>8.5</v>
      </c>
      <c r="AA495" s="15">
        <v>8.57</v>
      </c>
      <c r="AB495" s="15">
        <v>7.3</v>
      </c>
      <c r="AC495" s="15" t="s">
        <v>2796</v>
      </c>
      <c r="AD495" s="15" t="s">
        <v>2796</v>
      </c>
      <c r="AE495" s="15" t="s">
        <v>2796</v>
      </c>
      <c r="AF495" s="18"/>
      <c r="AG495" s="18"/>
      <c r="AH495" s="18"/>
      <c r="AI495" s="15">
        <v>84.87</v>
      </c>
      <c r="AJ495" s="15" t="s">
        <v>2787</v>
      </c>
      <c r="AK495" s="15" t="s">
        <v>2787</v>
      </c>
      <c r="AL495" s="18"/>
      <c r="AM495" s="18"/>
      <c r="AN495" s="15" t="s">
        <v>2797</v>
      </c>
      <c r="AO495" s="15" t="s">
        <v>2796</v>
      </c>
      <c r="AP495" s="15" t="s">
        <v>2796</v>
      </c>
      <c r="AQ495" s="15" t="s">
        <v>14335</v>
      </c>
      <c r="AR495" s="15" t="s">
        <v>14336</v>
      </c>
      <c r="AS495" s="18"/>
      <c r="AT495" s="18"/>
      <c r="AU495" s="15" t="s">
        <v>2796</v>
      </c>
      <c r="AV495" s="15" t="s">
        <v>14337</v>
      </c>
      <c r="AW495" s="15" t="s">
        <v>14338</v>
      </c>
      <c r="AX495" s="15" t="s">
        <v>14339</v>
      </c>
      <c r="AY495" s="15" t="s">
        <v>14338</v>
      </c>
      <c r="AZ495" s="15" t="s">
        <v>3960</v>
      </c>
      <c r="BA495" s="15" t="s">
        <v>2870</v>
      </c>
      <c r="BB495" s="15" t="s">
        <v>2807</v>
      </c>
      <c r="BC495" s="15" t="s">
        <v>13774</v>
      </c>
      <c r="BD495" s="15" t="s">
        <v>2807</v>
      </c>
      <c r="BE495" s="15" t="s">
        <v>2796</v>
      </c>
      <c r="BF495" s="15" t="s">
        <v>2796</v>
      </c>
      <c r="BG495" s="18"/>
      <c r="BH495" s="18"/>
      <c r="BI495" s="18"/>
      <c r="BJ495" s="19" t="s">
        <v>14340</v>
      </c>
      <c r="BK495" s="19" t="s">
        <v>14341</v>
      </c>
      <c r="BL495" s="18"/>
      <c r="BM495" s="18"/>
      <c r="BN495" s="18"/>
      <c r="BO495" s="19" t="s">
        <v>14342</v>
      </c>
      <c r="BP495" s="18"/>
      <c r="BQ495" s="15" t="s">
        <v>1321</v>
      </c>
      <c r="BR495" s="26"/>
      <c r="BS495" s="26"/>
      <c r="BT495" s="26"/>
      <c r="BU495" s="26"/>
      <c r="BV495" s="26"/>
      <c r="BW495" s="15" t="s">
        <v>14343</v>
      </c>
      <c r="BX495" s="26"/>
      <c r="BY495" s="18" t="str">
        <f t="shared" si="107"/>
        <v>MECH</v>
      </c>
      <c r="BZ495" s="18" t="str">
        <f t="shared" si="100"/>
        <v/>
      </c>
      <c r="CA495" s="18" t="str">
        <f t="shared" si="101"/>
        <v/>
      </c>
      <c r="CB495" s="15" t="s">
        <v>2908</v>
      </c>
      <c r="CC495" s="15" t="s">
        <v>2908</v>
      </c>
      <c r="CD495" s="25" t="s">
        <v>2797</v>
      </c>
      <c r="CE495" s="18"/>
      <c r="CF495" s="18"/>
      <c r="CG495" s="18"/>
    </row>
    <row r="496" ht="18.75" hidden="1" customHeight="1">
      <c r="A496" s="14">
        <v>44734.79202194445</v>
      </c>
      <c r="B496" s="15" t="s">
        <v>2493</v>
      </c>
      <c r="C496" s="16" t="s">
        <v>14344</v>
      </c>
      <c r="D496" s="15" t="str">
        <f>IFERROR(__xludf.DUMMYFUNCTION("QUERY(TY_ALL_2023_Batch!$A$1:$E$824, ""SELECT E WHERE C='""&amp;B496&amp;""'"", 0)"),"MECH")</f>
        <v>MECH</v>
      </c>
      <c r="E496" s="15" t="s">
        <v>14345</v>
      </c>
      <c r="F496" s="15" t="s">
        <v>14346</v>
      </c>
      <c r="G496" s="15" t="s">
        <v>14347</v>
      </c>
      <c r="H496" s="15" t="s">
        <v>2785</v>
      </c>
      <c r="I496" s="17">
        <v>37070.0</v>
      </c>
      <c r="J496" s="15">
        <v>2019.0</v>
      </c>
      <c r="K496" s="15" t="s">
        <v>2786</v>
      </c>
      <c r="L496" s="15" t="s">
        <v>2787</v>
      </c>
      <c r="M496" s="18"/>
      <c r="N496" s="15" t="s">
        <v>14348</v>
      </c>
      <c r="O496" s="15" t="s">
        <v>2493</v>
      </c>
      <c r="P496" s="19" t="s">
        <v>14349</v>
      </c>
      <c r="Q496" s="15">
        <v>7.558379766E9</v>
      </c>
      <c r="R496" s="15">
        <v>7.028236622E9</v>
      </c>
      <c r="S496" s="18"/>
      <c r="T496" s="15" t="s">
        <v>5988</v>
      </c>
      <c r="U496" s="15" t="s">
        <v>8177</v>
      </c>
      <c r="V496" s="15" t="s">
        <v>14350</v>
      </c>
      <c r="W496" s="18"/>
      <c r="X496" s="15">
        <v>63.6</v>
      </c>
      <c r="Y496" s="15" t="s">
        <v>2795</v>
      </c>
      <c r="Z496" s="15">
        <v>7.86</v>
      </c>
      <c r="AA496" s="15">
        <v>5.62</v>
      </c>
      <c r="AB496" s="15" t="s">
        <v>2796</v>
      </c>
      <c r="AC496" s="15" t="s">
        <v>2796</v>
      </c>
      <c r="AD496" s="15" t="s">
        <v>2796</v>
      </c>
      <c r="AE496" s="15" t="s">
        <v>2796</v>
      </c>
      <c r="AF496" s="15">
        <v>7.32</v>
      </c>
      <c r="AG496" s="15">
        <v>8.33</v>
      </c>
      <c r="AH496" s="15">
        <v>67.38</v>
      </c>
      <c r="AI496" s="18"/>
      <c r="AJ496" s="15" t="s">
        <v>2787</v>
      </c>
      <c r="AK496" s="15" t="s">
        <v>2787</v>
      </c>
      <c r="AL496" s="18"/>
      <c r="AM496" s="15">
        <v>1245.0</v>
      </c>
      <c r="AN496" s="15" t="s">
        <v>2787</v>
      </c>
      <c r="AO496" s="15" t="s">
        <v>14351</v>
      </c>
      <c r="AP496" s="18"/>
      <c r="AQ496" s="15" t="s">
        <v>14352</v>
      </c>
      <c r="AR496" s="15" t="s">
        <v>14353</v>
      </c>
      <c r="AS496" s="15" t="s">
        <v>14354</v>
      </c>
      <c r="AT496" s="18"/>
      <c r="AU496" s="15" t="s">
        <v>2796</v>
      </c>
      <c r="AV496" s="15" t="s">
        <v>14355</v>
      </c>
      <c r="AW496" s="15" t="s">
        <v>14356</v>
      </c>
      <c r="AX496" s="18"/>
      <c r="AY496" s="15" t="s">
        <v>14357</v>
      </c>
      <c r="AZ496" s="15" t="s">
        <v>9648</v>
      </c>
      <c r="BA496" s="15" t="s">
        <v>4727</v>
      </c>
      <c r="BB496" s="15" t="s">
        <v>2807</v>
      </c>
      <c r="BC496" s="15" t="s">
        <v>12991</v>
      </c>
      <c r="BD496" s="15" t="s">
        <v>2807</v>
      </c>
      <c r="BE496" s="15" t="s">
        <v>2796</v>
      </c>
      <c r="BF496" s="18"/>
      <c r="BG496" s="18"/>
      <c r="BH496" s="18"/>
      <c r="BI496" s="18"/>
      <c r="BJ496" s="19" t="s">
        <v>14358</v>
      </c>
      <c r="BK496" s="19" t="s">
        <v>14359</v>
      </c>
      <c r="BL496" s="18"/>
      <c r="BM496" s="19" t="s">
        <v>14360</v>
      </c>
      <c r="BN496" s="18"/>
      <c r="BO496" s="19" t="s">
        <v>14361</v>
      </c>
      <c r="BP496" s="18"/>
      <c r="BQ496" s="15" t="s">
        <v>1321</v>
      </c>
      <c r="BR496" s="26"/>
      <c r="BS496" s="26"/>
      <c r="BT496" s="26"/>
      <c r="BU496" s="26"/>
      <c r="BV496" s="26"/>
      <c r="BW496" s="26"/>
      <c r="BX496" s="26"/>
      <c r="BY496" s="18" t="str">
        <f t="shared" si="107"/>
        <v>MECH</v>
      </c>
      <c r="BZ496" s="18" t="str">
        <f t="shared" si="100"/>
        <v/>
      </c>
      <c r="CA496" s="24" t="str">
        <f t="shared" si="101"/>
        <v>https://drive.google.com/open?id=1_gQ8sJok8oc9Wy845l-_B3jS10mex0G2</v>
      </c>
      <c r="CB496" s="15" t="s">
        <v>2908</v>
      </c>
      <c r="CC496" s="15" t="s">
        <v>2821</v>
      </c>
      <c r="CD496" s="25" t="s">
        <v>2797</v>
      </c>
      <c r="CE496" s="18"/>
      <c r="CF496" s="18"/>
      <c r="CG496" s="18"/>
    </row>
    <row r="497" ht="18.75" hidden="1" customHeight="1">
      <c r="A497" s="14">
        <v>44772.83738935185</v>
      </c>
      <c r="B497" s="15" t="s">
        <v>1332</v>
      </c>
      <c r="C497" s="16" t="s">
        <v>14362</v>
      </c>
      <c r="D497" s="15" t="str">
        <f>IFERROR(__xludf.DUMMYFUNCTION("QUERY(TY_ALL_2023_Batch!$A$1:$E$824, ""SELECT E WHERE C='""&amp;B497&amp;""'"", 0)"),"MECH")</f>
        <v>MECH</v>
      </c>
      <c r="E497" s="15" t="s">
        <v>9533</v>
      </c>
      <c r="F497" s="15" t="s">
        <v>10755</v>
      </c>
      <c r="G497" s="15" t="s">
        <v>14363</v>
      </c>
      <c r="H497" s="15" t="s">
        <v>2785</v>
      </c>
      <c r="I497" s="17">
        <v>37108.0</v>
      </c>
      <c r="J497" s="15">
        <v>2020.0</v>
      </c>
      <c r="K497" s="15" t="s">
        <v>2941</v>
      </c>
      <c r="L497" s="15" t="s">
        <v>2787</v>
      </c>
      <c r="M497" s="18"/>
      <c r="N497" s="15" t="s">
        <v>14364</v>
      </c>
      <c r="O497" s="15" t="s">
        <v>1332</v>
      </c>
      <c r="P497" s="19" t="s">
        <v>14365</v>
      </c>
      <c r="Q497" s="15">
        <v>7.03054164E9</v>
      </c>
      <c r="R497" s="15">
        <v>7.03054164E9</v>
      </c>
      <c r="S497" s="15">
        <v>9.97590734E9</v>
      </c>
      <c r="T497" s="15" t="s">
        <v>14366</v>
      </c>
      <c r="U497" s="15" t="s">
        <v>14367</v>
      </c>
      <c r="V497" s="15" t="s">
        <v>14368</v>
      </c>
      <c r="W497" s="15" t="s">
        <v>14369</v>
      </c>
      <c r="X497" s="15">
        <v>98.6</v>
      </c>
      <c r="Y497" s="15" t="s">
        <v>2948</v>
      </c>
      <c r="Z497" s="15">
        <v>9.33</v>
      </c>
      <c r="AA497" s="15">
        <v>9.1</v>
      </c>
      <c r="AB497" s="15">
        <v>8.62</v>
      </c>
      <c r="AC497" s="15">
        <v>6.95</v>
      </c>
      <c r="AD497" s="15" t="s">
        <v>2796</v>
      </c>
      <c r="AE497" s="15" t="s">
        <v>2796</v>
      </c>
      <c r="AF497" s="18"/>
      <c r="AG497" s="18"/>
      <c r="AH497" s="18"/>
      <c r="AI497" s="15">
        <v>93.2</v>
      </c>
      <c r="AJ497" s="15" t="s">
        <v>2787</v>
      </c>
      <c r="AK497" s="15" t="s">
        <v>2787</v>
      </c>
      <c r="AL497" s="15">
        <v>590.0</v>
      </c>
      <c r="AM497" s="15">
        <v>547.0</v>
      </c>
      <c r="AN497" s="15" t="s">
        <v>2797</v>
      </c>
      <c r="AO497" s="18"/>
      <c r="AP497" s="18"/>
      <c r="AQ497" s="15" t="s">
        <v>14370</v>
      </c>
      <c r="AR497" s="15" t="s">
        <v>14371</v>
      </c>
      <c r="AS497" s="15"/>
      <c r="AT497" s="18"/>
      <c r="AU497" s="15" t="s">
        <v>2796</v>
      </c>
      <c r="AV497" s="15" t="s">
        <v>14372</v>
      </c>
      <c r="AW497" s="15" t="s">
        <v>14373</v>
      </c>
      <c r="AX497" s="18"/>
      <c r="AY497" s="15" t="s">
        <v>14374</v>
      </c>
      <c r="AZ497" s="15" t="s">
        <v>8440</v>
      </c>
      <c r="BA497" s="15" t="s">
        <v>2870</v>
      </c>
      <c r="BB497" s="15" t="s">
        <v>2807</v>
      </c>
      <c r="BC497" s="15" t="s">
        <v>14075</v>
      </c>
      <c r="BD497" s="15" t="s">
        <v>2807</v>
      </c>
      <c r="BE497" s="15" t="s">
        <v>14375</v>
      </c>
      <c r="BF497" s="15" t="s">
        <v>14376</v>
      </c>
      <c r="BG497" s="18"/>
      <c r="BH497" s="18"/>
      <c r="BI497" s="15" t="s">
        <v>14377</v>
      </c>
      <c r="BJ497" s="19" t="s">
        <v>14378</v>
      </c>
      <c r="BK497" s="19" t="s">
        <v>14379</v>
      </c>
      <c r="BL497" s="19" t="s">
        <v>14380</v>
      </c>
      <c r="BM497" s="20" t="s">
        <v>14381</v>
      </c>
      <c r="BN497" s="19" t="s">
        <v>14382</v>
      </c>
      <c r="BO497" s="19" t="s">
        <v>14383</v>
      </c>
      <c r="BP497" s="18"/>
      <c r="BQ497" s="15" t="s">
        <v>1321</v>
      </c>
      <c r="BR497" s="26"/>
      <c r="BS497" s="26"/>
      <c r="BT497" s="26"/>
      <c r="BU497" s="26"/>
      <c r="BV497" s="26"/>
      <c r="BW497" s="15" t="s">
        <v>3063</v>
      </c>
      <c r="BX497" s="26"/>
      <c r="BY497" s="18" t="str">
        <f t="shared" si="107"/>
        <v>MECH</v>
      </c>
      <c r="BZ497" s="24" t="str">
        <f t="shared" si="100"/>
        <v>https://drive.google.com/open?id=1wCF73slDXIRBkkvryqzNYHVk66Y0QIu7</v>
      </c>
      <c r="CA497" s="24" t="str">
        <f t="shared" si="101"/>
        <v>https://drive.google.com/open?id=1xh1WEL4aAra6CnZQXdYuSp6ecDLtM1nz</v>
      </c>
      <c r="CB497" s="15" t="s">
        <v>2821</v>
      </c>
      <c r="CC497" s="15" t="s">
        <v>2821</v>
      </c>
      <c r="CD497" s="25" t="s">
        <v>2787</v>
      </c>
      <c r="CE497" s="18"/>
      <c r="CF497" s="18"/>
      <c r="CG497" s="18"/>
    </row>
    <row r="498" ht="18.75" hidden="1" customHeight="1">
      <c r="A498" s="14">
        <v>44736.82839358796</v>
      </c>
      <c r="B498" s="15" t="s">
        <v>2664</v>
      </c>
      <c r="C498" s="16" t="s">
        <v>14384</v>
      </c>
      <c r="D498" s="15" t="str">
        <f>IFERROR(__xludf.DUMMYFUNCTION("QUERY(TY_ALL_2023_Batch!$A$1:$E$824, ""SELECT E WHERE C='""&amp;B498&amp;""'"", 0)"),"MECH")</f>
        <v>MECH</v>
      </c>
      <c r="E498" s="15" t="s">
        <v>3404</v>
      </c>
      <c r="F498" s="15" t="s">
        <v>5004</v>
      </c>
      <c r="G498" s="15" t="s">
        <v>14385</v>
      </c>
      <c r="H498" s="15" t="s">
        <v>2785</v>
      </c>
      <c r="I498" s="17">
        <v>37003.0</v>
      </c>
      <c r="J498" s="15">
        <v>2019.0</v>
      </c>
      <c r="K498" s="15" t="s">
        <v>2786</v>
      </c>
      <c r="L498" s="15" t="s">
        <v>2787</v>
      </c>
      <c r="M498" s="18"/>
      <c r="N498" s="15" t="s">
        <v>14386</v>
      </c>
      <c r="O498" s="15" t="s">
        <v>14387</v>
      </c>
      <c r="P498" s="19" t="s">
        <v>14388</v>
      </c>
      <c r="Q498" s="15">
        <v>9.623482225E9</v>
      </c>
      <c r="R498" s="15">
        <v>9.623482225E9</v>
      </c>
      <c r="S498" s="15">
        <v>9.623483625E9</v>
      </c>
      <c r="T498" s="15" t="s">
        <v>14389</v>
      </c>
      <c r="U498" s="15" t="s">
        <v>14390</v>
      </c>
      <c r="V498" s="15" t="s">
        <v>14391</v>
      </c>
      <c r="W498" s="18"/>
      <c r="X498" s="15">
        <v>91.8</v>
      </c>
      <c r="Y498" s="15" t="s">
        <v>2795</v>
      </c>
      <c r="Z498" s="15">
        <v>9.0</v>
      </c>
      <c r="AA498" s="15">
        <v>8.57</v>
      </c>
      <c r="AB498" s="15" t="s">
        <v>2796</v>
      </c>
      <c r="AC498" s="15" t="s">
        <v>2796</v>
      </c>
      <c r="AD498" s="15" t="s">
        <v>2796</v>
      </c>
      <c r="AE498" s="15" t="s">
        <v>2796</v>
      </c>
      <c r="AF498" s="15">
        <v>7.63</v>
      </c>
      <c r="AG498" s="15">
        <v>8.52</v>
      </c>
      <c r="AH498" s="15">
        <v>72.46</v>
      </c>
      <c r="AI498" s="18"/>
      <c r="AJ498" s="15" t="s">
        <v>2787</v>
      </c>
      <c r="AK498" s="15" t="s">
        <v>2787</v>
      </c>
      <c r="AL498" s="15">
        <v>430.0</v>
      </c>
      <c r="AM498" s="15">
        <v>627.0</v>
      </c>
      <c r="AN498" s="15" t="s">
        <v>2797</v>
      </c>
      <c r="AO498" s="15" t="s">
        <v>2796</v>
      </c>
      <c r="AP498" s="15" t="s">
        <v>2796</v>
      </c>
      <c r="AQ498" s="15" t="s">
        <v>2796</v>
      </c>
      <c r="AR498" s="15" t="s">
        <v>14392</v>
      </c>
      <c r="AS498" s="15" t="s">
        <v>2796</v>
      </c>
      <c r="AT498" s="15" t="s">
        <v>2796</v>
      </c>
      <c r="AU498" s="15" t="s">
        <v>14393</v>
      </c>
      <c r="AV498" s="15" t="s">
        <v>14394</v>
      </c>
      <c r="AW498" s="15" t="s">
        <v>14395</v>
      </c>
      <c r="AX498" s="15" t="s">
        <v>2796</v>
      </c>
      <c r="AY498" s="15" t="s">
        <v>14396</v>
      </c>
      <c r="AZ498" s="15" t="s">
        <v>3960</v>
      </c>
      <c r="BA498" s="15" t="s">
        <v>2899</v>
      </c>
      <c r="BB498" s="15" t="s">
        <v>2807</v>
      </c>
      <c r="BC498" s="15" t="s">
        <v>13150</v>
      </c>
      <c r="BD498" s="15" t="s">
        <v>2807</v>
      </c>
      <c r="BE498" s="15" t="s">
        <v>14397</v>
      </c>
      <c r="BF498" s="18"/>
      <c r="BG498" s="15" t="s">
        <v>14398</v>
      </c>
      <c r="BH498" s="18"/>
      <c r="BI498" s="15" t="s">
        <v>14399</v>
      </c>
      <c r="BJ498" s="19" t="s">
        <v>14400</v>
      </c>
      <c r="BK498" s="19" t="s">
        <v>14401</v>
      </c>
      <c r="BL498" s="19" t="s">
        <v>14402</v>
      </c>
      <c r="BM498" s="19" t="s">
        <v>14403</v>
      </c>
      <c r="BN498" s="19" t="s">
        <v>14404</v>
      </c>
      <c r="BO498" s="19" t="s">
        <v>14405</v>
      </c>
      <c r="BP498" s="19" t="s">
        <v>14406</v>
      </c>
      <c r="BQ498" s="15" t="s">
        <v>1321</v>
      </c>
      <c r="BR498" s="26"/>
      <c r="BS498" s="26"/>
      <c r="BT498" s="19" t="s">
        <v>14407</v>
      </c>
      <c r="BU498" s="26"/>
      <c r="BV498" s="26"/>
      <c r="BW498" s="15" t="s">
        <v>14408</v>
      </c>
      <c r="BX498" s="26"/>
      <c r="BY498" s="18" t="str">
        <f t="shared" si="107"/>
        <v>MECH</v>
      </c>
      <c r="BZ498" s="24" t="str">
        <f t="shared" si="100"/>
        <v>https://drive.google.com/open?id=1WemDsS_f3W_z5F0ebmxU0-3wbkL8bsbL</v>
      </c>
      <c r="CA498" s="24" t="str">
        <f t="shared" si="101"/>
        <v>https://drive.google.com/open?id=1RHt_hgzub-lrbfZO7RPKehwKq8mKWeIK</v>
      </c>
      <c r="CB498" s="15" t="s">
        <v>2821</v>
      </c>
      <c r="CC498" s="15" t="s">
        <v>2821</v>
      </c>
      <c r="CD498" s="25" t="s">
        <v>2787</v>
      </c>
      <c r="CE498" s="18"/>
      <c r="CF498" s="18"/>
      <c r="CG498" s="18"/>
    </row>
    <row r="499" ht="18.75" hidden="1" customHeight="1">
      <c r="A499" s="14">
        <v>44741.43742487268</v>
      </c>
      <c r="B499" s="15" t="s">
        <v>2532</v>
      </c>
      <c r="C499" s="16" t="s">
        <v>14409</v>
      </c>
      <c r="D499" s="15" t="str">
        <f>IFERROR(__xludf.DUMMYFUNCTION("QUERY(TY_ALL_2023_Batch!$A$1:$E$824, ""SELECT E WHERE C='""&amp;B499&amp;""'"", 0)"),"MECH")</f>
        <v>MECH</v>
      </c>
      <c r="E499" s="15" t="s">
        <v>4298</v>
      </c>
      <c r="F499" s="15" t="s">
        <v>6349</v>
      </c>
      <c r="G499" s="15" t="s">
        <v>3830</v>
      </c>
      <c r="H499" s="15" t="s">
        <v>2785</v>
      </c>
      <c r="I499" s="17">
        <v>37258.0</v>
      </c>
      <c r="J499" s="15">
        <v>2019.0</v>
      </c>
      <c r="K499" s="15" t="s">
        <v>2786</v>
      </c>
      <c r="L499" s="15" t="s">
        <v>2787</v>
      </c>
      <c r="M499" s="18"/>
      <c r="N499" s="15" t="s">
        <v>14410</v>
      </c>
      <c r="O499" s="15" t="s">
        <v>2532</v>
      </c>
      <c r="P499" s="19" t="s">
        <v>14411</v>
      </c>
      <c r="Q499" s="15">
        <v>9.373560787E9</v>
      </c>
      <c r="R499" s="15">
        <v>9.373560787E9</v>
      </c>
      <c r="S499" s="15">
        <v>9.404132123E9</v>
      </c>
      <c r="T499" s="15" t="s">
        <v>6349</v>
      </c>
      <c r="U499" s="15" t="s">
        <v>12916</v>
      </c>
      <c r="V499" s="15" t="s">
        <v>14412</v>
      </c>
      <c r="W499" s="15" t="s">
        <v>14413</v>
      </c>
      <c r="X499" s="15">
        <v>91.0</v>
      </c>
      <c r="Y499" s="15" t="s">
        <v>2795</v>
      </c>
      <c r="Z499" s="15">
        <v>9.33</v>
      </c>
      <c r="AA499" s="15">
        <v>8.52</v>
      </c>
      <c r="AB499" s="15" t="s">
        <v>2796</v>
      </c>
      <c r="AC499" s="15" t="s">
        <v>2796</v>
      </c>
      <c r="AD499" s="15" t="s">
        <v>2796</v>
      </c>
      <c r="AE499" s="15" t="s">
        <v>2796</v>
      </c>
      <c r="AF499" s="15">
        <v>8.68</v>
      </c>
      <c r="AG499" s="15">
        <v>9.33</v>
      </c>
      <c r="AH499" s="15">
        <v>67.82</v>
      </c>
      <c r="AI499" s="18"/>
      <c r="AJ499" s="15" t="s">
        <v>2787</v>
      </c>
      <c r="AK499" s="15" t="s">
        <v>2787</v>
      </c>
      <c r="AL499" s="15">
        <v>97.33</v>
      </c>
      <c r="AM499" s="15">
        <v>95.66</v>
      </c>
      <c r="AN499" s="15" t="s">
        <v>2797</v>
      </c>
      <c r="AO499" s="18"/>
      <c r="AP499" s="18"/>
      <c r="AQ499" s="15" t="s">
        <v>11089</v>
      </c>
      <c r="AR499" s="18"/>
      <c r="AS499" s="18"/>
      <c r="AT499" s="18"/>
      <c r="AU499" s="15" t="s">
        <v>14414</v>
      </c>
      <c r="AV499" s="15" t="s">
        <v>14415</v>
      </c>
      <c r="AW499" s="15" t="s">
        <v>14416</v>
      </c>
      <c r="AX499" s="18"/>
      <c r="AY499" s="15" t="s">
        <v>14417</v>
      </c>
      <c r="AZ499" s="15" t="s">
        <v>9648</v>
      </c>
      <c r="BA499" s="15" t="s">
        <v>2899</v>
      </c>
      <c r="BB499" s="15" t="s">
        <v>2807</v>
      </c>
      <c r="BC499" s="15" t="s">
        <v>14418</v>
      </c>
      <c r="BD499" s="15" t="s">
        <v>5578</v>
      </c>
      <c r="BE499" s="15" t="s">
        <v>14419</v>
      </c>
      <c r="BF499" s="15" t="s">
        <v>14420</v>
      </c>
      <c r="BG499" s="18"/>
      <c r="BH499" s="18"/>
      <c r="BI499" s="15" t="s">
        <v>14421</v>
      </c>
      <c r="BJ499" s="19" t="s">
        <v>14422</v>
      </c>
      <c r="BK499" s="19" t="s">
        <v>14423</v>
      </c>
      <c r="BL499" s="19" t="s">
        <v>14424</v>
      </c>
      <c r="BM499" s="19" t="s">
        <v>14425</v>
      </c>
      <c r="BN499" s="19" t="s">
        <v>14426</v>
      </c>
      <c r="BO499" s="19" t="s">
        <v>14427</v>
      </c>
      <c r="BP499" s="19" t="s">
        <v>14428</v>
      </c>
      <c r="BQ499" s="15" t="s">
        <v>1321</v>
      </c>
      <c r="BR499" s="26"/>
      <c r="BS499" s="26"/>
      <c r="BT499" s="26"/>
      <c r="BU499" s="26"/>
      <c r="BV499" s="26"/>
      <c r="BW499" s="15" t="s">
        <v>2796</v>
      </c>
      <c r="BX499" s="26"/>
      <c r="BY499" s="18" t="str">
        <f t="shared" si="107"/>
        <v>MECH</v>
      </c>
      <c r="BZ499" s="24" t="str">
        <f t="shared" si="100"/>
        <v>https://drive.google.com/open?id=1qWG1PZuDe3cva4nlvQ_rlHZgMj5LpNmt</v>
      </c>
      <c r="CA499" s="24" t="str">
        <f t="shared" si="101"/>
        <v>https://drive.google.com/open?id=1kaFxKFqrtD7nuHJGuBwC9sOr87_lu_u8</v>
      </c>
      <c r="CB499" s="15" t="s">
        <v>2821</v>
      </c>
      <c r="CC499" s="15" t="s">
        <v>2821</v>
      </c>
      <c r="CD499" s="25" t="s">
        <v>2787</v>
      </c>
      <c r="CE499" s="18"/>
      <c r="CF499" s="18"/>
      <c r="CG499" s="18"/>
    </row>
    <row r="500" ht="18.75" hidden="1" customHeight="1">
      <c r="A500" s="14">
        <v>44742.873368182874</v>
      </c>
      <c r="B500" s="15" t="s">
        <v>1497</v>
      </c>
      <c r="C500" s="16" t="s">
        <v>14429</v>
      </c>
      <c r="D500" s="15" t="str">
        <f>IFERROR(__xludf.DUMMYFUNCTION("QUERY(TY_ALL_2023_Batch!$A$1:$E$824, ""SELECT E WHERE C='""&amp;B500&amp;""'"", 0)"),"MECH")</f>
        <v>MECH</v>
      </c>
      <c r="E500" s="15" t="s">
        <v>5638</v>
      </c>
      <c r="F500" s="15" t="s">
        <v>14430</v>
      </c>
      <c r="G500" s="15" t="s">
        <v>6869</v>
      </c>
      <c r="H500" s="15" t="s">
        <v>2785</v>
      </c>
      <c r="I500" s="17">
        <v>37047.0</v>
      </c>
      <c r="J500" s="15">
        <v>2020.0</v>
      </c>
      <c r="K500" s="15" t="s">
        <v>2941</v>
      </c>
      <c r="L500" s="15" t="s">
        <v>2787</v>
      </c>
      <c r="M500" s="18"/>
      <c r="N500" s="15" t="s">
        <v>14431</v>
      </c>
      <c r="O500" s="15" t="s">
        <v>1497</v>
      </c>
      <c r="P500" s="19" t="s">
        <v>14432</v>
      </c>
      <c r="Q500" s="15">
        <v>8.329251491E9</v>
      </c>
      <c r="R500" s="15">
        <v>8.329251491E9</v>
      </c>
      <c r="S500" s="15">
        <v>7.709301036E9</v>
      </c>
      <c r="T500" s="15" t="s">
        <v>14433</v>
      </c>
      <c r="U500" s="15" t="s">
        <v>14434</v>
      </c>
      <c r="V500" s="15" t="s">
        <v>14435</v>
      </c>
      <c r="W500" s="15" t="s">
        <v>14436</v>
      </c>
      <c r="X500" s="15">
        <v>92.2</v>
      </c>
      <c r="Y500" s="15" t="s">
        <v>2948</v>
      </c>
      <c r="Z500" s="15">
        <v>8.52</v>
      </c>
      <c r="AA500" s="15">
        <v>8.62</v>
      </c>
      <c r="AB500" s="15">
        <v>7.33</v>
      </c>
      <c r="AC500" s="15">
        <v>7.78</v>
      </c>
      <c r="AD500" s="15" t="s">
        <v>2796</v>
      </c>
      <c r="AE500" s="15" t="s">
        <v>2796</v>
      </c>
      <c r="AF500" s="18"/>
      <c r="AG500" s="18"/>
      <c r="AH500" s="18"/>
      <c r="AI500" s="15">
        <v>91.5</v>
      </c>
      <c r="AJ500" s="15" t="s">
        <v>2797</v>
      </c>
      <c r="AK500" s="15" t="s">
        <v>2787</v>
      </c>
      <c r="AL500" s="18"/>
      <c r="AM500" s="18"/>
      <c r="AN500" s="15" t="s">
        <v>2797</v>
      </c>
      <c r="AO500" s="18"/>
      <c r="AP500" s="18"/>
      <c r="AQ500" s="15" t="s">
        <v>14437</v>
      </c>
      <c r="AR500" s="18"/>
      <c r="AS500" s="18"/>
      <c r="AT500" s="18"/>
      <c r="AU500" s="18"/>
      <c r="AV500" s="18"/>
      <c r="AW500" s="15" t="s">
        <v>14438</v>
      </c>
      <c r="AX500" s="18"/>
      <c r="AY500" s="15" t="s">
        <v>14439</v>
      </c>
      <c r="AZ500" s="15" t="s">
        <v>3960</v>
      </c>
      <c r="BA500" s="15" t="s">
        <v>2870</v>
      </c>
      <c r="BB500" s="15" t="s">
        <v>2807</v>
      </c>
      <c r="BC500" s="15" t="s">
        <v>14440</v>
      </c>
      <c r="BD500" s="15" t="s">
        <v>2807</v>
      </c>
      <c r="BE500" s="15" t="s">
        <v>2796</v>
      </c>
      <c r="BF500" s="15" t="s">
        <v>14441</v>
      </c>
      <c r="BG500" s="18"/>
      <c r="BH500" s="18"/>
      <c r="BI500" s="15" t="s">
        <v>14442</v>
      </c>
      <c r="BJ500" s="19" t="s">
        <v>14443</v>
      </c>
      <c r="BK500" s="19" t="s">
        <v>14444</v>
      </c>
      <c r="BL500" s="18"/>
      <c r="BM500" s="19" t="s">
        <v>14445</v>
      </c>
      <c r="BN500" s="19" t="s">
        <v>14446</v>
      </c>
      <c r="BO500" s="19" t="s">
        <v>14447</v>
      </c>
      <c r="BP500" s="18"/>
      <c r="BQ500" s="15" t="s">
        <v>1321</v>
      </c>
      <c r="BR500" s="18"/>
      <c r="BS500" s="18"/>
      <c r="BT500" s="18"/>
      <c r="BU500" s="18"/>
      <c r="BV500" s="19" t="s">
        <v>14448</v>
      </c>
      <c r="BW500" s="15" t="s">
        <v>14449</v>
      </c>
      <c r="BX500" s="18"/>
      <c r="BY500" s="18" t="str">
        <f t="shared" si="107"/>
        <v>MECH</v>
      </c>
      <c r="BZ500" s="18" t="str">
        <f t="shared" si="100"/>
        <v/>
      </c>
      <c r="CA500" s="24" t="str">
        <f t="shared" si="101"/>
        <v>https://drive.google.com/open?id=1nBMD32tmfePOJDnyQoedajjHEdw8b0Ti</v>
      </c>
      <c r="CB500" s="15" t="s">
        <v>2908</v>
      </c>
      <c r="CC500" s="15" t="s">
        <v>2821</v>
      </c>
      <c r="CD500" s="25" t="s">
        <v>2787</v>
      </c>
      <c r="CE500" s="18"/>
      <c r="CF500" s="18"/>
      <c r="CG500" s="18"/>
    </row>
    <row r="501" ht="18.75" hidden="1" customHeight="1">
      <c r="A501" s="14">
        <v>44736.43718652778</v>
      </c>
      <c r="B501" s="15" t="s">
        <v>2592</v>
      </c>
      <c r="C501" s="16" t="s">
        <v>14450</v>
      </c>
      <c r="D501" s="15" t="str">
        <f>IFERROR(__xludf.DUMMYFUNCTION("QUERY(TY_ALL_2023_Batch!$A$1:$E$824, ""SELECT E WHERE C='""&amp;B501&amp;""'"", 0)"),"MECH")</f>
        <v>MECH</v>
      </c>
      <c r="E501" s="15" t="s">
        <v>14451</v>
      </c>
      <c r="F501" s="15" t="s">
        <v>13455</v>
      </c>
      <c r="G501" s="15" t="s">
        <v>2973</v>
      </c>
      <c r="H501" s="15" t="s">
        <v>2785</v>
      </c>
      <c r="I501" s="17">
        <v>36529.0</v>
      </c>
      <c r="J501" s="15">
        <v>2019.0</v>
      </c>
      <c r="K501" s="15" t="s">
        <v>2786</v>
      </c>
      <c r="L501" s="15" t="s">
        <v>2787</v>
      </c>
      <c r="M501" s="18"/>
      <c r="N501" s="15" t="s">
        <v>14452</v>
      </c>
      <c r="O501" s="15" t="s">
        <v>2592</v>
      </c>
      <c r="P501" s="19" t="s">
        <v>14453</v>
      </c>
      <c r="Q501" s="15">
        <v>9.561617347E9</v>
      </c>
      <c r="R501" s="15">
        <v>9.561617347E9</v>
      </c>
      <c r="S501" s="18"/>
      <c r="T501" s="15" t="s">
        <v>13455</v>
      </c>
      <c r="U501" s="15" t="s">
        <v>14454</v>
      </c>
      <c r="V501" s="15" t="s">
        <v>14455</v>
      </c>
      <c r="W501" s="18"/>
      <c r="X501" s="15">
        <v>88.88</v>
      </c>
      <c r="Y501" s="15" t="s">
        <v>2795</v>
      </c>
      <c r="Z501" s="15">
        <v>8.38</v>
      </c>
      <c r="AA501" s="15">
        <v>8.05</v>
      </c>
      <c r="AB501" s="15" t="s">
        <v>2796</v>
      </c>
      <c r="AC501" s="15" t="s">
        <v>2796</v>
      </c>
      <c r="AD501" s="15" t="s">
        <v>2796</v>
      </c>
      <c r="AE501" s="15" t="s">
        <v>2796</v>
      </c>
      <c r="AF501" s="15">
        <v>8.84</v>
      </c>
      <c r="AG501" s="15">
        <v>8.57</v>
      </c>
      <c r="AH501" s="15">
        <v>72.7</v>
      </c>
      <c r="AI501" s="18"/>
      <c r="AJ501" s="15" t="s">
        <v>2787</v>
      </c>
      <c r="AK501" s="15" t="s">
        <v>2787</v>
      </c>
      <c r="AL501" s="15">
        <v>588.0</v>
      </c>
      <c r="AM501" s="15">
        <v>650.0</v>
      </c>
      <c r="AN501" s="15" t="s">
        <v>2797</v>
      </c>
      <c r="AO501" s="18"/>
      <c r="AP501" s="18"/>
      <c r="AQ501" s="15" t="s">
        <v>14456</v>
      </c>
      <c r="AR501" s="15" t="s">
        <v>14457</v>
      </c>
      <c r="AS501" s="15" t="s">
        <v>14458</v>
      </c>
      <c r="AT501" s="18"/>
      <c r="AU501" s="15" t="s">
        <v>14459</v>
      </c>
      <c r="AV501" s="15" t="s">
        <v>14460</v>
      </c>
      <c r="AW501" s="15" t="s">
        <v>14461</v>
      </c>
      <c r="AX501" s="18"/>
      <c r="AY501" s="15" t="s">
        <v>14462</v>
      </c>
      <c r="AZ501" s="15" t="s">
        <v>5287</v>
      </c>
      <c r="BA501" s="15" t="s">
        <v>2899</v>
      </c>
      <c r="BB501" s="15" t="s">
        <v>2807</v>
      </c>
      <c r="BC501" s="15" t="s">
        <v>14463</v>
      </c>
      <c r="BD501" s="15" t="s">
        <v>2807</v>
      </c>
      <c r="BE501" s="15" t="s">
        <v>14464</v>
      </c>
      <c r="BF501" s="18"/>
      <c r="BG501" s="18"/>
      <c r="BH501" s="18"/>
      <c r="BI501" s="15" t="s">
        <v>14465</v>
      </c>
      <c r="BJ501" s="19" t="s">
        <v>14466</v>
      </c>
      <c r="BK501" s="19" t="s">
        <v>14467</v>
      </c>
      <c r="BL501" s="18"/>
      <c r="BM501" s="19" t="s">
        <v>14468</v>
      </c>
      <c r="BN501" s="19" t="s">
        <v>14469</v>
      </c>
      <c r="BO501" s="19" t="s">
        <v>14470</v>
      </c>
      <c r="BP501" s="18"/>
      <c r="BQ501" s="15" t="s">
        <v>1321</v>
      </c>
      <c r="BR501" s="26"/>
      <c r="BS501" s="26"/>
      <c r="BT501" s="26"/>
      <c r="BU501" s="26"/>
      <c r="BV501" s="26"/>
      <c r="BW501" s="26"/>
      <c r="BX501" s="26"/>
      <c r="BY501" s="18" t="str">
        <f t="shared" si="107"/>
        <v>MECH</v>
      </c>
      <c r="BZ501" s="18" t="str">
        <f t="shared" si="100"/>
        <v/>
      </c>
      <c r="CA501" s="24" t="str">
        <f t="shared" si="101"/>
        <v>https://drive.google.com/open?id=1mVo8dOO-1mzG5KLyEcikpVF_T229WEdF</v>
      </c>
      <c r="CB501" s="15" t="s">
        <v>2908</v>
      </c>
      <c r="CC501" s="15" t="s">
        <v>2821</v>
      </c>
      <c r="CD501" s="25" t="s">
        <v>2787</v>
      </c>
      <c r="CE501" s="18"/>
      <c r="CF501" s="18"/>
      <c r="CG501" s="18"/>
    </row>
    <row r="502" ht="18.75" hidden="1" customHeight="1">
      <c r="A502" s="14">
        <v>44743.431578055555</v>
      </c>
      <c r="B502" s="15" t="s">
        <v>2661</v>
      </c>
      <c r="C502" s="16" t="s">
        <v>14471</v>
      </c>
      <c r="D502" s="15" t="str">
        <f>IFERROR(__xludf.DUMMYFUNCTION("QUERY(TY_ALL_2023_Batch!$A$1:$E$824, ""SELECT E WHERE C='""&amp;B502&amp;""'"", 0)"),"MECH")</f>
        <v>MECH</v>
      </c>
      <c r="E502" s="15" t="s">
        <v>14472</v>
      </c>
      <c r="F502" s="15" t="s">
        <v>7737</v>
      </c>
      <c r="G502" s="15" t="s">
        <v>14473</v>
      </c>
      <c r="H502" s="15" t="s">
        <v>2826</v>
      </c>
      <c r="I502" s="17">
        <v>37214.0</v>
      </c>
      <c r="J502" s="15">
        <v>2019.0</v>
      </c>
      <c r="K502" s="15" t="s">
        <v>2786</v>
      </c>
      <c r="L502" s="15" t="s">
        <v>2787</v>
      </c>
      <c r="M502" s="18"/>
      <c r="N502" s="15" t="s">
        <v>14474</v>
      </c>
      <c r="O502" s="15" t="s">
        <v>2661</v>
      </c>
      <c r="P502" s="19" t="s">
        <v>14475</v>
      </c>
      <c r="Q502" s="15">
        <v>7.744846629E9</v>
      </c>
      <c r="R502" s="15">
        <v>7.744846629E9</v>
      </c>
      <c r="S502" s="15">
        <v>9.422924422E9</v>
      </c>
      <c r="T502" s="15" t="s">
        <v>14476</v>
      </c>
      <c r="U502" s="15" t="s">
        <v>14477</v>
      </c>
      <c r="V502" s="15" t="s">
        <v>14478</v>
      </c>
      <c r="W502" s="15" t="s">
        <v>14479</v>
      </c>
      <c r="X502" s="15">
        <v>96.8</v>
      </c>
      <c r="Y502" s="15" t="s">
        <v>2795</v>
      </c>
      <c r="Z502" s="15">
        <v>9.67</v>
      </c>
      <c r="AA502" s="15">
        <v>9.38</v>
      </c>
      <c r="AB502" s="15">
        <v>9.47</v>
      </c>
      <c r="AC502" s="15">
        <v>8.57</v>
      </c>
      <c r="AD502" s="15" t="s">
        <v>2796</v>
      </c>
      <c r="AE502" s="15" t="s">
        <v>14480</v>
      </c>
      <c r="AF502" s="15">
        <v>8.95</v>
      </c>
      <c r="AG502" s="15">
        <v>9.37</v>
      </c>
      <c r="AH502" s="15">
        <v>78.6</v>
      </c>
      <c r="AI502" s="18"/>
      <c r="AJ502" s="15" t="s">
        <v>2787</v>
      </c>
      <c r="AK502" s="15" t="s">
        <v>2787</v>
      </c>
      <c r="AL502" s="15">
        <v>668.33</v>
      </c>
      <c r="AM502" s="15">
        <v>676.66</v>
      </c>
      <c r="AN502" s="15" t="s">
        <v>2797</v>
      </c>
      <c r="AO502" s="18"/>
      <c r="AP502" s="18"/>
      <c r="AQ502" s="15" t="s">
        <v>5356</v>
      </c>
      <c r="AR502" s="18"/>
      <c r="AS502" s="18"/>
      <c r="AT502" s="18"/>
      <c r="AU502" s="18"/>
      <c r="AV502" s="15" t="s">
        <v>14481</v>
      </c>
      <c r="AW502" s="15" t="s">
        <v>14482</v>
      </c>
      <c r="AX502" s="18"/>
      <c r="AY502" s="15" t="s">
        <v>14483</v>
      </c>
      <c r="AZ502" s="15" t="s">
        <v>5335</v>
      </c>
      <c r="BA502" s="15" t="s">
        <v>2839</v>
      </c>
      <c r="BB502" s="15" t="s">
        <v>2807</v>
      </c>
      <c r="BC502" s="15" t="s">
        <v>4702</v>
      </c>
      <c r="BD502" s="15" t="s">
        <v>2807</v>
      </c>
      <c r="BE502" s="15" t="s">
        <v>14484</v>
      </c>
      <c r="BF502" s="18"/>
      <c r="BG502" s="18"/>
      <c r="BH502" s="18"/>
      <c r="BI502" s="15" t="s">
        <v>14485</v>
      </c>
      <c r="BJ502" s="19" t="s">
        <v>14486</v>
      </c>
      <c r="BK502" s="19" t="s">
        <v>14487</v>
      </c>
      <c r="BL502" s="19" t="s">
        <v>14488</v>
      </c>
      <c r="BM502" s="19" t="s">
        <v>14489</v>
      </c>
      <c r="BN502" s="19" t="s">
        <v>14490</v>
      </c>
      <c r="BO502" s="19" t="s">
        <v>14491</v>
      </c>
      <c r="BP502" s="19" t="s">
        <v>14492</v>
      </c>
      <c r="BQ502" s="15" t="s">
        <v>1321</v>
      </c>
      <c r="BR502" s="18"/>
      <c r="BS502" s="18"/>
      <c r="BT502" s="18"/>
      <c r="BU502" s="18"/>
      <c r="BV502" s="18"/>
      <c r="BW502" s="15" t="s">
        <v>14493</v>
      </c>
      <c r="BX502" s="18"/>
      <c r="BY502" s="18" t="str">
        <f t="shared" si="107"/>
        <v>MECH</v>
      </c>
      <c r="BZ502" s="24" t="str">
        <f t="shared" si="100"/>
        <v>https://drive.google.com/open?id=1AMLc_znFKQIS3FFBJzWurdAnsSbD-gPp</v>
      </c>
      <c r="CA502" s="24" t="str">
        <f t="shared" si="101"/>
        <v>https://drive.google.com/open?id=1Mvfxs8W1yNlRMQ5SMWk3DlNgTPZhEoBq</v>
      </c>
      <c r="CB502" s="15" t="s">
        <v>2821</v>
      </c>
      <c r="CC502" s="15" t="s">
        <v>2821</v>
      </c>
      <c r="CD502" s="25" t="s">
        <v>2787</v>
      </c>
      <c r="CE502" s="18"/>
      <c r="CF502" s="18"/>
      <c r="CG502" s="18"/>
    </row>
    <row r="503" ht="18.75" hidden="1" customHeight="1">
      <c r="A503" s="14">
        <v>44738.95471193287</v>
      </c>
      <c r="B503" s="15" t="s">
        <v>2616</v>
      </c>
      <c r="C503" s="16" t="s">
        <v>14494</v>
      </c>
      <c r="D503" s="15" t="str">
        <f>IFERROR(__xludf.DUMMYFUNCTION("QUERY(TY_ALL_2023_Batch!$A$1:$E$824, ""SELECT E WHERE C='""&amp;B503&amp;""'"", 0)"),"MECH")</f>
        <v>MECH</v>
      </c>
      <c r="E503" s="15" t="s">
        <v>14495</v>
      </c>
      <c r="F503" s="15" t="s">
        <v>14496</v>
      </c>
      <c r="G503" s="15" t="s">
        <v>5184</v>
      </c>
      <c r="H503" s="15" t="s">
        <v>2826</v>
      </c>
      <c r="I503" s="17">
        <v>37193.0</v>
      </c>
      <c r="J503" s="15">
        <v>2019.0</v>
      </c>
      <c r="K503" s="15" t="s">
        <v>2786</v>
      </c>
      <c r="L503" s="15" t="s">
        <v>2787</v>
      </c>
      <c r="M503" s="18"/>
      <c r="N503" s="15" t="s">
        <v>14497</v>
      </c>
      <c r="O503" s="15" t="s">
        <v>2616</v>
      </c>
      <c r="P503" s="19" t="s">
        <v>14498</v>
      </c>
      <c r="Q503" s="15">
        <v>7.745890247E9</v>
      </c>
      <c r="R503" s="15">
        <v>7.745890247E9</v>
      </c>
      <c r="S503" s="15">
        <v>7.8758659E9</v>
      </c>
      <c r="T503" s="15" t="s">
        <v>14499</v>
      </c>
      <c r="U503" s="15" t="s">
        <v>14500</v>
      </c>
      <c r="V503" s="15" t="s">
        <v>14501</v>
      </c>
      <c r="W503" s="18"/>
      <c r="X503" s="15">
        <v>84.0</v>
      </c>
      <c r="Y503" s="15" t="s">
        <v>2795</v>
      </c>
      <c r="Z503" s="15">
        <v>7.88</v>
      </c>
      <c r="AA503" s="15">
        <v>8.86</v>
      </c>
      <c r="AB503" s="15" t="s">
        <v>2796</v>
      </c>
      <c r="AC503" s="15" t="s">
        <v>2796</v>
      </c>
      <c r="AD503" s="15" t="s">
        <v>2796</v>
      </c>
      <c r="AE503" s="15" t="s">
        <v>2796</v>
      </c>
      <c r="AF503" s="15">
        <v>7.76</v>
      </c>
      <c r="AG503" s="15">
        <v>7.88</v>
      </c>
      <c r="AH503" s="15">
        <v>60.0</v>
      </c>
      <c r="AI503" s="18"/>
      <c r="AJ503" s="15" t="s">
        <v>2787</v>
      </c>
      <c r="AK503" s="15" t="s">
        <v>2787</v>
      </c>
      <c r="AL503" s="15">
        <v>82.0</v>
      </c>
      <c r="AM503" s="15">
        <v>53.0</v>
      </c>
      <c r="AN503" s="15" t="s">
        <v>2797</v>
      </c>
      <c r="AO503" s="15" t="s">
        <v>3313</v>
      </c>
      <c r="AP503" s="15" t="s">
        <v>3313</v>
      </c>
      <c r="AQ503" s="15" t="s">
        <v>14502</v>
      </c>
      <c r="AR503" s="15" t="s">
        <v>14503</v>
      </c>
      <c r="AS503" s="15" t="s">
        <v>14504</v>
      </c>
      <c r="AT503" s="15" t="s">
        <v>2796</v>
      </c>
      <c r="AU503" s="15" t="s">
        <v>14505</v>
      </c>
      <c r="AV503" s="15" t="s">
        <v>14506</v>
      </c>
      <c r="AW503" s="15" t="s">
        <v>14507</v>
      </c>
      <c r="AX503" s="15" t="s">
        <v>2796</v>
      </c>
      <c r="AY503" s="15" t="s">
        <v>14508</v>
      </c>
      <c r="AZ503" s="15" t="s">
        <v>3960</v>
      </c>
      <c r="BA503" s="15" t="s">
        <v>2899</v>
      </c>
      <c r="BB503" s="15" t="s">
        <v>2807</v>
      </c>
      <c r="BC503" s="15" t="s">
        <v>2808</v>
      </c>
      <c r="BD503" s="15" t="s">
        <v>3393</v>
      </c>
      <c r="BE503" s="15" t="s">
        <v>14509</v>
      </c>
      <c r="BF503" s="15" t="s">
        <v>2796</v>
      </c>
      <c r="BG503" s="15" t="s">
        <v>2796</v>
      </c>
      <c r="BH503" s="18"/>
      <c r="BI503" s="15" t="s">
        <v>14510</v>
      </c>
      <c r="BJ503" s="19" t="s">
        <v>14511</v>
      </c>
      <c r="BK503" s="19" t="s">
        <v>14512</v>
      </c>
      <c r="BL503" s="19" t="s">
        <v>14513</v>
      </c>
      <c r="BM503" s="20" t="s">
        <v>14514</v>
      </c>
      <c r="BN503" s="19" t="s">
        <v>14515</v>
      </c>
      <c r="BO503" s="19" t="s">
        <v>14516</v>
      </c>
      <c r="BP503" s="18"/>
      <c r="BQ503" s="15" t="s">
        <v>1321</v>
      </c>
      <c r="BR503" s="18"/>
      <c r="BS503" s="19" t="s">
        <v>14517</v>
      </c>
      <c r="BT503" s="19" t="s">
        <v>14518</v>
      </c>
      <c r="BU503" s="19" t="s">
        <v>14519</v>
      </c>
      <c r="BV503" s="19" t="s">
        <v>14520</v>
      </c>
      <c r="BW503" s="15" t="s">
        <v>14521</v>
      </c>
      <c r="BX503" s="18"/>
      <c r="BY503" s="18" t="str">
        <f t="shared" si="107"/>
        <v>MECH</v>
      </c>
      <c r="BZ503" s="24" t="str">
        <f t="shared" si="100"/>
        <v>https://drive.google.com/open?id=1I4-_KDB4xcGEuY82EE_IccTgImq9KKv9</v>
      </c>
      <c r="CA503" s="24" t="str">
        <f t="shared" si="101"/>
        <v>https://drive.google.com/open?id=1OCBiGYj7EfAcxdQweEVI6ET6SnCAozNn</v>
      </c>
      <c r="CB503" s="15" t="s">
        <v>2821</v>
      </c>
      <c r="CC503" s="15" t="s">
        <v>2821</v>
      </c>
      <c r="CD503" s="25" t="s">
        <v>2787</v>
      </c>
      <c r="CE503" s="18"/>
      <c r="CF503" s="18"/>
      <c r="CG503" s="18"/>
    </row>
    <row r="504" ht="18.75" hidden="1" customHeight="1">
      <c r="A504" s="14">
        <v>44740.763520567125</v>
      </c>
      <c r="B504" s="15" t="s">
        <v>1491</v>
      </c>
      <c r="C504" s="16" t="s">
        <v>14522</v>
      </c>
      <c r="D504" s="15" t="str">
        <f>IFERROR(__xludf.DUMMYFUNCTION("QUERY(TY_ALL_2023_Batch!$A$1:$E$824, ""SELECT E WHERE C='""&amp;B504&amp;""'"", 0)"),"MECH")</f>
        <v>MECH</v>
      </c>
      <c r="E504" s="15" t="s">
        <v>14523</v>
      </c>
      <c r="F504" s="15" t="s">
        <v>14524</v>
      </c>
      <c r="G504" s="15" t="s">
        <v>14525</v>
      </c>
      <c r="H504" s="15" t="s">
        <v>2785</v>
      </c>
      <c r="I504" s="17">
        <v>37015.0</v>
      </c>
      <c r="J504" s="15">
        <v>2020.0</v>
      </c>
      <c r="K504" s="15" t="s">
        <v>2941</v>
      </c>
      <c r="L504" s="15" t="s">
        <v>2787</v>
      </c>
      <c r="M504" s="18"/>
      <c r="N504" s="15" t="s">
        <v>14526</v>
      </c>
      <c r="O504" s="15" t="s">
        <v>14527</v>
      </c>
      <c r="P504" s="19" t="s">
        <v>14528</v>
      </c>
      <c r="Q504" s="15">
        <v>9.920907322E9</v>
      </c>
      <c r="R504" s="15">
        <v>9.920907322E9</v>
      </c>
      <c r="S504" s="15">
        <v>9.082261756E9</v>
      </c>
      <c r="T504" s="15" t="s">
        <v>14524</v>
      </c>
      <c r="U504" s="15" t="s">
        <v>4661</v>
      </c>
      <c r="V504" s="15" t="s">
        <v>14529</v>
      </c>
      <c r="W504" s="15" t="s">
        <v>14530</v>
      </c>
      <c r="X504" s="15">
        <v>91.6</v>
      </c>
      <c r="Y504" s="15" t="s">
        <v>2948</v>
      </c>
      <c r="Z504" s="15">
        <v>9.57</v>
      </c>
      <c r="AA504" s="15">
        <v>9.24</v>
      </c>
      <c r="AB504" s="15" t="s">
        <v>2796</v>
      </c>
      <c r="AC504" s="15" t="s">
        <v>2796</v>
      </c>
      <c r="AD504" s="15" t="s">
        <v>2796</v>
      </c>
      <c r="AE504" s="15" t="s">
        <v>2796</v>
      </c>
      <c r="AF504" s="18"/>
      <c r="AG504" s="18"/>
      <c r="AH504" s="18"/>
      <c r="AI504" s="15">
        <v>92.51</v>
      </c>
      <c r="AJ504" s="15" t="s">
        <v>2787</v>
      </c>
      <c r="AK504" s="15" t="s">
        <v>2787</v>
      </c>
      <c r="AL504" s="15">
        <v>619.995</v>
      </c>
      <c r="AM504" s="15">
        <v>656.66</v>
      </c>
      <c r="AN504" s="15" t="s">
        <v>2797</v>
      </c>
      <c r="AO504" s="18"/>
      <c r="AP504" s="18"/>
      <c r="AQ504" s="15" t="s">
        <v>14531</v>
      </c>
      <c r="AR504" s="15" t="s">
        <v>14532</v>
      </c>
      <c r="AS504" s="15"/>
      <c r="AT504" s="18"/>
      <c r="AU504" s="18"/>
      <c r="AV504" s="15" t="s">
        <v>14533</v>
      </c>
      <c r="AW504" s="15" t="s">
        <v>14534</v>
      </c>
      <c r="AX504" s="18"/>
      <c r="AY504" s="15" t="s">
        <v>14535</v>
      </c>
      <c r="AZ504" s="15" t="s">
        <v>9648</v>
      </c>
      <c r="BA504" s="15" t="s">
        <v>10710</v>
      </c>
      <c r="BB504" s="15" t="s">
        <v>2807</v>
      </c>
      <c r="BC504" s="15" t="s">
        <v>13150</v>
      </c>
      <c r="BD504" s="15" t="s">
        <v>2842</v>
      </c>
      <c r="BE504" s="15" t="s">
        <v>14536</v>
      </c>
      <c r="BF504" s="15" t="s">
        <v>14537</v>
      </c>
      <c r="BG504" s="18"/>
      <c r="BH504" s="15" t="s">
        <v>14538</v>
      </c>
      <c r="BI504" s="15" t="s">
        <v>14539</v>
      </c>
      <c r="BJ504" s="19" t="s">
        <v>14540</v>
      </c>
      <c r="BK504" s="19" t="s">
        <v>14541</v>
      </c>
      <c r="BL504" s="19" t="s">
        <v>14542</v>
      </c>
      <c r="BM504" s="19" t="s">
        <v>14543</v>
      </c>
      <c r="BN504" s="19" t="s">
        <v>14544</v>
      </c>
      <c r="BO504" s="19" t="s">
        <v>14545</v>
      </c>
      <c r="BP504" s="19" t="s">
        <v>14546</v>
      </c>
      <c r="BQ504" s="15" t="s">
        <v>1321</v>
      </c>
      <c r="BR504" s="26"/>
      <c r="BS504" s="26"/>
      <c r="BT504" s="19" t="s">
        <v>14547</v>
      </c>
      <c r="BU504" s="26"/>
      <c r="BV504" s="26"/>
      <c r="BW504" s="15" t="s">
        <v>14548</v>
      </c>
      <c r="BX504" s="26"/>
      <c r="BY504" s="18" t="str">
        <f t="shared" si="107"/>
        <v>MECH</v>
      </c>
      <c r="BZ504" s="24" t="str">
        <f t="shared" si="100"/>
        <v>https://drive.google.com/open?id=1XL1mjpv3lAzTiVCNk2zn-_RoH0VlA_ia</v>
      </c>
      <c r="CA504" s="24" t="str">
        <f t="shared" si="101"/>
        <v>https://drive.google.com/open?id=1eP48q5eodXYoHbBv-d4OsaHqZxsCd3um</v>
      </c>
      <c r="CB504" s="15" t="s">
        <v>2821</v>
      </c>
      <c r="CC504" s="15" t="s">
        <v>2821</v>
      </c>
      <c r="CD504" s="25" t="s">
        <v>2787</v>
      </c>
      <c r="CE504" s="18"/>
      <c r="CF504" s="18"/>
      <c r="CG504" s="18"/>
    </row>
    <row r="505" ht="18.75" hidden="1" customHeight="1">
      <c r="A505" s="14">
        <v>44740.62145262731</v>
      </c>
      <c r="B505" s="15" t="s">
        <v>1449</v>
      </c>
      <c r="C505" s="16" t="s">
        <v>14549</v>
      </c>
      <c r="D505" s="15" t="str">
        <f>IFERROR(__xludf.DUMMYFUNCTION("QUERY(TY_ALL_2023_Batch!$A$1:$E$824, ""SELECT E WHERE C='""&amp;B505&amp;""'"", 0)"),"MECH")</f>
        <v>MECH</v>
      </c>
      <c r="E505" s="15" t="s">
        <v>14550</v>
      </c>
      <c r="F505" s="15" t="s">
        <v>4152</v>
      </c>
      <c r="G505" s="15" t="s">
        <v>14551</v>
      </c>
      <c r="H505" s="15" t="s">
        <v>2826</v>
      </c>
      <c r="I505" s="17">
        <v>37096.0</v>
      </c>
      <c r="J505" s="15">
        <v>2020.0</v>
      </c>
      <c r="K505" s="15" t="s">
        <v>2941</v>
      </c>
      <c r="L505" s="15" t="s">
        <v>2787</v>
      </c>
      <c r="M505" s="18"/>
      <c r="N505" s="15" t="s">
        <v>14552</v>
      </c>
      <c r="O505" s="15" t="s">
        <v>14553</v>
      </c>
      <c r="P505" s="19" t="s">
        <v>14554</v>
      </c>
      <c r="Q505" s="15">
        <v>8.888934155E9</v>
      </c>
      <c r="R505" s="15">
        <v>8.888934155E9</v>
      </c>
      <c r="S505" s="15">
        <v>9.881680275E9</v>
      </c>
      <c r="T505" s="15" t="s">
        <v>4152</v>
      </c>
      <c r="U505" s="15" t="s">
        <v>14555</v>
      </c>
      <c r="V505" s="15" t="s">
        <v>14556</v>
      </c>
      <c r="W505" s="15" t="s">
        <v>14557</v>
      </c>
      <c r="X505" s="15">
        <v>80.0</v>
      </c>
      <c r="Y505" s="15" t="s">
        <v>2948</v>
      </c>
      <c r="Z505" s="15">
        <v>8.95</v>
      </c>
      <c r="AA505" s="15">
        <v>8.24</v>
      </c>
      <c r="AB505" s="15" t="s">
        <v>2796</v>
      </c>
      <c r="AC505" s="15" t="s">
        <v>2796</v>
      </c>
      <c r="AD505" s="15" t="s">
        <v>2796</v>
      </c>
      <c r="AE505" s="15" t="s">
        <v>2796</v>
      </c>
      <c r="AF505" s="18"/>
      <c r="AG505" s="18"/>
      <c r="AH505" s="18"/>
      <c r="AI505" s="15">
        <v>79.95</v>
      </c>
      <c r="AJ505" s="15" t="s">
        <v>2787</v>
      </c>
      <c r="AK505" s="15" t="s">
        <v>2787</v>
      </c>
      <c r="AL505" s="15">
        <v>500.83</v>
      </c>
      <c r="AM505" s="15">
        <v>455.0</v>
      </c>
      <c r="AN505" s="15" t="s">
        <v>2797</v>
      </c>
      <c r="AO505" s="18"/>
      <c r="AP505" s="18"/>
      <c r="AQ505" s="15" t="s">
        <v>14558</v>
      </c>
      <c r="AR505" s="15" t="s">
        <v>14559</v>
      </c>
      <c r="AS505" s="15"/>
      <c r="AT505" s="18"/>
      <c r="AU505" s="18"/>
      <c r="AV505" s="15" t="s">
        <v>14560</v>
      </c>
      <c r="AW505" s="15" t="s">
        <v>14561</v>
      </c>
      <c r="AX505" s="18"/>
      <c r="AY505" s="15" t="s">
        <v>14562</v>
      </c>
      <c r="AZ505" s="15" t="s">
        <v>9648</v>
      </c>
      <c r="BA505" s="15" t="s">
        <v>10710</v>
      </c>
      <c r="BB505" s="15" t="s">
        <v>2807</v>
      </c>
      <c r="BC505" s="15" t="s">
        <v>13150</v>
      </c>
      <c r="BD505" s="15" t="s">
        <v>2842</v>
      </c>
      <c r="BE505" s="15" t="s">
        <v>14563</v>
      </c>
      <c r="BF505" s="18"/>
      <c r="BG505" s="18"/>
      <c r="BH505" s="18"/>
      <c r="BI505" s="15" t="s">
        <v>14564</v>
      </c>
      <c r="BJ505" s="19" t="s">
        <v>14565</v>
      </c>
      <c r="BK505" s="19" t="s">
        <v>14566</v>
      </c>
      <c r="BL505" s="19" t="s">
        <v>14567</v>
      </c>
      <c r="BM505" s="19" t="s">
        <v>14568</v>
      </c>
      <c r="BN505" s="19" t="s">
        <v>14569</v>
      </c>
      <c r="BO505" s="19" t="s">
        <v>14570</v>
      </c>
      <c r="BP505" s="19" t="s">
        <v>14571</v>
      </c>
      <c r="BQ505" s="15" t="s">
        <v>1321</v>
      </c>
      <c r="BR505" s="26"/>
      <c r="BS505" s="26"/>
      <c r="BT505" s="19" t="s">
        <v>14572</v>
      </c>
      <c r="BU505" s="26"/>
      <c r="BV505" s="26"/>
      <c r="BW505" s="15" t="s">
        <v>14573</v>
      </c>
      <c r="BX505" s="26"/>
      <c r="BY505" s="18" t="str">
        <f t="shared" si="107"/>
        <v>MECH</v>
      </c>
      <c r="BZ505" s="24" t="str">
        <f t="shared" si="100"/>
        <v>https://drive.google.com/open?id=19snxIsh818-mNsDMThOlCVjfAYLx5bw1</v>
      </c>
      <c r="CA505" s="24" t="str">
        <f t="shared" si="101"/>
        <v>https://drive.google.com/open?id=1XsVTrBeMNc8S1HFzxjzhUKsWy7sp6SOy</v>
      </c>
      <c r="CB505" s="15" t="s">
        <v>2821</v>
      </c>
      <c r="CC505" s="15" t="s">
        <v>2821</v>
      </c>
      <c r="CD505" s="25" t="s">
        <v>2787</v>
      </c>
      <c r="CE505" s="18"/>
      <c r="CF505" s="18"/>
      <c r="CG505" s="18"/>
    </row>
    <row r="506" ht="18.75" hidden="1" customHeight="1">
      <c r="A506" s="14">
        <v>44734.86096104167</v>
      </c>
      <c r="B506" s="15" t="s">
        <v>2580</v>
      </c>
      <c r="C506" s="16" t="s">
        <v>14574</v>
      </c>
      <c r="D506" s="15" t="str">
        <f>IFERROR(__xludf.DUMMYFUNCTION("QUERY(TY_ALL_2023_Batch!$A$1:$E$824, ""SELECT E WHERE C='""&amp;B506&amp;""'"", 0)"),"MECH")</f>
        <v>MECH</v>
      </c>
      <c r="E506" s="15" t="s">
        <v>2782</v>
      </c>
      <c r="F506" s="15" t="s">
        <v>3247</v>
      </c>
      <c r="G506" s="15" t="s">
        <v>14575</v>
      </c>
      <c r="H506" s="15" t="s">
        <v>2785</v>
      </c>
      <c r="I506" s="17">
        <v>37185.0</v>
      </c>
      <c r="J506" s="15">
        <v>2019.0</v>
      </c>
      <c r="K506" s="15" t="s">
        <v>2786</v>
      </c>
      <c r="L506" s="15" t="s">
        <v>2787</v>
      </c>
      <c r="M506" s="18"/>
      <c r="N506" s="15" t="s">
        <v>14576</v>
      </c>
      <c r="O506" s="15" t="s">
        <v>2580</v>
      </c>
      <c r="P506" s="19" t="s">
        <v>14577</v>
      </c>
      <c r="Q506" s="15">
        <v>7.057262159E9</v>
      </c>
      <c r="R506" s="15">
        <v>7.057262159E9</v>
      </c>
      <c r="S506" s="15">
        <v>9.657446656E9</v>
      </c>
      <c r="T506" s="15" t="s">
        <v>14578</v>
      </c>
      <c r="U506" s="15" t="s">
        <v>14579</v>
      </c>
      <c r="V506" s="15" t="s">
        <v>14580</v>
      </c>
      <c r="W506" s="18"/>
      <c r="X506" s="15">
        <v>89.8</v>
      </c>
      <c r="Y506" s="15" t="s">
        <v>2795</v>
      </c>
      <c r="Z506" s="15">
        <v>8.6</v>
      </c>
      <c r="AA506" s="15">
        <v>8.76</v>
      </c>
      <c r="AB506" s="15" t="s">
        <v>2796</v>
      </c>
      <c r="AC506" s="15" t="s">
        <v>2796</v>
      </c>
      <c r="AD506" s="15" t="s">
        <v>2796</v>
      </c>
      <c r="AE506" s="15" t="s">
        <v>2796</v>
      </c>
      <c r="AF506" s="15">
        <v>7.95</v>
      </c>
      <c r="AG506" s="15">
        <v>9.19</v>
      </c>
      <c r="AH506" s="15">
        <v>62.15</v>
      </c>
      <c r="AI506" s="18"/>
      <c r="AJ506" s="15" t="s">
        <v>2787</v>
      </c>
      <c r="AK506" s="15" t="s">
        <v>2787</v>
      </c>
      <c r="AL506" s="15">
        <v>585.0</v>
      </c>
      <c r="AM506" s="15">
        <v>577.0</v>
      </c>
      <c r="AN506" s="15" t="s">
        <v>2787</v>
      </c>
      <c r="AO506" s="15" t="s">
        <v>2796</v>
      </c>
      <c r="AP506" s="15" t="s">
        <v>14581</v>
      </c>
      <c r="AQ506" s="15" t="s">
        <v>5356</v>
      </c>
      <c r="AR506" s="18"/>
      <c r="AS506" s="18"/>
      <c r="AT506" s="18"/>
      <c r="AU506" s="15" t="s">
        <v>14582</v>
      </c>
      <c r="AV506" s="15" t="s">
        <v>14583</v>
      </c>
      <c r="AW506" s="15" t="s">
        <v>14584</v>
      </c>
      <c r="AX506" s="18"/>
      <c r="AY506" s="15" t="s">
        <v>14585</v>
      </c>
      <c r="AZ506" s="15" t="s">
        <v>5287</v>
      </c>
      <c r="BA506" s="15" t="s">
        <v>2925</v>
      </c>
      <c r="BB506" s="15" t="s">
        <v>2807</v>
      </c>
      <c r="BC506" s="15" t="s">
        <v>13150</v>
      </c>
      <c r="BD506" s="15" t="s">
        <v>2807</v>
      </c>
      <c r="BE506" s="15" t="s">
        <v>14586</v>
      </c>
      <c r="BF506" s="18"/>
      <c r="BG506" s="18"/>
      <c r="BH506" s="18"/>
      <c r="BI506" s="18"/>
      <c r="BJ506" s="19" t="s">
        <v>14587</v>
      </c>
      <c r="BK506" s="19" t="s">
        <v>14588</v>
      </c>
      <c r="BL506" s="18"/>
      <c r="BM506" s="18"/>
      <c r="BN506" s="19" t="s">
        <v>14589</v>
      </c>
      <c r="BO506" s="19" t="s">
        <v>14590</v>
      </c>
      <c r="BP506" s="19" t="s">
        <v>14591</v>
      </c>
      <c r="BQ506" s="15" t="s">
        <v>1321</v>
      </c>
      <c r="BR506" s="26"/>
      <c r="BS506" s="26"/>
      <c r="BT506" s="26"/>
      <c r="BU506" s="26"/>
      <c r="BV506" s="26"/>
      <c r="BW506" s="26"/>
      <c r="BX506" s="26"/>
      <c r="BY506" s="18" t="str">
        <f t="shared" si="107"/>
        <v>MECH</v>
      </c>
      <c r="BZ506" s="18" t="str">
        <f t="shared" si="100"/>
        <v/>
      </c>
      <c r="CA506" s="18" t="str">
        <f t="shared" si="101"/>
        <v/>
      </c>
      <c r="CB506" s="15" t="s">
        <v>2908</v>
      </c>
      <c r="CC506" s="15" t="s">
        <v>2908</v>
      </c>
      <c r="CD506" s="25" t="s">
        <v>2797</v>
      </c>
      <c r="CE506" s="18"/>
      <c r="CF506" s="18"/>
      <c r="CG506" s="18"/>
    </row>
    <row r="507" ht="18.75" hidden="1" customHeight="1">
      <c r="A507" s="14">
        <v>44736.83776974537</v>
      </c>
      <c r="B507" s="15" t="s">
        <v>1518</v>
      </c>
      <c r="C507" s="16" t="s">
        <v>14592</v>
      </c>
      <c r="D507" s="15" t="str">
        <f>IFERROR(__xludf.DUMMYFUNCTION("QUERY(TY_ALL_2023_Batch!$A$1:$E$824, ""SELECT E WHERE C='""&amp;B507&amp;""'"", 0)"),"MECH")</f>
        <v>MECH</v>
      </c>
      <c r="E507" s="15" t="s">
        <v>3379</v>
      </c>
      <c r="F507" s="15" t="s">
        <v>9248</v>
      </c>
      <c r="G507" s="15" t="s">
        <v>3830</v>
      </c>
      <c r="H507" s="15" t="s">
        <v>2785</v>
      </c>
      <c r="I507" s="17">
        <v>37166.0</v>
      </c>
      <c r="J507" s="15">
        <v>2020.0</v>
      </c>
      <c r="K507" s="15" t="s">
        <v>2941</v>
      </c>
      <c r="L507" s="15" t="s">
        <v>2787</v>
      </c>
      <c r="M507" s="18"/>
      <c r="N507" s="15" t="s">
        <v>14593</v>
      </c>
      <c r="O507" s="15" t="s">
        <v>1518</v>
      </c>
      <c r="P507" s="19" t="s">
        <v>14594</v>
      </c>
      <c r="Q507" s="15">
        <v>8.14989428E9</v>
      </c>
      <c r="R507" s="15">
        <v>8.14989428E9</v>
      </c>
      <c r="S507" s="15">
        <v>9.309548302E9</v>
      </c>
      <c r="T507" s="15" t="s">
        <v>14595</v>
      </c>
      <c r="U507" s="15" t="s">
        <v>14596</v>
      </c>
      <c r="V507" s="15" t="s">
        <v>14597</v>
      </c>
      <c r="W507" s="15" t="s">
        <v>14598</v>
      </c>
      <c r="X507" s="15">
        <v>93.2</v>
      </c>
      <c r="Y507" s="15" t="s">
        <v>2948</v>
      </c>
      <c r="Z507" s="15">
        <v>8.86</v>
      </c>
      <c r="AA507" s="15">
        <v>8.86</v>
      </c>
      <c r="AB507" s="15" t="s">
        <v>2796</v>
      </c>
      <c r="AC507" s="15" t="s">
        <v>2796</v>
      </c>
      <c r="AD507" s="15" t="s">
        <v>2796</v>
      </c>
      <c r="AE507" s="15" t="s">
        <v>2796</v>
      </c>
      <c r="AF507" s="18"/>
      <c r="AG507" s="18"/>
      <c r="AH507" s="18"/>
      <c r="AI507" s="15">
        <v>92.15</v>
      </c>
      <c r="AJ507" s="15" t="s">
        <v>2787</v>
      </c>
      <c r="AK507" s="15" t="s">
        <v>2787</v>
      </c>
      <c r="AL507" s="15">
        <v>606.66</v>
      </c>
      <c r="AM507" s="15">
        <v>686.66</v>
      </c>
      <c r="AN507" s="15" t="s">
        <v>2797</v>
      </c>
      <c r="AO507" s="18"/>
      <c r="AP507" s="18"/>
      <c r="AQ507" s="15" t="s">
        <v>12964</v>
      </c>
      <c r="AR507" s="15" t="s">
        <v>14599</v>
      </c>
      <c r="AS507" s="15" t="s">
        <v>14600</v>
      </c>
      <c r="AT507" s="18"/>
      <c r="AU507" s="18"/>
      <c r="AV507" s="15" t="s">
        <v>14601</v>
      </c>
      <c r="AW507" s="15" t="s">
        <v>14602</v>
      </c>
      <c r="AX507" s="18"/>
      <c r="AY507" s="15" t="s">
        <v>14603</v>
      </c>
      <c r="AZ507" s="15" t="s">
        <v>3960</v>
      </c>
      <c r="BA507" s="15" t="s">
        <v>2870</v>
      </c>
      <c r="BB507" s="15" t="s">
        <v>2807</v>
      </c>
      <c r="BC507" s="15" t="s">
        <v>14604</v>
      </c>
      <c r="BD507" s="15" t="s">
        <v>2842</v>
      </c>
      <c r="BE507" s="15" t="s">
        <v>14605</v>
      </c>
      <c r="BF507" s="18"/>
      <c r="BG507" s="18"/>
      <c r="BH507" s="15" t="s">
        <v>14606</v>
      </c>
      <c r="BI507" s="15" t="s">
        <v>14607</v>
      </c>
      <c r="BJ507" s="19" t="s">
        <v>14608</v>
      </c>
      <c r="BK507" s="19" t="s">
        <v>14609</v>
      </c>
      <c r="BL507" s="19" t="s">
        <v>14610</v>
      </c>
      <c r="BM507" s="19" t="s">
        <v>14611</v>
      </c>
      <c r="BN507" s="19" t="s">
        <v>14612</v>
      </c>
      <c r="BO507" s="19" t="s">
        <v>14613</v>
      </c>
      <c r="BP507" s="18"/>
      <c r="BQ507" s="15" t="s">
        <v>1321</v>
      </c>
      <c r="BR507" s="26"/>
      <c r="BS507" s="26"/>
      <c r="BT507" s="19" t="s">
        <v>14614</v>
      </c>
      <c r="BU507" s="26"/>
      <c r="BV507" s="26"/>
      <c r="BW507" s="15" t="s">
        <v>14615</v>
      </c>
      <c r="BX507" s="26"/>
      <c r="BY507" s="18" t="str">
        <f t="shared" si="107"/>
        <v>MECH</v>
      </c>
      <c r="BZ507" s="24" t="str">
        <f t="shared" si="100"/>
        <v>https://drive.google.com/open?id=1Yxqjq2elWM5wivZeSt1dAh7I72seHAyU</v>
      </c>
      <c r="CA507" s="24" t="str">
        <f t="shared" si="101"/>
        <v>https://drive.google.com/open?id=1LT0D8DLX5nesHAuocRV9il5uTQbaA3CW</v>
      </c>
      <c r="CB507" s="15" t="s">
        <v>2821</v>
      </c>
      <c r="CC507" s="15" t="s">
        <v>2821</v>
      </c>
      <c r="CD507" s="25" t="s">
        <v>2787</v>
      </c>
      <c r="CE507" s="18"/>
      <c r="CF507" s="18"/>
      <c r="CG507" s="18"/>
    </row>
    <row r="508" ht="18.75" hidden="1" customHeight="1">
      <c r="A508" s="14">
        <v>44734.60590587963</v>
      </c>
      <c r="B508" s="15" t="s">
        <v>1548</v>
      </c>
      <c r="C508" s="16" t="s">
        <v>14616</v>
      </c>
      <c r="D508" s="15" t="str">
        <f>IFERROR(__xludf.DUMMYFUNCTION("QUERY(TY_ALL_2023_Batch!$A$1:$E$824, ""SELECT E WHERE C='""&amp;B508&amp;""'"", 0)"),"MECH")</f>
        <v>MECH</v>
      </c>
      <c r="E508" s="15" t="s">
        <v>13989</v>
      </c>
      <c r="F508" s="15" t="s">
        <v>5406</v>
      </c>
      <c r="G508" s="15" t="s">
        <v>14617</v>
      </c>
      <c r="H508" s="15" t="s">
        <v>2785</v>
      </c>
      <c r="I508" s="17">
        <v>37294.0</v>
      </c>
      <c r="J508" s="15">
        <v>2020.0</v>
      </c>
      <c r="K508" s="15" t="s">
        <v>2941</v>
      </c>
      <c r="L508" s="15" t="s">
        <v>2787</v>
      </c>
      <c r="M508" s="18"/>
      <c r="N508" s="15" t="s">
        <v>14618</v>
      </c>
      <c r="O508" s="15" t="s">
        <v>1548</v>
      </c>
      <c r="P508" s="19" t="s">
        <v>14619</v>
      </c>
      <c r="Q508" s="15">
        <v>9.766384766E9</v>
      </c>
      <c r="R508" s="15">
        <v>9.766384766E9</v>
      </c>
      <c r="S508" s="18"/>
      <c r="T508" s="15" t="s">
        <v>5406</v>
      </c>
      <c r="U508" s="15" t="s">
        <v>10777</v>
      </c>
      <c r="V508" s="15" t="s">
        <v>14620</v>
      </c>
      <c r="W508" s="18"/>
      <c r="X508" s="15">
        <v>78.4</v>
      </c>
      <c r="Y508" s="15" t="s">
        <v>2948</v>
      </c>
      <c r="Z508" s="15">
        <v>8.14</v>
      </c>
      <c r="AA508" s="15">
        <v>7.23</v>
      </c>
      <c r="AB508" s="15" t="s">
        <v>2796</v>
      </c>
      <c r="AC508" s="15" t="s">
        <v>2796</v>
      </c>
      <c r="AD508" s="15" t="s">
        <v>2796</v>
      </c>
      <c r="AE508" s="15" t="s">
        <v>2796</v>
      </c>
      <c r="AF508" s="18"/>
      <c r="AG508" s="18"/>
      <c r="AH508" s="18"/>
      <c r="AI508" s="15">
        <v>91.23</v>
      </c>
      <c r="AJ508" s="15" t="s">
        <v>2787</v>
      </c>
      <c r="AK508" s="15" t="s">
        <v>2787</v>
      </c>
      <c r="AL508" s="18"/>
      <c r="AM508" s="18"/>
      <c r="AN508" s="15" t="s">
        <v>2787</v>
      </c>
      <c r="AO508" s="15" t="s">
        <v>14621</v>
      </c>
      <c r="AP508" s="15" t="s">
        <v>14621</v>
      </c>
      <c r="AQ508" s="15" t="s">
        <v>14622</v>
      </c>
      <c r="AR508" s="15" t="s">
        <v>14623</v>
      </c>
      <c r="AS508" s="18"/>
      <c r="AT508" s="18"/>
      <c r="AU508" s="18"/>
      <c r="AV508" s="18"/>
      <c r="AW508" s="15" t="s">
        <v>14624</v>
      </c>
      <c r="AX508" s="15" t="s">
        <v>14625</v>
      </c>
      <c r="AY508" s="15" t="s">
        <v>14626</v>
      </c>
      <c r="AZ508" s="15" t="s">
        <v>8440</v>
      </c>
      <c r="BA508" s="15" t="s">
        <v>6926</v>
      </c>
      <c r="BB508" s="15" t="s">
        <v>6147</v>
      </c>
      <c r="BC508" s="15" t="s">
        <v>13150</v>
      </c>
      <c r="BD508" s="15" t="s">
        <v>2807</v>
      </c>
      <c r="BE508" s="15" t="s">
        <v>14627</v>
      </c>
      <c r="BF508" s="18"/>
      <c r="BG508" s="18"/>
      <c r="BH508" s="18"/>
      <c r="BI508" s="15" t="s">
        <v>14628</v>
      </c>
      <c r="BJ508" s="19" t="s">
        <v>14629</v>
      </c>
      <c r="BK508" s="19" t="s">
        <v>14630</v>
      </c>
      <c r="BL508" s="18"/>
      <c r="BM508" s="18"/>
      <c r="BN508" s="19" t="s">
        <v>14631</v>
      </c>
      <c r="BO508" s="19" t="s">
        <v>14632</v>
      </c>
      <c r="BP508" s="18"/>
      <c r="BQ508" s="15" t="s">
        <v>1321</v>
      </c>
      <c r="BR508" s="26"/>
      <c r="BS508" s="26"/>
      <c r="BT508" s="26"/>
      <c r="BU508" s="26"/>
      <c r="BV508" s="26"/>
      <c r="BW508" s="26"/>
      <c r="BX508" s="26"/>
      <c r="BY508" s="18" t="str">
        <f t="shared" si="107"/>
        <v>MECH</v>
      </c>
      <c r="BZ508" s="18" t="str">
        <f t="shared" si="100"/>
        <v/>
      </c>
      <c r="CA508" s="18" t="str">
        <f t="shared" si="101"/>
        <v/>
      </c>
      <c r="CB508" s="15" t="s">
        <v>2908</v>
      </c>
      <c r="CC508" s="15" t="s">
        <v>2908</v>
      </c>
      <c r="CD508" s="25" t="s">
        <v>2797</v>
      </c>
      <c r="CE508" s="18"/>
      <c r="CF508" s="18"/>
      <c r="CG508" s="18"/>
    </row>
    <row r="509" ht="18.75" hidden="1" customHeight="1">
      <c r="A509" s="14">
        <v>44742.493810300926</v>
      </c>
      <c r="B509" s="15" t="s">
        <v>2508</v>
      </c>
      <c r="C509" s="16" t="s">
        <v>14633</v>
      </c>
      <c r="D509" s="15" t="str">
        <f>IFERROR(__xludf.DUMMYFUNCTION("QUERY(TY_ALL_2023_Batch!$A$1:$E$824, ""SELECT E WHERE C='""&amp;B509&amp;""'"", 0)"),"MECH")</f>
        <v>MECH</v>
      </c>
      <c r="E509" s="15" t="s">
        <v>9340</v>
      </c>
      <c r="F509" s="15" t="s">
        <v>12092</v>
      </c>
      <c r="G509" s="15" t="s">
        <v>6703</v>
      </c>
      <c r="H509" s="15" t="s">
        <v>2785</v>
      </c>
      <c r="I509" s="17">
        <v>37132.0</v>
      </c>
      <c r="J509" s="15">
        <v>2019.0</v>
      </c>
      <c r="K509" s="15" t="s">
        <v>2786</v>
      </c>
      <c r="L509" s="15" t="s">
        <v>2787</v>
      </c>
      <c r="M509" s="18"/>
      <c r="N509" s="15" t="s">
        <v>14634</v>
      </c>
      <c r="O509" s="15" t="s">
        <v>2508</v>
      </c>
      <c r="P509" s="19" t="s">
        <v>14635</v>
      </c>
      <c r="Q509" s="15">
        <v>7.350589311E9</v>
      </c>
      <c r="R509" s="15">
        <v>7.350589311E9</v>
      </c>
      <c r="S509" s="18"/>
      <c r="T509" s="15" t="s">
        <v>12092</v>
      </c>
      <c r="U509" s="15" t="s">
        <v>4598</v>
      </c>
      <c r="V509" s="15" t="s">
        <v>14636</v>
      </c>
      <c r="W509" s="15" t="s">
        <v>14637</v>
      </c>
      <c r="X509" s="15">
        <v>81.8</v>
      </c>
      <c r="Y509" s="15" t="s">
        <v>2795</v>
      </c>
      <c r="Z509" s="15">
        <v>5.57</v>
      </c>
      <c r="AA509" s="15">
        <v>6.97</v>
      </c>
      <c r="AB509" s="15">
        <v>6.0</v>
      </c>
      <c r="AC509" s="15">
        <v>7.95</v>
      </c>
      <c r="AD509" s="15" t="s">
        <v>2796</v>
      </c>
      <c r="AE509" s="15" t="s">
        <v>2796</v>
      </c>
      <c r="AF509" s="15">
        <v>7.0</v>
      </c>
      <c r="AG509" s="15">
        <v>7.0</v>
      </c>
      <c r="AH509" s="15">
        <v>67.53</v>
      </c>
      <c r="AI509" s="18"/>
      <c r="AJ509" s="15" t="s">
        <v>2787</v>
      </c>
      <c r="AK509" s="15" t="s">
        <v>2787</v>
      </c>
      <c r="AL509" s="15">
        <v>490.0</v>
      </c>
      <c r="AM509" s="15">
        <v>558.33</v>
      </c>
      <c r="AN509" s="15" t="s">
        <v>2787</v>
      </c>
      <c r="AO509" s="15" t="s">
        <v>14638</v>
      </c>
      <c r="AP509" s="15" t="s">
        <v>14639</v>
      </c>
      <c r="AQ509" s="15" t="s">
        <v>14640</v>
      </c>
      <c r="AR509" s="18"/>
      <c r="AS509" s="18"/>
      <c r="AT509" s="15" t="s">
        <v>2796</v>
      </c>
      <c r="AU509" s="15" t="s">
        <v>14641</v>
      </c>
      <c r="AV509" s="15" t="s">
        <v>14642</v>
      </c>
      <c r="AW509" s="15" t="s">
        <v>14643</v>
      </c>
      <c r="AX509" s="18"/>
      <c r="AY509" s="15" t="s">
        <v>14643</v>
      </c>
      <c r="AZ509" s="15" t="s">
        <v>3960</v>
      </c>
      <c r="BA509" s="15" t="s">
        <v>10710</v>
      </c>
      <c r="BB509" s="15" t="s">
        <v>5729</v>
      </c>
      <c r="BC509" s="15" t="s">
        <v>14644</v>
      </c>
      <c r="BD509" s="15" t="s">
        <v>2807</v>
      </c>
      <c r="BE509" s="15" t="s">
        <v>2796</v>
      </c>
      <c r="BF509" s="18"/>
      <c r="BG509" s="18"/>
      <c r="BH509" s="18"/>
      <c r="BI509" s="18"/>
      <c r="BJ509" s="19" t="s">
        <v>14645</v>
      </c>
      <c r="BK509" s="19" t="s">
        <v>14646</v>
      </c>
      <c r="BL509" s="19" t="s">
        <v>14647</v>
      </c>
      <c r="BM509" s="19" t="s">
        <v>14648</v>
      </c>
      <c r="BN509" s="18"/>
      <c r="BO509" s="19" t="s">
        <v>14649</v>
      </c>
      <c r="BP509" s="18"/>
      <c r="BQ509" s="15" t="s">
        <v>1321</v>
      </c>
      <c r="BR509" s="18"/>
      <c r="BS509" s="18"/>
      <c r="BT509" s="19" t="s">
        <v>14650</v>
      </c>
      <c r="BU509" s="19" t="s">
        <v>14651</v>
      </c>
      <c r="BV509" s="19" t="s">
        <v>14652</v>
      </c>
      <c r="BW509" s="15" t="s">
        <v>14653</v>
      </c>
      <c r="BX509" s="18"/>
      <c r="BY509" s="18" t="str">
        <f t="shared" si="107"/>
        <v>MECH</v>
      </c>
      <c r="BZ509" s="24" t="str">
        <f t="shared" si="100"/>
        <v>https://drive.google.com/open?id=11a3SPI369N85e3D00QalDKK05PdCSGn_</v>
      </c>
      <c r="CA509" s="24" t="str">
        <f t="shared" si="101"/>
        <v>https://drive.google.com/open?id=1GYWsOZbRf4ewxCbBN_V6ANL_upna8jR0</v>
      </c>
      <c r="CB509" s="15" t="s">
        <v>2821</v>
      </c>
      <c r="CC509" s="15" t="s">
        <v>2821</v>
      </c>
      <c r="CD509" s="25" t="s">
        <v>2787</v>
      </c>
      <c r="CE509" s="18"/>
      <c r="CF509" s="18"/>
      <c r="CG509" s="18"/>
    </row>
    <row r="510" ht="18.75" hidden="1" customHeight="1">
      <c r="A510" s="14">
        <v>44736.51539538194</v>
      </c>
      <c r="B510" s="15" t="s">
        <v>2544</v>
      </c>
      <c r="C510" s="16" t="s">
        <v>14654</v>
      </c>
      <c r="D510" s="15" t="str">
        <f>IFERROR(__xludf.DUMMYFUNCTION("QUERY(TY_ALL_2023_Batch!$A$1:$E$824, ""SELECT E WHERE C='""&amp;B510&amp;""'"", 0)"),"MECH")</f>
        <v>MECH</v>
      </c>
      <c r="E510" s="15" t="s">
        <v>14655</v>
      </c>
      <c r="F510" s="15" t="s">
        <v>14656</v>
      </c>
      <c r="G510" s="15" t="s">
        <v>3926</v>
      </c>
      <c r="H510" s="15" t="s">
        <v>2785</v>
      </c>
      <c r="I510" s="17">
        <v>37160.0</v>
      </c>
      <c r="J510" s="15">
        <v>2019.0</v>
      </c>
      <c r="K510" s="15" t="s">
        <v>2786</v>
      </c>
      <c r="L510" s="15" t="s">
        <v>2787</v>
      </c>
      <c r="M510" s="18"/>
      <c r="N510" s="15" t="s">
        <v>14657</v>
      </c>
      <c r="O510" s="15" t="s">
        <v>2544</v>
      </c>
      <c r="P510" s="19" t="s">
        <v>14658</v>
      </c>
      <c r="Q510" s="15">
        <v>8.379925435E9</v>
      </c>
      <c r="R510" s="15">
        <v>8.379925435E9</v>
      </c>
      <c r="S510" s="15">
        <v>8.080512265E9</v>
      </c>
      <c r="T510" s="15" t="s">
        <v>14656</v>
      </c>
      <c r="U510" s="15" t="s">
        <v>14659</v>
      </c>
      <c r="V510" s="15" t="s">
        <v>14660</v>
      </c>
      <c r="W510" s="15" t="s">
        <v>14661</v>
      </c>
      <c r="X510" s="15">
        <v>94.8</v>
      </c>
      <c r="Y510" s="15" t="s">
        <v>2795</v>
      </c>
      <c r="Z510" s="15">
        <v>7.76</v>
      </c>
      <c r="AA510" s="15">
        <v>8.33</v>
      </c>
      <c r="AB510" s="15" t="s">
        <v>2796</v>
      </c>
      <c r="AC510" s="15" t="s">
        <v>2796</v>
      </c>
      <c r="AD510" s="15" t="s">
        <v>2796</v>
      </c>
      <c r="AE510" s="15" t="s">
        <v>2796</v>
      </c>
      <c r="AF510" s="15">
        <v>7.58</v>
      </c>
      <c r="AG510" s="15">
        <v>8.33</v>
      </c>
      <c r="AH510" s="15">
        <v>79.2</v>
      </c>
      <c r="AI510" s="18"/>
      <c r="AJ510" s="15" t="s">
        <v>2787</v>
      </c>
      <c r="AK510" s="15" t="s">
        <v>2787</v>
      </c>
      <c r="AL510" s="15">
        <v>71.66</v>
      </c>
      <c r="AM510" s="15">
        <v>90.33</v>
      </c>
      <c r="AN510" s="15" t="s">
        <v>2797</v>
      </c>
      <c r="AO510" s="18"/>
      <c r="AP510" s="15" t="s">
        <v>14662</v>
      </c>
      <c r="AQ510" s="15" t="s">
        <v>14663</v>
      </c>
      <c r="AR510" s="15" t="s">
        <v>14664</v>
      </c>
      <c r="AS510" s="18"/>
      <c r="AT510" s="18"/>
      <c r="AU510" s="18"/>
      <c r="AV510" s="15" t="s">
        <v>14665</v>
      </c>
      <c r="AW510" s="15" t="s">
        <v>14666</v>
      </c>
      <c r="AX510" s="18"/>
      <c r="AY510" s="15" t="s">
        <v>14667</v>
      </c>
      <c r="AZ510" s="15" t="s">
        <v>3960</v>
      </c>
      <c r="BA510" s="15" t="s">
        <v>2899</v>
      </c>
      <c r="BB510" s="15" t="s">
        <v>2807</v>
      </c>
      <c r="BC510" s="15" t="s">
        <v>2808</v>
      </c>
      <c r="BD510" s="15" t="s">
        <v>2807</v>
      </c>
      <c r="BE510" s="15" t="s">
        <v>2796</v>
      </c>
      <c r="BF510" s="18"/>
      <c r="BG510" s="18"/>
      <c r="BH510" s="18"/>
      <c r="BI510" s="15" t="s">
        <v>14668</v>
      </c>
      <c r="BJ510" s="19" t="s">
        <v>14669</v>
      </c>
      <c r="BK510" s="19" t="s">
        <v>14670</v>
      </c>
      <c r="BL510" s="19" t="s">
        <v>14671</v>
      </c>
      <c r="BM510" s="19" t="s">
        <v>14672</v>
      </c>
      <c r="BN510" s="19" t="s">
        <v>14673</v>
      </c>
      <c r="BO510" s="19" t="s">
        <v>14674</v>
      </c>
      <c r="BP510" s="18"/>
      <c r="BQ510" s="15" t="s">
        <v>1321</v>
      </c>
      <c r="BR510" s="26"/>
      <c r="BS510" s="26"/>
      <c r="BT510" s="26"/>
      <c r="BU510" s="26"/>
      <c r="BV510" s="26"/>
      <c r="BW510" s="26"/>
      <c r="BX510" s="26"/>
      <c r="BY510" s="18" t="str">
        <f t="shared" si="107"/>
        <v>MECH</v>
      </c>
      <c r="BZ510" s="24" t="str">
        <f t="shared" si="100"/>
        <v>https://drive.google.com/open?id=17sjsXgD03qBBg59GC6vjST2ermwG9NAA</v>
      </c>
      <c r="CA510" s="24" t="str">
        <f t="shared" si="101"/>
        <v>https://drive.google.com/open?id=1CIWO_WQbHAxh0C1VjHfvwkWPX2dXMVR1</v>
      </c>
      <c r="CB510" s="15" t="s">
        <v>2821</v>
      </c>
      <c r="CC510" s="15" t="s">
        <v>2821</v>
      </c>
      <c r="CD510" s="25" t="s">
        <v>2797</v>
      </c>
      <c r="CE510" s="18"/>
      <c r="CF510" s="18"/>
      <c r="CG510" s="18"/>
    </row>
    <row r="511" ht="18.75" hidden="1" customHeight="1">
      <c r="A511" s="14">
        <v>44742.73705476851</v>
      </c>
      <c r="B511" s="15" t="s">
        <v>2652</v>
      </c>
      <c r="C511" s="16" t="s">
        <v>14675</v>
      </c>
      <c r="D511" s="15" t="str">
        <f>IFERROR(__xludf.DUMMYFUNCTION("QUERY(TY_ALL_2023_Batch!$A$1:$E$824, ""SELECT E WHERE C='""&amp;B511&amp;""'"", 0)"),"MECH")</f>
        <v>MECH</v>
      </c>
      <c r="E511" s="15" t="s">
        <v>8231</v>
      </c>
      <c r="F511" s="15" t="s">
        <v>14676</v>
      </c>
      <c r="G511" s="15" t="s">
        <v>14677</v>
      </c>
      <c r="H511" s="15" t="s">
        <v>2785</v>
      </c>
      <c r="I511" s="17">
        <v>36444.0</v>
      </c>
      <c r="J511" s="15">
        <v>2019.0</v>
      </c>
      <c r="K511" s="15" t="s">
        <v>2786</v>
      </c>
      <c r="L511" s="15" t="s">
        <v>2787</v>
      </c>
      <c r="M511" s="18"/>
      <c r="N511" s="15" t="s">
        <v>14678</v>
      </c>
      <c r="O511" s="15" t="s">
        <v>2652</v>
      </c>
      <c r="P511" s="19" t="s">
        <v>14679</v>
      </c>
      <c r="Q511" s="15">
        <v>7.385227068E9</v>
      </c>
      <c r="R511" s="15">
        <v>7.385227068E9</v>
      </c>
      <c r="S511" s="15">
        <v>7.385227068E9</v>
      </c>
      <c r="T511" s="15" t="s">
        <v>14680</v>
      </c>
      <c r="U511" s="15" t="s">
        <v>14681</v>
      </c>
      <c r="V511" s="15" t="s">
        <v>14682</v>
      </c>
      <c r="W511" s="15" t="s">
        <v>14683</v>
      </c>
      <c r="X511" s="15">
        <v>62.0</v>
      </c>
      <c r="Y511" s="15" t="s">
        <v>2795</v>
      </c>
      <c r="Z511" s="15">
        <v>8.29</v>
      </c>
      <c r="AA511" s="15">
        <v>6.81</v>
      </c>
      <c r="AB511" s="15">
        <v>6.52</v>
      </c>
      <c r="AC511" s="15" t="s">
        <v>2796</v>
      </c>
      <c r="AD511" s="15" t="s">
        <v>2796</v>
      </c>
      <c r="AE511" s="15" t="s">
        <v>2796</v>
      </c>
      <c r="AF511" s="15">
        <v>7.32</v>
      </c>
      <c r="AG511" s="15">
        <v>6.1</v>
      </c>
      <c r="AH511" s="15">
        <v>77.6</v>
      </c>
      <c r="AI511" s="18"/>
      <c r="AJ511" s="15" t="s">
        <v>2787</v>
      </c>
      <c r="AK511" s="15" t="s">
        <v>2787</v>
      </c>
      <c r="AL511" s="15">
        <v>520.0</v>
      </c>
      <c r="AM511" s="15">
        <v>560.0</v>
      </c>
      <c r="AN511" s="15" t="s">
        <v>2787</v>
      </c>
      <c r="AO511" s="15">
        <v>0.0</v>
      </c>
      <c r="AP511" s="15" t="s">
        <v>14684</v>
      </c>
      <c r="AQ511" s="15" t="s">
        <v>14685</v>
      </c>
      <c r="AR511" s="15" t="s">
        <v>14686</v>
      </c>
      <c r="AS511" s="15" t="s">
        <v>14687</v>
      </c>
      <c r="AT511" s="15" t="s">
        <v>14688</v>
      </c>
      <c r="AU511" s="15" t="s">
        <v>3989</v>
      </c>
      <c r="AV511" s="15" t="s">
        <v>14689</v>
      </c>
      <c r="AW511" s="15" t="s">
        <v>14690</v>
      </c>
      <c r="AX511" s="15" t="s">
        <v>3989</v>
      </c>
      <c r="AY511" s="15" t="s">
        <v>14691</v>
      </c>
      <c r="AZ511" s="15" t="s">
        <v>3960</v>
      </c>
      <c r="BA511" s="15" t="s">
        <v>2870</v>
      </c>
      <c r="BB511" s="15" t="s">
        <v>2807</v>
      </c>
      <c r="BC511" s="15" t="s">
        <v>14692</v>
      </c>
      <c r="BD511" s="15" t="s">
        <v>14693</v>
      </c>
      <c r="BE511" s="15" t="s">
        <v>14694</v>
      </c>
      <c r="BF511" s="15" t="s">
        <v>14695</v>
      </c>
      <c r="BG511" s="15" t="s">
        <v>14696</v>
      </c>
      <c r="BH511" s="18"/>
      <c r="BI511" s="18"/>
      <c r="BJ511" s="19" t="s">
        <v>14697</v>
      </c>
      <c r="BK511" s="19" t="s">
        <v>14698</v>
      </c>
      <c r="BL511" s="19" t="s">
        <v>14699</v>
      </c>
      <c r="BM511" s="19" t="s">
        <v>14700</v>
      </c>
      <c r="BN511" s="19" t="s">
        <v>14701</v>
      </c>
      <c r="BO511" s="19" t="s">
        <v>14702</v>
      </c>
      <c r="BP511" s="18"/>
      <c r="BQ511" s="15" t="s">
        <v>1321</v>
      </c>
      <c r="BR511" s="26"/>
      <c r="BS511" s="19" t="s">
        <v>14703</v>
      </c>
      <c r="BT511" s="26"/>
      <c r="BU511" s="19" t="s">
        <v>14704</v>
      </c>
      <c r="BV511" s="19" t="s">
        <v>14705</v>
      </c>
      <c r="BW511" s="15" t="s">
        <v>14706</v>
      </c>
      <c r="BX511" s="26"/>
      <c r="BY511" s="18" t="str">
        <f t="shared" si="107"/>
        <v>MECH</v>
      </c>
      <c r="BZ511" s="24" t="str">
        <f t="shared" si="100"/>
        <v>https://drive.google.com/open?id=1zGimdMkpmklErqPzCxzze0R_yfnWQ0Gl</v>
      </c>
      <c r="CA511" s="24" t="str">
        <f t="shared" si="101"/>
        <v>https://drive.google.com/open?id=1D4FVnIHCNmpvbOCTu_KjsPn7bkhjFCjg</v>
      </c>
      <c r="CB511" s="15" t="s">
        <v>2821</v>
      </c>
      <c r="CC511" s="15" t="s">
        <v>2821</v>
      </c>
      <c r="CD511" s="25" t="s">
        <v>2787</v>
      </c>
      <c r="CE511" s="18"/>
      <c r="CF511" s="18"/>
      <c r="CG511" s="18"/>
    </row>
    <row r="512" ht="18.75" hidden="1" customHeight="1">
      <c r="A512" s="14">
        <v>44736.48187898148</v>
      </c>
      <c r="B512" s="15" t="s">
        <v>2460</v>
      </c>
      <c r="C512" s="16" t="s">
        <v>14707</v>
      </c>
      <c r="D512" s="15" t="str">
        <f>IFERROR(__xludf.DUMMYFUNCTION("QUERY(TY_ALL_2023_Batch!$A$1:$E$824, ""SELECT E WHERE C='""&amp;B512&amp;""'"", 0)"),"MECH")</f>
        <v>MECH</v>
      </c>
      <c r="E512" s="15" t="s">
        <v>8042</v>
      </c>
      <c r="F512" s="15" t="s">
        <v>2939</v>
      </c>
      <c r="G512" s="15" t="s">
        <v>14708</v>
      </c>
      <c r="H512" s="15" t="s">
        <v>2785</v>
      </c>
      <c r="I512" s="17">
        <v>37274.0</v>
      </c>
      <c r="J512" s="15">
        <v>2019.0</v>
      </c>
      <c r="K512" s="15" t="s">
        <v>2786</v>
      </c>
      <c r="L512" s="15" t="s">
        <v>2787</v>
      </c>
      <c r="M512" s="18"/>
      <c r="N512" s="15" t="s">
        <v>14709</v>
      </c>
      <c r="O512" s="15" t="s">
        <v>2460</v>
      </c>
      <c r="P512" s="19" t="s">
        <v>14710</v>
      </c>
      <c r="Q512" s="15">
        <v>9.404132123E9</v>
      </c>
      <c r="R512" s="15">
        <v>9.404132123E9</v>
      </c>
      <c r="S512" s="15">
        <v>9.373560787E9</v>
      </c>
      <c r="T512" s="15" t="s">
        <v>14711</v>
      </c>
      <c r="U512" s="15" t="s">
        <v>14712</v>
      </c>
      <c r="V512" s="15" t="s">
        <v>14713</v>
      </c>
      <c r="W512" s="15" t="s">
        <v>14714</v>
      </c>
      <c r="X512" s="15">
        <v>88.0</v>
      </c>
      <c r="Y512" s="15" t="s">
        <v>2795</v>
      </c>
      <c r="Z512" s="15">
        <v>9.33</v>
      </c>
      <c r="AA512" s="15">
        <v>8.67</v>
      </c>
      <c r="AB512" s="15" t="s">
        <v>2796</v>
      </c>
      <c r="AC512" s="15" t="s">
        <v>2796</v>
      </c>
      <c r="AD512" s="15" t="s">
        <v>2796</v>
      </c>
      <c r="AE512" s="15" t="s">
        <v>2796</v>
      </c>
      <c r="AF512" s="15">
        <v>8.21</v>
      </c>
      <c r="AG512" s="15">
        <v>8.05</v>
      </c>
      <c r="AH512" s="15">
        <v>60.0</v>
      </c>
      <c r="AI512" s="18"/>
      <c r="AJ512" s="15" t="s">
        <v>2787</v>
      </c>
      <c r="AK512" s="15" t="s">
        <v>2787</v>
      </c>
      <c r="AL512" s="15">
        <v>99.0</v>
      </c>
      <c r="AM512" s="15">
        <v>97.6</v>
      </c>
      <c r="AN512" s="15" t="s">
        <v>2797</v>
      </c>
      <c r="AO512" s="18"/>
      <c r="AP512" s="18"/>
      <c r="AQ512" s="15" t="s">
        <v>14715</v>
      </c>
      <c r="AR512" s="18"/>
      <c r="AS512" s="18"/>
      <c r="AT512" s="18"/>
      <c r="AU512" s="15" t="s">
        <v>14716</v>
      </c>
      <c r="AV512" s="15" t="s">
        <v>14717</v>
      </c>
      <c r="AW512" s="15" t="s">
        <v>14718</v>
      </c>
      <c r="AX512" s="18"/>
      <c r="AY512" s="15" t="s">
        <v>14719</v>
      </c>
      <c r="AZ512" s="15" t="s">
        <v>9648</v>
      </c>
      <c r="BA512" s="15" t="s">
        <v>2899</v>
      </c>
      <c r="BB512" s="15" t="s">
        <v>2807</v>
      </c>
      <c r="BC512" s="15" t="s">
        <v>13107</v>
      </c>
      <c r="BD512" s="15" t="s">
        <v>3393</v>
      </c>
      <c r="BE512" s="15" t="s">
        <v>14720</v>
      </c>
      <c r="BF512" s="18"/>
      <c r="BG512" s="18"/>
      <c r="BH512" s="18"/>
      <c r="BI512" s="15" t="s">
        <v>14721</v>
      </c>
      <c r="BJ512" s="19" t="s">
        <v>14722</v>
      </c>
      <c r="BK512" s="19" t="s">
        <v>14723</v>
      </c>
      <c r="BL512" s="19" t="s">
        <v>14724</v>
      </c>
      <c r="BM512" s="19" t="s">
        <v>14725</v>
      </c>
      <c r="BN512" s="19" t="s">
        <v>14726</v>
      </c>
      <c r="BO512" s="19" t="s">
        <v>14727</v>
      </c>
      <c r="BP512" s="19" t="s">
        <v>14728</v>
      </c>
      <c r="BQ512" s="15" t="s">
        <v>1321</v>
      </c>
      <c r="BR512" s="26"/>
      <c r="BS512" s="26"/>
      <c r="BT512" s="26"/>
      <c r="BU512" s="26"/>
      <c r="BV512" s="26"/>
      <c r="BW512" s="26"/>
      <c r="BX512" s="26"/>
      <c r="BY512" s="18" t="str">
        <f t="shared" si="107"/>
        <v>MECH</v>
      </c>
      <c r="BZ512" s="24" t="str">
        <f t="shared" si="100"/>
        <v>https://drive.google.com/open?id=1XTZymxOBht8inyfHn0ox1uMi4MOieblG</v>
      </c>
      <c r="CA512" s="24" t="str">
        <f t="shared" si="101"/>
        <v>https://drive.google.com/open?id=19J_23mYegKx58M4JhS19v66UHiwK3xJN</v>
      </c>
      <c r="CB512" s="15" t="s">
        <v>2821</v>
      </c>
      <c r="CC512" s="15" t="s">
        <v>2821</v>
      </c>
      <c r="CD512" s="25" t="s">
        <v>2797</v>
      </c>
      <c r="CE512" s="18"/>
      <c r="CF512" s="18"/>
      <c r="CG512" s="18"/>
    </row>
    <row r="513" ht="18.75" hidden="1" customHeight="1">
      <c r="A513" s="14">
        <v>44744.75457564815</v>
      </c>
      <c r="B513" s="15" t="s">
        <v>2628</v>
      </c>
      <c r="C513" s="16" t="s">
        <v>14729</v>
      </c>
      <c r="D513" s="15" t="str">
        <f>IFERROR(__xludf.DUMMYFUNCTION("QUERY(TY_ALL_2023_Batch!$A$1:$E$824, ""SELECT E WHERE C='""&amp;B513&amp;""'"", 0)"),"MECH")</f>
        <v>MECH</v>
      </c>
      <c r="E513" s="15" t="s">
        <v>9224</v>
      </c>
      <c r="F513" s="15" t="s">
        <v>2939</v>
      </c>
      <c r="G513" s="15" t="s">
        <v>14730</v>
      </c>
      <c r="H513" s="15" t="s">
        <v>2785</v>
      </c>
      <c r="I513" s="17">
        <v>36871.0</v>
      </c>
      <c r="J513" s="15">
        <v>2019.0</v>
      </c>
      <c r="K513" s="15" t="s">
        <v>2786</v>
      </c>
      <c r="L513" s="15" t="s">
        <v>2787</v>
      </c>
      <c r="M513" s="18"/>
      <c r="N513" s="15" t="s">
        <v>2628</v>
      </c>
      <c r="O513" s="15" t="s">
        <v>14731</v>
      </c>
      <c r="P513" s="15" t="s">
        <v>14732</v>
      </c>
      <c r="Q513" s="15">
        <v>7.517871635E9</v>
      </c>
      <c r="R513" s="15">
        <v>7.517871635E9</v>
      </c>
      <c r="S513" s="15">
        <v>7.020158891E9</v>
      </c>
      <c r="T513" s="15" t="s">
        <v>2939</v>
      </c>
      <c r="U513" s="15" t="s">
        <v>10739</v>
      </c>
      <c r="V513" s="15" t="s">
        <v>14733</v>
      </c>
      <c r="W513" s="15" t="s">
        <v>14734</v>
      </c>
      <c r="X513" s="15">
        <v>78.0</v>
      </c>
      <c r="Y513" s="15" t="s">
        <v>2795</v>
      </c>
      <c r="Z513" s="15">
        <v>7.5</v>
      </c>
      <c r="AA513" s="15">
        <v>7.0</v>
      </c>
      <c r="AB513" s="15" t="s">
        <v>2796</v>
      </c>
      <c r="AC513" s="15" t="s">
        <v>2796</v>
      </c>
      <c r="AD513" s="15" t="s">
        <v>2796</v>
      </c>
      <c r="AE513" s="15" t="s">
        <v>2796</v>
      </c>
      <c r="AF513" s="15">
        <v>7.0</v>
      </c>
      <c r="AG513" s="15">
        <v>8.0</v>
      </c>
      <c r="AH513" s="15">
        <v>64.3</v>
      </c>
      <c r="AI513" s="18"/>
      <c r="AJ513" s="15" t="s">
        <v>2787</v>
      </c>
      <c r="AK513" s="15" t="s">
        <v>2797</v>
      </c>
      <c r="AL513" s="18"/>
      <c r="AM513" s="18"/>
      <c r="AN513" s="15" t="s">
        <v>2787</v>
      </c>
      <c r="AO513" s="18"/>
      <c r="AP513" s="18"/>
      <c r="AQ513" s="15" t="s">
        <v>14735</v>
      </c>
      <c r="AR513" s="18"/>
      <c r="AS513" s="15" t="s">
        <v>14736</v>
      </c>
      <c r="AT513" s="18"/>
      <c r="AU513" s="15" t="s">
        <v>14737</v>
      </c>
      <c r="AV513" s="15" t="s">
        <v>10934</v>
      </c>
      <c r="AW513" s="15" t="s">
        <v>14738</v>
      </c>
      <c r="AX513" s="15" t="s">
        <v>14739</v>
      </c>
      <c r="AY513" s="15" t="s">
        <v>3131</v>
      </c>
      <c r="AZ513" s="15" t="s">
        <v>9648</v>
      </c>
      <c r="BA513" s="15" t="s">
        <v>5870</v>
      </c>
      <c r="BB513" s="15" t="s">
        <v>14740</v>
      </c>
      <c r="BC513" s="15" t="s">
        <v>14741</v>
      </c>
      <c r="BD513" s="15" t="s">
        <v>2807</v>
      </c>
      <c r="BE513" s="15" t="s">
        <v>2796</v>
      </c>
      <c r="BF513" s="18"/>
      <c r="BG513" s="18"/>
      <c r="BH513" s="18"/>
      <c r="BI513" s="18"/>
      <c r="BJ513" s="19" t="s">
        <v>14742</v>
      </c>
      <c r="BK513" s="19" t="s">
        <v>14743</v>
      </c>
      <c r="BL513" s="18"/>
      <c r="BM513" s="18"/>
      <c r="BN513" s="18"/>
      <c r="BO513" s="19" t="s">
        <v>14744</v>
      </c>
      <c r="BP513" s="18"/>
      <c r="BQ513" s="15" t="s">
        <v>1321</v>
      </c>
      <c r="BR513" s="18"/>
      <c r="BS513" s="19" t="s">
        <v>14745</v>
      </c>
      <c r="BT513" s="18"/>
      <c r="BU513" s="18"/>
      <c r="BV513" s="18"/>
      <c r="BW513" s="15" t="s">
        <v>14746</v>
      </c>
      <c r="BX513" s="18"/>
      <c r="BY513" s="18" t="str">
        <f t="shared" si="107"/>
        <v>MECH</v>
      </c>
      <c r="BZ513" s="18" t="str">
        <f t="shared" si="100"/>
        <v/>
      </c>
      <c r="CA513" s="18" t="str">
        <f t="shared" si="101"/>
        <v/>
      </c>
      <c r="CB513" s="15" t="s">
        <v>2908</v>
      </c>
      <c r="CC513" s="15" t="s">
        <v>2908</v>
      </c>
      <c r="CD513" s="25" t="s">
        <v>2797</v>
      </c>
      <c r="CE513" s="18"/>
      <c r="CF513" s="18"/>
      <c r="CG513" s="18"/>
    </row>
    <row r="514" ht="18.75" hidden="1" customHeight="1">
      <c r="A514" s="14">
        <v>44739.98331782407</v>
      </c>
      <c r="B514" s="15" t="s">
        <v>2349</v>
      </c>
      <c r="C514" s="16" t="s">
        <v>14747</v>
      </c>
      <c r="D514" s="15" t="str">
        <f>IFERROR(__xludf.DUMMYFUNCTION("QUERY(TY_ALL_2023_Batch!$A$1:$E$824, ""SELECT E WHERE C='""&amp;B514&amp;""'"", 0)"),"MECH")</f>
        <v>MECH</v>
      </c>
      <c r="E514" s="15" t="s">
        <v>6678</v>
      </c>
      <c r="F514" s="15" t="s">
        <v>4317</v>
      </c>
      <c r="G514" s="15" t="s">
        <v>9724</v>
      </c>
      <c r="H514" s="15" t="s">
        <v>2785</v>
      </c>
      <c r="I514" s="17">
        <v>37111.0</v>
      </c>
      <c r="J514" s="15">
        <v>2019.0</v>
      </c>
      <c r="K514" s="15" t="s">
        <v>2786</v>
      </c>
      <c r="L514" s="15" t="s">
        <v>2787</v>
      </c>
      <c r="M514" s="18"/>
      <c r="N514" s="15" t="s">
        <v>14748</v>
      </c>
      <c r="O514" s="15" t="s">
        <v>2349</v>
      </c>
      <c r="P514" s="19" t="s">
        <v>14749</v>
      </c>
      <c r="Q514" s="15">
        <v>9.987593733E9</v>
      </c>
      <c r="R514" s="15">
        <v>9.987593733E9</v>
      </c>
      <c r="S514" s="15">
        <v>9.322315967E9</v>
      </c>
      <c r="T514" s="15" t="s">
        <v>14750</v>
      </c>
      <c r="U514" s="15" t="s">
        <v>14751</v>
      </c>
      <c r="V514" s="15" t="s">
        <v>14752</v>
      </c>
      <c r="W514" s="15" t="s">
        <v>14753</v>
      </c>
      <c r="X514" s="15">
        <v>89.8</v>
      </c>
      <c r="Y514" s="15" t="s">
        <v>2795</v>
      </c>
      <c r="Z514" s="15">
        <v>8.95</v>
      </c>
      <c r="AA514" s="15">
        <v>9.19</v>
      </c>
      <c r="AB514" s="15" t="s">
        <v>2796</v>
      </c>
      <c r="AC514" s="15" t="s">
        <v>2796</v>
      </c>
      <c r="AD514" s="15" t="s">
        <v>2796</v>
      </c>
      <c r="AE514" s="15" t="s">
        <v>2796</v>
      </c>
      <c r="AF514" s="15">
        <v>8.95</v>
      </c>
      <c r="AG514" s="15">
        <v>9.05</v>
      </c>
      <c r="AH514" s="15">
        <v>82.92</v>
      </c>
      <c r="AI514" s="18"/>
      <c r="AJ514" s="15" t="s">
        <v>2787</v>
      </c>
      <c r="AK514" s="15" t="s">
        <v>2787</v>
      </c>
      <c r="AL514" s="15">
        <v>708.33</v>
      </c>
      <c r="AM514" s="15">
        <v>686.67</v>
      </c>
      <c r="AN514" s="15" t="s">
        <v>2797</v>
      </c>
      <c r="AO514" s="18"/>
      <c r="AP514" s="18"/>
      <c r="AQ514" s="15" t="s">
        <v>5282</v>
      </c>
      <c r="AR514" s="15" t="s">
        <v>14754</v>
      </c>
      <c r="AS514" s="15" t="s">
        <v>5415</v>
      </c>
      <c r="AT514" s="18"/>
      <c r="AU514" s="15" t="s">
        <v>14755</v>
      </c>
      <c r="AV514" s="15" t="s">
        <v>14756</v>
      </c>
      <c r="AW514" s="15" t="s">
        <v>14757</v>
      </c>
      <c r="AX514" s="18"/>
      <c r="AY514" s="15" t="s">
        <v>14758</v>
      </c>
      <c r="AZ514" s="15" t="s">
        <v>3960</v>
      </c>
      <c r="BA514" s="15" t="s">
        <v>2870</v>
      </c>
      <c r="BB514" s="15" t="s">
        <v>2807</v>
      </c>
      <c r="BC514" s="15" t="s">
        <v>13150</v>
      </c>
      <c r="BD514" s="15" t="s">
        <v>2807</v>
      </c>
      <c r="BE514" s="15" t="s">
        <v>14759</v>
      </c>
      <c r="BF514" s="18"/>
      <c r="BG514" s="18"/>
      <c r="BH514" s="15" t="s">
        <v>14760</v>
      </c>
      <c r="BI514" s="15" t="s">
        <v>14761</v>
      </c>
      <c r="BJ514" s="19" t="s">
        <v>14762</v>
      </c>
      <c r="BK514" s="19" t="s">
        <v>14763</v>
      </c>
      <c r="BL514" s="19" t="s">
        <v>14764</v>
      </c>
      <c r="BM514" s="19" t="s">
        <v>14765</v>
      </c>
      <c r="BN514" s="19" t="s">
        <v>14766</v>
      </c>
      <c r="BO514" s="19" t="s">
        <v>14767</v>
      </c>
      <c r="BP514" s="19" t="s">
        <v>14768</v>
      </c>
      <c r="BQ514" s="15" t="s">
        <v>1321</v>
      </c>
      <c r="BR514" s="26"/>
      <c r="BS514" s="26"/>
      <c r="BT514" s="19" t="s">
        <v>14769</v>
      </c>
      <c r="BU514" s="26"/>
      <c r="BV514" s="26"/>
      <c r="BW514" s="15" t="s">
        <v>14770</v>
      </c>
      <c r="BX514" s="26"/>
      <c r="BY514" s="18" t="str">
        <f t="shared" si="107"/>
        <v>MECH</v>
      </c>
      <c r="BZ514" s="24" t="str">
        <f t="shared" si="100"/>
        <v>https://drive.google.com/open?id=1OyN3AlFrt8wG6PgGI1EGWChO6_AdaQPF</v>
      </c>
      <c r="CA514" s="24" t="str">
        <f t="shared" si="101"/>
        <v>https://drive.google.com/open?id=1yArJh_3v-n8L2md8t0WxRcpwcCszccwK</v>
      </c>
      <c r="CB514" s="15" t="s">
        <v>2821</v>
      </c>
      <c r="CC514" s="15" t="s">
        <v>2821</v>
      </c>
      <c r="CD514" s="25" t="s">
        <v>2787</v>
      </c>
      <c r="CE514" s="18"/>
      <c r="CF514" s="18"/>
      <c r="CG514" s="18"/>
    </row>
    <row r="515" ht="18.75" hidden="1" customHeight="1">
      <c r="A515" s="14">
        <v>44772.33324275463</v>
      </c>
      <c r="B515" s="15" t="s">
        <v>2622</v>
      </c>
      <c r="C515" s="16" t="s">
        <v>14771</v>
      </c>
      <c r="D515" s="15" t="str">
        <f>IFERROR(__xludf.DUMMYFUNCTION("QUERY(TY_ALL_2023_Batch!$A$1:$E$824, ""SELECT E WHERE C='""&amp;B515&amp;""'"", 0)"),"MECH")</f>
        <v>MECH</v>
      </c>
      <c r="E515" s="15" t="s">
        <v>14772</v>
      </c>
      <c r="F515" s="15" t="s">
        <v>14773</v>
      </c>
      <c r="G515" s="15" t="s">
        <v>14774</v>
      </c>
      <c r="H515" s="15" t="s">
        <v>2785</v>
      </c>
      <c r="I515" s="17">
        <v>36691.0</v>
      </c>
      <c r="J515" s="15">
        <v>2019.0</v>
      </c>
      <c r="K515" s="15" t="s">
        <v>2786</v>
      </c>
      <c r="L515" s="15" t="s">
        <v>2787</v>
      </c>
      <c r="M515" s="18"/>
      <c r="N515" s="15" t="s">
        <v>14775</v>
      </c>
      <c r="O515" s="15" t="s">
        <v>2622</v>
      </c>
      <c r="P515" s="19" t="s">
        <v>14776</v>
      </c>
      <c r="Q515" s="15">
        <v>9.307576887E9</v>
      </c>
      <c r="R515" s="15">
        <v>9.307576887E9</v>
      </c>
      <c r="S515" s="18"/>
      <c r="T515" s="15" t="s">
        <v>14777</v>
      </c>
      <c r="U515" s="15" t="s">
        <v>14778</v>
      </c>
      <c r="V515" s="15" t="s">
        <v>14779</v>
      </c>
      <c r="W515" s="15" t="s">
        <v>14780</v>
      </c>
      <c r="X515" s="15">
        <v>93.0</v>
      </c>
      <c r="Y515" s="15" t="s">
        <v>2795</v>
      </c>
      <c r="Z515" s="15">
        <v>8.57</v>
      </c>
      <c r="AA515" s="15">
        <v>8.0</v>
      </c>
      <c r="AB515" s="15">
        <v>7.1</v>
      </c>
      <c r="AC515" s="15">
        <v>7.76</v>
      </c>
      <c r="AD515" s="15" t="s">
        <v>2796</v>
      </c>
      <c r="AE515" s="15" t="s">
        <v>2796</v>
      </c>
      <c r="AF515" s="15">
        <v>7.63</v>
      </c>
      <c r="AG515" s="15">
        <v>7.9</v>
      </c>
      <c r="AH515" s="15">
        <v>79.8</v>
      </c>
      <c r="AI515" s="18"/>
      <c r="AJ515" s="15" t="s">
        <v>2787</v>
      </c>
      <c r="AK515" s="15" t="s">
        <v>2787</v>
      </c>
      <c r="AL515" s="15">
        <v>470.0</v>
      </c>
      <c r="AM515" s="15">
        <v>445.0</v>
      </c>
      <c r="AN515" s="15" t="s">
        <v>2797</v>
      </c>
      <c r="AO515" s="15" t="s">
        <v>2796</v>
      </c>
      <c r="AP515" s="15" t="s">
        <v>14781</v>
      </c>
      <c r="AQ515" s="15" t="s">
        <v>14335</v>
      </c>
      <c r="AR515" s="15" t="s">
        <v>14782</v>
      </c>
      <c r="AS515" s="15"/>
      <c r="AT515" s="15" t="s">
        <v>2796</v>
      </c>
      <c r="AU515" s="15" t="s">
        <v>14783</v>
      </c>
      <c r="AV515" s="15" t="s">
        <v>14784</v>
      </c>
      <c r="AW515" s="15" t="s">
        <v>14785</v>
      </c>
      <c r="AX515" s="18"/>
      <c r="AY515" s="15" t="s">
        <v>14786</v>
      </c>
      <c r="AZ515" s="15" t="s">
        <v>3960</v>
      </c>
      <c r="BA515" s="15" t="s">
        <v>2899</v>
      </c>
      <c r="BB515" s="15" t="s">
        <v>2807</v>
      </c>
      <c r="BC515" s="15" t="s">
        <v>13150</v>
      </c>
      <c r="BD515" s="15" t="s">
        <v>2807</v>
      </c>
      <c r="BE515" s="15" t="s">
        <v>2796</v>
      </c>
      <c r="BF515" s="18"/>
      <c r="BG515" s="18"/>
      <c r="BH515" s="18"/>
      <c r="BI515" s="18"/>
      <c r="BJ515" s="19" t="s">
        <v>14787</v>
      </c>
      <c r="BK515" s="19" t="s">
        <v>14788</v>
      </c>
      <c r="BL515" s="18"/>
      <c r="BM515" s="18"/>
      <c r="BN515" s="19" t="s">
        <v>14789</v>
      </c>
      <c r="BO515" s="19" t="s">
        <v>14790</v>
      </c>
      <c r="BP515" s="19" t="s">
        <v>14791</v>
      </c>
      <c r="BQ515" s="15" t="s">
        <v>1321</v>
      </c>
      <c r="BR515" s="19" t="s">
        <v>14792</v>
      </c>
      <c r="BS515" s="19" t="s">
        <v>14793</v>
      </c>
      <c r="BT515" s="19" t="s">
        <v>14794</v>
      </c>
      <c r="BU515" s="19" t="s">
        <v>14795</v>
      </c>
      <c r="BV515" s="19" t="s">
        <v>14796</v>
      </c>
      <c r="BW515" s="15" t="s">
        <v>14797</v>
      </c>
      <c r="BX515" s="26"/>
      <c r="BY515" s="18" t="str">
        <f t="shared" si="107"/>
        <v>MECH</v>
      </c>
      <c r="BZ515" s="24" t="str">
        <f t="shared" si="100"/>
        <v>https://drive.google.com/open?id=12-qo7r24_AnMQGFdA-OEdKbOHsNdF59f</v>
      </c>
      <c r="CA515" s="24" t="str">
        <f t="shared" si="101"/>
        <v>https://drive.google.com/open?id=123QbI8gz74wyE2Zk0uAmgw1PuGYRV3ZZ</v>
      </c>
      <c r="CB515" s="15" t="s">
        <v>2821</v>
      </c>
      <c r="CC515" s="15" t="s">
        <v>2821</v>
      </c>
      <c r="CD515" s="25" t="s">
        <v>2787</v>
      </c>
      <c r="CE515" s="18"/>
      <c r="CF515" s="18"/>
      <c r="CG515" s="18"/>
    </row>
    <row r="516" ht="18.75" hidden="1" customHeight="1">
      <c r="A516" s="14">
        <v>44742.99199776621</v>
      </c>
      <c r="B516" s="15" t="s">
        <v>2679</v>
      </c>
      <c r="C516" s="15">
        <v>1.20190355E8</v>
      </c>
      <c r="D516" s="15" t="str">
        <f>IFERROR(__xludf.DUMMYFUNCTION("QUERY(TY_ALL_2023_Batch!$A$1:$E$824, ""SELECT E WHERE C='""&amp;B516&amp;""'"", 0)"),"MECH")</f>
        <v>MECH</v>
      </c>
      <c r="E516" s="15" t="s">
        <v>14798</v>
      </c>
      <c r="F516" s="15" t="s">
        <v>9248</v>
      </c>
      <c r="G516" s="15" t="s">
        <v>14799</v>
      </c>
      <c r="H516" s="15" t="s">
        <v>2785</v>
      </c>
      <c r="I516" s="17">
        <v>37130.0</v>
      </c>
      <c r="J516" s="15">
        <v>2019.0</v>
      </c>
      <c r="K516" s="15" t="s">
        <v>2786</v>
      </c>
      <c r="L516" s="15" t="s">
        <v>2787</v>
      </c>
      <c r="M516" s="18"/>
      <c r="N516" s="15" t="s">
        <v>14800</v>
      </c>
      <c r="O516" s="15" t="s">
        <v>2679</v>
      </c>
      <c r="P516" s="19" t="s">
        <v>14801</v>
      </c>
      <c r="Q516" s="15">
        <v>9.284325074E9</v>
      </c>
      <c r="R516" s="15">
        <v>8.806215576E9</v>
      </c>
      <c r="S516" s="15">
        <v>8.806215576E9</v>
      </c>
      <c r="T516" s="15" t="s">
        <v>9248</v>
      </c>
      <c r="U516" s="15" t="s">
        <v>3365</v>
      </c>
      <c r="V516" s="15" t="s">
        <v>14802</v>
      </c>
      <c r="W516" s="18"/>
      <c r="X516" s="15">
        <v>89.8</v>
      </c>
      <c r="Y516" s="15" t="s">
        <v>2795</v>
      </c>
      <c r="Z516" s="15">
        <v>9.14</v>
      </c>
      <c r="AA516" s="15">
        <v>8.95</v>
      </c>
      <c r="AB516" s="15" t="s">
        <v>3005</v>
      </c>
      <c r="AC516" s="15" t="s">
        <v>3005</v>
      </c>
      <c r="AD516" s="15" t="s">
        <v>3005</v>
      </c>
      <c r="AE516" s="15" t="s">
        <v>3005</v>
      </c>
      <c r="AF516" s="15">
        <v>8.37</v>
      </c>
      <c r="AG516" s="15">
        <v>8.17</v>
      </c>
      <c r="AH516" s="15">
        <v>62.15</v>
      </c>
      <c r="AI516" s="18"/>
      <c r="AJ516" s="15" t="s">
        <v>2787</v>
      </c>
      <c r="AK516" s="15" t="s">
        <v>2787</v>
      </c>
      <c r="AL516" s="15">
        <v>630.0</v>
      </c>
      <c r="AM516" s="15">
        <v>615.0</v>
      </c>
      <c r="AN516" s="15" t="s">
        <v>2787</v>
      </c>
      <c r="AO516" s="15" t="s">
        <v>14803</v>
      </c>
      <c r="AP516" s="15" t="s">
        <v>14804</v>
      </c>
      <c r="AQ516" s="15" t="s">
        <v>5415</v>
      </c>
      <c r="AR516" s="15" t="s">
        <v>5356</v>
      </c>
      <c r="AS516" s="18"/>
      <c r="AT516" s="18"/>
      <c r="AU516" s="18"/>
      <c r="AV516" s="18"/>
      <c r="AW516" s="15" t="s">
        <v>14805</v>
      </c>
      <c r="AX516" s="18"/>
      <c r="AY516" s="15" t="s">
        <v>14806</v>
      </c>
      <c r="AZ516" s="15" t="s">
        <v>4377</v>
      </c>
      <c r="BA516" s="15" t="s">
        <v>14807</v>
      </c>
      <c r="BB516" s="15" t="s">
        <v>5673</v>
      </c>
      <c r="BC516" s="15" t="s">
        <v>14808</v>
      </c>
      <c r="BD516" s="15" t="s">
        <v>2842</v>
      </c>
      <c r="BE516" s="15" t="s">
        <v>14809</v>
      </c>
      <c r="BF516" s="15" t="s">
        <v>14810</v>
      </c>
      <c r="BG516" s="18"/>
      <c r="BH516" s="18"/>
      <c r="BI516" s="15" t="s">
        <v>14811</v>
      </c>
      <c r="BJ516" s="19" t="s">
        <v>14812</v>
      </c>
      <c r="BK516" s="19" t="s">
        <v>14813</v>
      </c>
      <c r="BL516" s="19" t="s">
        <v>14814</v>
      </c>
      <c r="BM516" s="19" t="s">
        <v>14815</v>
      </c>
      <c r="BN516" s="19" t="s">
        <v>14816</v>
      </c>
      <c r="BO516" s="19" t="s">
        <v>14817</v>
      </c>
      <c r="BP516" s="19" t="s">
        <v>14818</v>
      </c>
      <c r="BQ516" s="15" t="s">
        <v>1321</v>
      </c>
      <c r="BR516" s="26"/>
      <c r="BS516" s="26"/>
      <c r="BT516" s="26"/>
      <c r="BU516" s="26"/>
      <c r="BV516" s="26"/>
      <c r="BW516" s="15" t="s">
        <v>14819</v>
      </c>
      <c r="BX516" s="26"/>
      <c r="BY516" s="18" t="str">
        <f t="shared" si="107"/>
        <v>MECH</v>
      </c>
      <c r="BZ516" s="24" t="str">
        <f t="shared" si="100"/>
        <v>https://drive.google.com/open?id=1tHu1MXTL7xiM7QKKSYeURDLUhxotzRkB</v>
      </c>
      <c r="CA516" s="24" t="str">
        <f t="shared" si="101"/>
        <v>https://drive.google.com/open?id=1I0dPO1svTGR_Hl6DWjYJtyDvk4-zMbS-</v>
      </c>
      <c r="CB516" s="15" t="s">
        <v>2821</v>
      </c>
      <c r="CC516" s="15" t="s">
        <v>2821</v>
      </c>
      <c r="CD516" s="25" t="s">
        <v>2797</v>
      </c>
      <c r="CE516" s="18"/>
      <c r="CF516" s="18"/>
      <c r="CG516" s="18"/>
    </row>
    <row r="517" ht="18.75" hidden="1" customHeight="1">
      <c r="A517" s="14">
        <v>44742.991627870375</v>
      </c>
      <c r="B517" s="15" t="s">
        <v>1500</v>
      </c>
      <c r="C517" s="16" t="s">
        <v>14820</v>
      </c>
      <c r="D517" s="15" t="str">
        <f>IFERROR(__xludf.DUMMYFUNCTION("QUERY(TY_ALL_2023_Batch!$A$1:$E$824, ""SELECT E WHERE C='""&amp;B517&amp;""'"", 0)"),"MECH")</f>
        <v>MECH</v>
      </c>
      <c r="E517" s="15" t="s">
        <v>14821</v>
      </c>
      <c r="F517" s="15" t="s">
        <v>14822</v>
      </c>
      <c r="G517" s="15" t="s">
        <v>14823</v>
      </c>
      <c r="H517" s="15" t="s">
        <v>2826</v>
      </c>
      <c r="I517" s="17">
        <v>37318.0</v>
      </c>
      <c r="J517" s="15">
        <v>2020.0</v>
      </c>
      <c r="K517" s="15" t="s">
        <v>2941</v>
      </c>
      <c r="L517" s="15" t="s">
        <v>2787</v>
      </c>
      <c r="M517" s="18"/>
      <c r="N517" s="15" t="s">
        <v>14824</v>
      </c>
      <c r="O517" s="15" t="s">
        <v>1500</v>
      </c>
      <c r="P517" s="19" t="s">
        <v>14825</v>
      </c>
      <c r="Q517" s="15">
        <v>9.503891462E9</v>
      </c>
      <c r="R517" s="15">
        <v>9.503891462E9</v>
      </c>
      <c r="S517" s="15">
        <v>8.551940384E9</v>
      </c>
      <c r="T517" s="15" t="s">
        <v>14822</v>
      </c>
      <c r="U517" s="15" t="s">
        <v>12891</v>
      </c>
      <c r="V517" s="15" t="s">
        <v>14826</v>
      </c>
      <c r="W517" s="15" t="s">
        <v>14827</v>
      </c>
      <c r="X517" s="15">
        <v>86.0</v>
      </c>
      <c r="Y517" s="15" t="s">
        <v>2948</v>
      </c>
      <c r="Z517" s="15">
        <v>8.4</v>
      </c>
      <c r="AA517" s="15">
        <v>8.9</v>
      </c>
      <c r="AB517" s="15" t="s">
        <v>2796</v>
      </c>
      <c r="AC517" s="15" t="s">
        <v>3005</v>
      </c>
      <c r="AD517" s="15" t="s">
        <v>3005</v>
      </c>
      <c r="AE517" s="15" t="s">
        <v>3005</v>
      </c>
      <c r="AF517" s="18"/>
      <c r="AG517" s="18"/>
      <c r="AH517" s="18"/>
      <c r="AI517" s="15">
        <v>86.0</v>
      </c>
      <c r="AJ517" s="15" t="s">
        <v>2787</v>
      </c>
      <c r="AK517" s="15" t="s">
        <v>2787</v>
      </c>
      <c r="AL517" s="15">
        <v>72.0</v>
      </c>
      <c r="AM517" s="15">
        <v>90.66</v>
      </c>
      <c r="AN517" s="15" t="s">
        <v>2797</v>
      </c>
      <c r="AO517" s="15" t="s">
        <v>3005</v>
      </c>
      <c r="AP517" s="15" t="s">
        <v>3005</v>
      </c>
      <c r="AQ517" s="15" t="s">
        <v>14828</v>
      </c>
      <c r="AR517" s="15" t="s">
        <v>14829</v>
      </c>
      <c r="AS517" s="15" t="s">
        <v>14830</v>
      </c>
      <c r="AT517" s="15" t="s">
        <v>3005</v>
      </c>
      <c r="AU517" s="15" t="s">
        <v>3005</v>
      </c>
      <c r="AV517" s="15" t="s">
        <v>14831</v>
      </c>
      <c r="AW517" s="15" t="s">
        <v>14832</v>
      </c>
      <c r="AX517" s="15" t="s">
        <v>5798</v>
      </c>
      <c r="AY517" s="15" t="s">
        <v>14833</v>
      </c>
      <c r="AZ517" s="15" t="s">
        <v>9648</v>
      </c>
      <c r="BA517" s="15" t="s">
        <v>2870</v>
      </c>
      <c r="BB517" s="15" t="s">
        <v>2807</v>
      </c>
      <c r="BC517" s="15" t="s">
        <v>13150</v>
      </c>
      <c r="BD517" s="15" t="s">
        <v>2807</v>
      </c>
      <c r="BE517" s="15" t="s">
        <v>14834</v>
      </c>
      <c r="BF517" s="15" t="s">
        <v>14835</v>
      </c>
      <c r="BG517" s="18"/>
      <c r="BH517" s="15" t="s">
        <v>14836</v>
      </c>
      <c r="BI517" s="15" t="s">
        <v>14837</v>
      </c>
      <c r="BJ517" s="19" t="s">
        <v>14838</v>
      </c>
      <c r="BK517" s="19" t="s">
        <v>14839</v>
      </c>
      <c r="BL517" s="19" t="s">
        <v>14840</v>
      </c>
      <c r="BM517" s="19" t="s">
        <v>14841</v>
      </c>
      <c r="BN517" s="19" t="s">
        <v>14842</v>
      </c>
      <c r="BO517" s="19" t="s">
        <v>14843</v>
      </c>
      <c r="BP517" s="19" t="s">
        <v>14844</v>
      </c>
      <c r="BQ517" s="15" t="s">
        <v>1321</v>
      </c>
      <c r="BR517" s="19" t="s">
        <v>14845</v>
      </c>
      <c r="BS517" s="19" t="s">
        <v>14846</v>
      </c>
      <c r="BT517" s="19" t="s">
        <v>14847</v>
      </c>
      <c r="BU517" s="19" t="s">
        <v>14848</v>
      </c>
      <c r="BV517" s="19" t="s">
        <v>14849</v>
      </c>
      <c r="BW517" s="15" t="s">
        <v>14850</v>
      </c>
      <c r="BX517" s="26"/>
      <c r="BY517" s="18" t="str">
        <f t="shared" si="107"/>
        <v>MECH</v>
      </c>
      <c r="BZ517" s="24" t="str">
        <f t="shared" si="100"/>
        <v>https://drive.google.com/open?id=1nBmM318OjyGbjxc6irQ5AaXxrFJqk67Y</v>
      </c>
      <c r="CA517" s="24" t="str">
        <f t="shared" si="101"/>
        <v>https://drive.google.com/open?id=1WYOpbbS5Oee51eC90hICl9DBLTyV2x17</v>
      </c>
      <c r="CB517" s="15" t="s">
        <v>2821</v>
      </c>
      <c r="CC517" s="15" t="s">
        <v>2821</v>
      </c>
      <c r="CD517" s="25" t="s">
        <v>2787</v>
      </c>
      <c r="CE517" s="18"/>
      <c r="CF517" s="18"/>
      <c r="CG517" s="18"/>
    </row>
    <row r="518" ht="18.75" hidden="1" customHeight="1">
      <c r="A518" s="14">
        <v>44770.641913263884</v>
      </c>
      <c r="B518" s="15" t="s">
        <v>2574</v>
      </c>
      <c r="C518" s="16" t="s">
        <v>14851</v>
      </c>
      <c r="D518" s="15" t="str">
        <f>IFERROR(__xludf.DUMMYFUNCTION("QUERY(TY_ALL_2023_Batch!$A$1:$E$824, ""SELECT E WHERE C='""&amp;B518&amp;""'"", 0)"),"MECH")</f>
        <v>MECH</v>
      </c>
      <c r="E518" s="15" t="s">
        <v>12531</v>
      </c>
      <c r="F518" s="15" t="s">
        <v>8952</v>
      </c>
      <c r="G518" s="15" t="s">
        <v>14852</v>
      </c>
      <c r="H518" s="15" t="s">
        <v>2785</v>
      </c>
      <c r="I518" s="17">
        <v>36965.0</v>
      </c>
      <c r="J518" s="15">
        <v>2019.0</v>
      </c>
      <c r="K518" s="15" t="s">
        <v>2786</v>
      </c>
      <c r="L518" s="15" t="s">
        <v>2787</v>
      </c>
      <c r="M518" s="18"/>
      <c r="N518" s="15" t="s">
        <v>14853</v>
      </c>
      <c r="O518" s="15" t="s">
        <v>14854</v>
      </c>
      <c r="P518" s="19" t="s">
        <v>14855</v>
      </c>
      <c r="Q518" s="15">
        <v>7.066774202E9</v>
      </c>
      <c r="R518" s="15">
        <v>7.066774202E9</v>
      </c>
      <c r="S518" s="15">
        <v>8.080553564E9</v>
      </c>
      <c r="T518" s="15" t="s">
        <v>13406</v>
      </c>
      <c r="U518" s="15" t="s">
        <v>14856</v>
      </c>
      <c r="V518" s="15" t="s">
        <v>14857</v>
      </c>
      <c r="W518" s="15" t="s">
        <v>14858</v>
      </c>
      <c r="X518" s="15">
        <v>84.6</v>
      </c>
      <c r="Y518" s="15" t="s">
        <v>2795</v>
      </c>
      <c r="Z518" s="15">
        <v>8.67</v>
      </c>
      <c r="AA518" s="15">
        <v>7.71</v>
      </c>
      <c r="AB518" s="15">
        <v>6.9</v>
      </c>
      <c r="AC518" s="15">
        <v>6.86</v>
      </c>
      <c r="AD518" s="15" t="s">
        <v>2796</v>
      </c>
      <c r="AE518" s="15" t="s">
        <v>2796</v>
      </c>
      <c r="AF518" s="15">
        <v>7.89</v>
      </c>
      <c r="AG518" s="15">
        <v>7.86</v>
      </c>
      <c r="AH518" s="15">
        <v>74.8</v>
      </c>
      <c r="AI518" s="18"/>
      <c r="AJ518" s="15" t="s">
        <v>2787</v>
      </c>
      <c r="AK518" s="15" t="s">
        <v>2787</v>
      </c>
      <c r="AL518" s="15">
        <v>438.33</v>
      </c>
      <c r="AM518" s="15">
        <v>413.33</v>
      </c>
      <c r="AN518" s="15" t="s">
        <v>2797</v>
      </c>
      <c r="AO518" s="18"/>
      <c r="AP518" s="18"/>
      <c r="AQ518" s="15" t="s">
        <v>14859</v>
      </c>
      <c r="AR518" s="18"/>
      <c r="AS518" s="18"/>
      <c r="AT518" s="18"/>
      <c r="AU518" s="15" t="s">
        <v>9966</v>
      </c>
      <c r="AV518" s="15" t="s">
        <v>14860</v>
      </c>
      <c r="AW518" s="15" t="s">
        <v>14861</v>
      </c>
      <c r="AX518" s="18"/>
      <c r="AY518" s="15" t="s">
        <v>14786</v>
      </c>
      <c r="AZ518" s="15" t="s">
        <v>3960</v>
      </c>
      <c r="BA518" s="15" t="s">
        <v>2899</v>
      </c>
      <c r="BB518" s="15" t="s">
        <v>2807</v>
      </c>
      <c r="BC518" s="15" t="s">
        <v>13107</v>
      </c>
      <c r="BD518" s="15" t="s">
        <v>2807</v>
      </c>
      <c r="BE518" s="15" t="s">
        <v>2796</v>
      </c>
      <c r="BF518" s="18"/>
      <c r="BG518" s="18"/>
      <c r="BH518" s="18"/>
      <c r="BI518" s="18"/>
      <c r="BJ518" s="19" t="s">
        <v>14862</v>
      </c>
      <c r="BK518" s="19" t="s">
        <v>14863</v>
      </c>
      <c r="BL518" s="18"/>
      <c r="BM518" s="18"/>
      <c r="BN518" s="18"/>
      <c r="BO518" s="19" t="s">
        <v>14864</v>
      </c>
      <c r="BP518" s="19" t="s">
        <v>14865</v>
      </c>
      <c r="BQ518" s="15" t="s">
        <v>1321</v>
      </c>
      <c r="BR518" s="19" t="s">
        <v>14866</v>
      </c>
      <c r="BS518" s="19" t="s">
        <v>14867</v>
      </c>
      <c r="BT518" s="19" t="s">
        <v>14868</v>
      </c>
      <c r="BU518" s="19" t="s">
        <v>14869</v>
      </c>
      <c r="BV518" s="19" t="s">
        <v>14870</v>
      </c>
      <c r="BW518" s="15" t="s">
        <v>14871</v>
      </c>
      <c r="BX518" s="26"/>
      <c r="BY518" s="18" t="str">
        <f t="shared" si="107"/>
        <v>MECH</v>
      </c>
      <c r="BZ518" s="24" t="str">
        <f t="shared" si="100"/>
        <v>https://drive.google.com/open?id=1c1MDB9wDJryFSXvLGraANAq4VPMErIAG</v>
      </c>
      <c r="CA518" s="24" t="str">
        <f t="shared" si="101"/>
        <v>https://drive.google.com/open?id=1EwiCp3UyXj65QjsIUN9PuBWAc5n5hI1J</v>
      </c>
      <c r="CB518" s="15" t="s">
        <v>2821</v>
      </c>
      <c r="CC518" s="15" t="s">
        <v>2821</v>
      </c>
      <c r="CD518" s="25" t="s">
        <v>2787</v>
      </c>
      <c r="CE518" s="18"/>
      <c r="CF518" s="18"/>
      <c r="CG518" s="18"/>
    </row>
    <row r="519" ht="18.75" hidden="1" customHeight="1">
      <c r="A519" s="14">
        <v>44742.956794791666</v>
      </c>
      <c r="B519" s="15" t="s">
        <v>2445</v>
      </c>
      <c r="C519" s="16" t="s">
        <v>14872</v>
      </c>
      <c r="D519" s="15" t="str">
        <f>IFERROR(__xludf.DUMMYFUNCTION("QUERY(TY_ALL_2023_Batch!$A$1:$E$824, ""SELECT E WHERE C='""&amp;B519&amp;""'"", 0)"),"MECH")</f>
        <v>MECH</v>
      </c>
      <c r="E519" s="15" t="s">
        <v>5968</v>
      </c>
      <c r="F519" s="15" t="s">
        <v>4593</v>
      </c>
      <c r="G519" s="15" t="s">
        <v>14873</v>
      </c>
      <c r="H519" s="15" t="s">
        <v>2785</v>
      </c>
      <c r="I519" s="17">
        <v>36995.0</v>
      </c>
      <c r="J519" s="15">
        <v>2019.0</v>
      </c>
      <c r="K519" s="15" t="s">
        <v>2786</v>
      </c>
      <c r="L519" s="15" t="s">
        <v>2787</v>
      </c>
      <c r="M519" s="18"/>
      <c r="N519" s="15" t="s">
        <v>14874</v>
      </c>
      <c r="O519" s="15" t="s">
        <v>2445</v>
      </c>
      <c r="P519" s="19" t="s">
        <v>14875</v>
      </c>
      <c r="Q519" s="15">
        <v>7.378327677E9</v>
      </c>
      <c r="R519" s="15">
        <v>7.378327677E9</v>
      </c>
      <c r="S519" s="15">
        <v>9.881746077E9</v>
      </c>
      <c r="T519" s="15" t="s">
        <v>4593</v>
      </c>
      <c r="U519" s="15" t="s">
        <v>14876</v>
      </c>
      <c r="V519" s="15" t="s">
        <v>14877</v>
      </c>
      <c r="W519" s="15" t="s">
        <v>14878</v>
      </c>
      <c r="X519" s="15">
        <v>89.0</v>
      </c>
      <c r="Y519" s="15" t="s">
        <v>2795</v>
      </c>
      <c r="Z519" s="15">
        <v>8.24</v>
      </c>
      <c r="AA519" s="15">
        <v>8.52</v>
      </c>
      <c r="AB519" s="15" t="s">
        <v>2796</v>
      </c>
      <c r="AC519" s="15" t="s">
        <v>2796</v>
      </c>
      <c r="AD519" s="15" t="s">
        <v>2796</v>
      </c>
      <c r="AE519" s="15" t="s">
        <v>2796</v>
      </c>
      <c r="AF519" s="15">
        <v>8.59</v>
      </c>
      <c r="AG519" s="15">
        <v>8.32</v>
      </c>
      <c r="AH519" s="15">
        <v>74.0</v>
      </c>
      <c r="AI519" s="18"/>
      <c r="AJ519" s="15" t="s">
        <v>2787</v>
      </c>
      <c r="AK519" s="15" t="s">
        <v>2787</v>
      </c>
      <c r="AL519" s="15">
        <v>548.0</v>
      </c>
      <c r="AM519" s="15">
        <v>598.0</v>
      </c>
      <c r="AN519" s="15" t="s">
        <v>2797</v>
      </c>
      <c r="AO519" s="15">
        <v>0.0</v>
      </c>
      <c r="AP519" s="15">
        <v>0.0</v>
      </c>
      <c r="AQ519" s="15" t="s">
        <v>14879</v>
      </c>
      <c r="AR519" s="15" t="s">
        <v>14880</v>
      </c>
      <c r="AS519" s="15" t="s">
        <v>14881</v>
      </c>
      <c r="AT519" s="18"/>
      <c r="AU519" s="18"/>
      <c r="AV519" s="15" t="s">
        <v>14882</v>
      </c>
      <c r="AW519" s="15" t="s">
        <v>14883</v>
      </c>
      <c r="AX519" s="18"/>
      <c r="AY519" s="15" t="s">
        <v>14884</v>
      </c>
      <c r="AZ519" s="15" t="s">
        <v>3960</v>
      </c>
      <c r="BA519" s="15" t="s">
        <v>2870</v>
      </c>
      <c r="BB519" s="15" t="s">
        <v>2807</v>
      </c>
      <c r="BC519" s="15" t="s">
        <v>14885</v>
      </c>
      <c r="BD519" s="15" t="s">
        <v>3393</v>
      </c>
      <c r="BE519" s="15" t="s">
        <v>14886</v>
      </c>
      <c r="BF519" s="18"/>
      <c r="BG519" s="18"/>
      <c r="BH519" s="18"/>
      <c r="BI519" s="18"/>
      <c r="BJ519" s="19" t="s">
        <v>14887</v>
      </c>
      <c r="BK519" s="19" t="s">
        <v>14888</v>
      </c>
      <c r="BL519" s="19" t="s">
        <v>14889</v>
      </c>
      <c r="BM519" s="19" t="s">
        <v>14890</v>
      </c>
      <c r="BN519" s="19" t="s">
        <v>14891</v>
      </c>
      <c r="BO519" s="19" t="s">
        <v>14892</v>
      </c>
      <c r="BP519" s="19" t="s">
        <v>14893</v>
      </c>
      <c r="BQ519" s="15" t="s">
        <v>1321</v>
      </c>
      <c r="BR519" s="26"/>
      <c r="BS519" s="26"/>
      <c r="BT519" s="19" t="s">
        <v>14894</v>
      </c>
      <c r="BU519" s="26"/>
      <c r="BV519" s="26"/>
      <c r="BW519" s="15" t="s">
        <v>9897</v>
      </c>
      <c r="BX519" s="26"/>
      <c r="BY519" s="18" t="str">
        <f t="shared" si="107"/>
        <v>MECH</v>
      </c>
      <c r="BZ519" s="24" t="str">
        <f t="shared" si="100"/>
        <v>https://drive.google.com/open?id=1linTnunzzOL3xuHwHnR7qQrhlgF0Bhox</v>
      </c>
      <c r="CA519" s="24" t="str">
        <f t="shared" si="101"/>
        <v>https://drive.google.com/open?id=1d78IvU2vKTzggziYn41ZQJGJL0YQD_SV</v>
      </c>
      <c r="CB519" s="15" t="s">
        <v>2821</v>
      </c>
      <c r="CC519" s="15" t="s">
        <v>2821</v>
      </c>
      <c r="CD519" s="25" t="s">
        <v>2787</v>
      </c>
      <c r="CE519" s="18"/>
      <c r="CF519" s="18"/>
      <c r="CG519" s="18"/>
    </row>
    <row r="520" ht="18.75" hidden="1" customHeight="1">
      <c r="A520" s="14">
        <v>44743.01242856482</v>
      </c>
      <c r="B520" s="15" t="s">
        <v>2634</v>
      </c>
      <c r="C520" s="16" t="s">
        <v>14895</v>
      </c>
      <c r="D520" s="15" t="str">
        <f>IFERROR(__xludf.DUMMYFUNCTION("QUERY(TY_ALL_2023_Batch!$A$1:$E$824, ""SELECT E WHERE C='""&amp;B520&amp;""'"", 0)"),"MECH")</f>
        <v>MECH</v>
      </c>
      <c r="E520" s="15" t="s">
        <v>7154</v>
      </c>
      <c r="F520" s="15" t="s">
        <v>14896</v>
      </c>
      <c r="G520" s="15" t="s">
        <v>14897</v>
      </c>
      <c r="H520" s="15" t="s">
        <v>2785</v>
      </c>
      <c r="I520" s="17">
        <v>36820.0</v>
      </c>
      <c r="J520" s="15">
        <v>2019.0</v>
      </c>
      <c r="K520" s="15" t="s">
        <v>2786</v>
      </c>
      <c r="L520" s="15" t="s">
        <v>2787</v>
      </c>
      <c r="M520" s="18"/>
      <c r="N520" s="15" t="s">
        <v>14898</v>
      </c>
      <c r="O520" s="15" t="s">
        <v>14899</v>
      </c>
      <c r="P520" s="19" t="s">
        <v>14900</v>
      </c>
      <c r="Q520" s="15">
        <v>8.080409721E9</v>
      </c>
      <c r="R520" s="15">
        <v>8.080409721E9</v>
      </c>
      <c r="S520" s="15">
        <v>8.080336178E9</v>
      </c>
      <c r="T520" s="15" t="s">
        <v>14901</v>
      </c>
      <c r="U520" s="15" t="s">
        <v>14902</v>
      </c>
      <c r="V520" s="15" t="s">
        <v>14903</v>
      </c>
      <c r="W520" s="15" t="s">
        <v>14904</v>
      </c>
      <c r="X520" s="15">
        <v>91.4</v>
      </c>
      <c r="Y520" s="15" t="s">
        <v>2795</v>
      </c>
      <c r="Z520" s="15">
        <v>9.1</v>
      </c>
      <c r="AA520" s="15">
        <v>8.52</v>
      </c>
      <c r="AB520" s="15" t="s">
        <v>2796</v>
      </c>
      <c r="AC520" s="15" t="s">
        <v>2796</v>
      </c>
      <c r="AD520" s="15" t="s">
        <v>2796</v>
      </c>
      <c r="AE520" s="15" t="s">
        <v>2796</v>
      </c>
      <c r="AF520" s="15">
        <v>8.9</v>
      </c>
      <c r="AG520" s="15">
        <v>8.53</v>
      </c>
      <c r="AH520" s="15">
        <v>68.31</v>
      </c>
      <c r="AI520" s="18"/>
      <c r="AJ520" s="15" t="s">
        <v>2787</v>
      </c>
      <c r="AK520" s="15" t="s">
        <v>2787</v>
      </c>
      <c r="AL520" s="15">
        <v>72.5</v>
      </c>
      <c r="AM520" s="15">
        <v>92.67</v>
      </c>
      <c r="AN520" s="15" t="s">
        <v>2787</v>
      </c>
      <c r="AO520" s="15" t="s">
        <v>2908</v>
      </c>
      <c r="AP520" s="18"/>
      <c r="AQ520" s="15" t="s">
        <v>14905</v>
      </c>
      <c r="AR520" s="15" t="s">
        <v>5356</v>
      </c>
      <c r="AS520" s="15" t="s">
        <v>14906</v>
      </c>
      <c r="AT520" s="18"/>
      <c r="AU520" s="18"/>
      <c r="AV520" s="18"/>
      <c r="AW520" s="15" t="s">
        <v>14907</v>
      </c>
      <c r="AX520" s="18"/>
      <c r="AY520" s="15" t="s">
        <v>14908</v>
      </c>
      <c r="AZ520" s="15" t="s">
        <v>5335</v>
      </c>
      <c r="BA520" s="15" t="s">
        <v>2899</v>
      </c>
      <c r="BB520" s="15" t="s">
        <v>2807</v>
      </c>
      <c r="BC520" s="15" t="s">
        <v>12991</v>
      </c>
      <c r="BD520" s="15" t="s">
        <v>2807</v>
      </c>
      <c r="BE520" s="15" t="s">
        <v>14909</v>
      </c>
      <c r="BF520" s="18"/>
      <c r="BG520" s="18"/>
      <c r="BH520" s="18"/>
      <c r="BI520" s="15" t="s">
        <v>14910</v>
      </c>
      <c r="BJ520" s="19" t="s">
        <v>14911</v>
      </c>
      <c r="BK520" s="19" t="s">
        <v>14912</v>
      </c>
      <c r="BL520" s="19" t="s">
        <v>14913</v>
      </c>
      <c r="BM520" s="19" t="s">
        <v>14914</v>
      </c>
      <c r="BN520" s="18"/>
      <c r="BO520" s="19" t="s">
        <v>14915</v>
      </c>
      <c r="BP520" s="18"/>
      <c r="BQ520" s="15" t="s">
        <v>1321</v>
      </c>
      <c r="BR520" s="18"/>
      <c r="BS520" s="18"/>
      <c r="BT520" s="19" t="s">
        <v>14916</v>
      </c>
      <c r="BU520" s="19" t="s">
        <v>14917</v>
      </c>
      <c r="BV520" s="19" t="s">
        <v>14918</v>
      </c>
      <c r="BW520" s="15" t="s">
        <v>14919</v>
      </c>
      <c r="BX520" s="18"/>
      <c r="BY520" s="18" t="str">
        <f t="shared" si="107"/>
        <v>MECH</v>
      </c>
      <c r="BZ520" s="24" t="str">
        <f t="shared" si="100"/>
        <v>https://drive.google.com/open?id=18TZq4VYlwt46ZKhDYn6TJe9r_dv0Nf92</v>
      </c>
      <c r="CA520" s="24" t="str">
        <f t="shared" si="101"/>
        <v>https://drive.google.com/open?id=1vj43-yUZce7QlgnLGt0EQgyCRyhUh0Pe</v>
      </c>
      <c r="CB520" s="15" t="s">
        <v>2821</v>
      </c>
      <c r="CC520" s="15" t="s">
        <v>2821</v>
      </c>
      <c r="CD520" s="25" t="s">
        <v>2787</v>
      </c>
      <c r="CE520" s="18"/>
      <c r="CF520" s="18"/>
      <c r="CG520" s="18"/>
    </row>
    <row r="521" ht="18.75" hidden="1" customHeight="1">
      <c r="A521" s="14">
        <v>44743.002585486116</v>
      </c>
      <c r="B521" s="15" t="s">
        <v>2367</v>
      </c>
      <c r="C521" s="16" t="s">
        <v>14920</v>
      </c>
      <c r="D521" s="15" t="str">
        <f>IFERROR(__xludf.DUMMYFUNCTION("QUERY(TY_ALL_2023_Batch!$A$1:$E$824, ""SELECT E WHERE C='""&amp;B521&amp;""'"", 0)"),"MECH")</f>
        <v>MECH</v>
      </c>
      <c r="E521" s="15" t="s">
        <v>3078</v>
      </c>
      <c r="F521" s="15" t="s">
        <v>14921</v>
      </c>
      <c r="G521" s="15" t="s">
        <v>14922</v>
      </c>
      <c r="H521" s="15" t="s">
        <v>2785</v>
      </c>
      <c r="I521" s="17">
        <v>36991.0</v>
      </c>
      <c r="J521" s="15">
        <v>2019.0</v>
      </c>
      <c r="K521" s="15" t="s">
        <v>2786</v>
      </c>
      <c r="L521" s="15" t="s">
        <v>2787</v>
      </c>
      <c r="M521" s="18"/>
      <c r="N521" s="15" t="s">
        <v>14923</v>
      </c>
      <c r="O521" s="15" t="s">
        <v>2367</v>
      </c>
      <c r="P521" s="19" t="s">
        <v>14924</v>
      </c>
      <c r="Q521" s="15">
        <v>8.080336178E9</v>
      </c>
      <c r="R521" s="15">
        <v>8.080336178E9</v>
      </c>
      <c r="S521" s="15">
        <v>8.080409721E9</v>
      </c>
      <c r="T521" s="15" t="s">
        <v>14925</v>
      </c>
      <c r="U521" s="15" t="s">
        <v>14926</v>
      </c>
      <c r="V521" s="15" t="s">
        <v>14927</v>
      </c>
      <c r="W521" s="15" t="s">
        <v>14928</v>
      </c>
      <c r="X521" s="15">
        <v>95.8</v>
      </c>
      <c r="Y521" s="15" t="s">
        <v>2795</v>
      </c>
      <c r="Z521" s="15">
        <v>9.19</v>
      </c>
      <c r="AA521" s="15">
        <v>8.76</v>
      </c>
      <c r="AB521" s="15" t="s">
        <v>2796</v>
      </c>
      <c r="AC521" s="15" t="s">
        <v>2796</v>
      </c>
      <c r="AD521" s="15" t="s">
        <v>2796</v>
      </c>
      <c r="AE521" s="15" t="s">
        <v>2796</v>
      </c>
      <c r="AF521" s="15">
        <v>8.33</v>
      </c>
      <c r="AG521" s="15">
        <v>8.16</v>
      </c>
      <c r="AH521" s="15">
        <v>75.5</v>
      </c>
      <c r="AI521" s="18"/>
      <c r="AJ521" s="15" t="s">
        <v>2787</v>
      </c>
      <c r="AK521" s="15" t="s">
        <v>2787</v>
      </c>
      <c r="AL521" s="15">
        <v>84.67</v>
      </c>
      <c r="AM521" s="15">
        <v>96.0</v>
      </c>
      <c r="AN521" s="15" t="s">
        <v>2797</v>
      </c>
      <c r="AO521" s="18"/>
      <c r="AP521" s="18"/>
      <c r="AQ521" s="15" t="s">
        <v>5356</v>
      </c>
      <c r="AR521" s="15" t="s">
        <v>9390</v>
      </c>
      <c r="AS521" s="18"/>
      <c r="AT521" s="18"/>
      <c r="AU521" s="18"/>
      <c r="AV521" s="18"/>
      <c r="AW521" s="15" t="s">
        <v>14929</v>
      </c>
      <c r="AX521" s="18"/>
      <c r="AY521" s="15" t="s">
        <v>14930</v>
      </c>
      <c r="AZ521" s="15" t="s">
        <v>5335</v>
      </c>
      <c r="BA521" s="15" t="s">
        <v>2899</v>
      </c>
      <c r="BB521" s="15" t="s">
        <v>2807</v>
      </c>
      <c r="BC521" s="15" t="s">
        <v>13107</v>
      </c>
      <c r="BD521" s="15" t="s">
        <v>6169</v>
      </c>
      <c r="BE521" s="15" t="s">
        <v>14931</v>
      </c>
      <c r="BF521" s="15" t="s">
        <v>14932</v>
      </c>
      <c r="BG521" s="18"/>
      <c r="BH521" s="18"/>
      <c r="BI521" s="15" t="s">
        <v>14933</v>
      </c>
      <c r="BJ521" s="19" t="s">
        <v>14934</v>
      </c>
      <c r="BK521" s="19" t="s">
        <v>14935</v>
      </c>
      <c r="BL521" s="19" t="s">
        <v>14936</v>
      </c>
      <c r="BM521" s="19" t="s">
        <v>14937</v>
      </c>
      <c r="BN521" s="19" t="s">
        <v>14938</v>
      </c>
      <c r="BO521" s="19" t="s">
        <v>14939</v>
      </c>
      <c r="BP521" s="18"/>
      <c r="BQ521" s="15" t="s">
        <v>1321</v>
      </c>
      <c r="BR521" s="18"/>
      <c r="BS521" s="18"/>
      <c r="BT521" s="19" t="s">
        <v>14940</v>
      </c>
      <c r="BU521" s="19" t="s">
        <v>14941</v>
      </c>
      <c r="BV521" s="19" t="s">
        <v>14942</v>
      </c>
      <c r="BW521" s="15" t="s">
        <v>14943</v>
      </c>
      <c r="BX521" s="18"/>
      <c r="BY521" s="18" t="str">
        <f t="shared" si="107"/>
        <v>MECH</v>
      </c>
      <c r="BZ521" s="24" t="str">
        <f t="shared" si="100"/>
        <v>https://drive.google.com/open?id=19JRf9KeXNoxGX5Qlb0ejoY995TyG7Tfr</v>
      </c>
      <c r="CA521" s="24" t="str">
        <f t="shared" si="101"/>
        <v>https://drive.google.com/open?id=1ShbaN6VQrMKMPtREbNDHWb2CxLtnAzeN</v>
      </c>
      <c r="CB521" s="15" t="s">
        <v>2821</v>
      </c>
      <c r="CC521" s="15" t="s">
        <v>2821</v>
      </c>
      <c r="CD521" s="25" t="s">
        <v>2787</v>
      </c>
      <c r="CE521" s="18"/>
      <c r="CF521" s="18"/>
      <c r="CG521" s="18"/>
    </row>
    <row r="522" ht="18.75" hidden="1" customHeight="1">
      <c r="A522" s="14">
        <v>44742.84933465278</v>
      </c>
      <c r="B522" s="15" t="s">
        <v>2586</v>
      </c>
      <c r="C522" s="15">
        <v>1.20190286E8</v>
      </c>
      <c r="D522" s="15" t="str">
        <f>IFERROR(__xludf.DUMMYFUNCTION("QUERY(TY_ALL_2023_Batch!$A$1:$E$824, ""SELECT E WHERE C='""&amp;B522&amp;""'"", 0)"),"MECH")</f>
        <v>MECH</v>
      </c>
      <c r="E522" s="15" t="s">
        <v>14944</v>
      </c>
      <c r="F522" s="15" t="s">
        <v>3247</v>
      </c>
      <c r="G522" s="15" t="s">
        <v>14945</v>
      </c>
      <c r="H522" s="15" t="s">
        <v>2785</v>
      </c>
      <c r="I522" s="17">
        <v>36850.0</v>
      </c>
      <c r="J522" s="15">
        <v>2019.0</v>
      </c>
      <c r="K522" s="15" t="s">
        <v>2786</v>
      </c>
      <c r="L522" s="15" t="s">
        <v>2787</v>
      </c>
      <c r="M522" s="18"/>
      <c r="N522" s="15" t="s">
        <v>14946</v>
      </c>
      <c r="O522" s="15" t="s">
        <v>2586</v>
      </c>
      <c r="P522" s="19" t="s">
        <v>14947</v>
      </c>
      <c r="Q522" s="15">
        <v>9.623007591E9</v>
      </c>
      <c r="R522" s="15">
        <v>9.623007591E9</v>
      </c>
      <c r="S522" s="15">
        <v>9.699635574E9</v>
      </c>
      <c r="T522" s="15" t="s">
        <v>14948</v>
      </c>
      <c r="U522" s="15" t="s">
        <v>14949</v>
      </c>
      <c r="V522" s="15" t="s">
        <v>14950</v>
      </c>
      <c r="W522" s="15" t="s">
        <v>14951</v>
      </c>
      <c r="X522" s="15">
        <v>88.0</v>
      </c>
      <c r="Y522" s="15" t="s">
        <v>2795</v>
      </c>
      <c r="Z522" s="15">
        <v>8.19</v>
      </c>
      <c r="AA522" s="15">
        <v>1.1</v>
      </c>
      <c r="AB522" s="15" t="s">
        <v>2796</v>
      </c>
      <c r="AC522" s="15" t="s">
        <v>2796</v>
      </c>
      <c r="AD522" s="15" t="s">
        <v>2796</v>
      </c>
      <c r="AE522" s="15" t="s">
        <v>2796</v>
      </c>
      <c r="AF522" s="15">
        <v>8.21</v>
      </c>
      <c r="AG522" s="15">
        <v>8.24</v>
      </c>
      <c r="AH522" s="15">
        <v>77.0</v>
      </c>
      <c r="AI522" s="18"/>
      <c r="AJ522" s="15" t="s">
        <v>2787</v>
      </c>
      <c r="AK522" s="15" t="s">
        <v>2787</v>
      </c>
      <c r="AL522" s="15">
        <v>555.0</v>
      </c>
      <c r="AM522" s="15">
        <v>570.0</v>
      </c>
      <c r="AN522" s="15" t="s">
        <v>2787</v>
      </c>
      <c r="AO522" s="15" t="s">
        <v>14952</v>
      </c>
      <c r="AP522" s="18"/>
      <c r="AQ522" s="15" t="s">
        <v>14953</v>
      </c>
      <c r="AR522" s="15" t="s">
        <v>12182</v>
      </c>
      <c r="AS522" s="18"/>
      <c r="AT522" s="18"/>
      <c r="AU522" s="15" t="s">
        <v>2796</v>
      </c>
      <c r="AV522" s="15" t="s">
        <v>14954</v>
      </c>
      <c r="AW522" s="15" t="s">
        <v>14955</v>
      </c>
      <c r="AX522" s="15" t="s">
        <v>14956</v>
      </c>
      <c r="AY522" s="15" t="s">
        <v>2796</v>
      </c>
      <c r="AZ522" s="15" t="s">
        <v>8440</v>
      </c>
      <c r="BA522" s="15" t="s">
        <v>4085</v>
      </c>
      <c r="BB522" s="15" t="s">
        <v>2807</v>
      </c>
      <c r="BC522" s="15" t="s">
        <v>2841</v>
      </c>
      <c r="BD522" s="15" t="s">
        <v>2842</v>
      </c>
      <c r="BE522" s="15" t="s">
        <v>14957</v>
      </c>
      <c r="BF522" s="18"/>
      <c r="BG522" s="18"/>
      <c r="BH522" s="18"/>
      <c r="BI522" s="15" t="s">
        <v>14958</v>
      </c>
      <c r="BJ522" s="19" t="s">
        <v>14959</v>
      </c>
      <c r="BK522" s="19" t="s">
        <v>14960</v>
      </c>
      <c r="BL522" s="19" t="s">
        <v>14961</v>
      </c>
      <c r="BM522" s="19" t="s">
        <v>14962</v>
      </c>
      <c r="BN522" s="19" t="s">
        <v>14963</v>
      </c>
      <c r="BO522" s="19" t="s">
        <v>14964</v>
      </c>
      <c r="BP522" s="19" t="s">
        <v>14965</v>
      </c>
      <c r="BQ522" s="15" t="s">
        <v>1321</v>
      </c>
      <c r="BR522" s="26"/>
      <c r="BS522" s="26"/>
      <c r="BT522" s="19" t="s">
        <v>14966</v>
      </c>
      <c r="BU522" s="19" t="s">
        <v>14967</v>
      </c>
      <c r="BV522" s="19" t="s">
        <v>14968</v>
      </c>
      <c r="BW522" s="15" t="s">
        <v>14969</v>
      </c>
      <c r="BX522" s="26"/>
      <c r="BY522" s="18" t="str">
        <f t="shared" si="107"/>
        <v>MECH</v>
      </c>
      <c r="BZ522" s="24" t="str">
        <f t="shared" si="100"/>
        <v>https://drive.google.com/open?id=1kesXN1vxjlrxztQ80aSpcKuxsOTmXaV_</v>
      </c>
      <c r="CA522" s="24" t="str">
        <f t="shared" si="101"/>
        <v>https://drive.google.com/open?id=1JpqLiwfu4YWxM1QQ7DSCAs1tMJdi0x3d</v>
      </c>
      <c r="CB522" s="15" t="s">
        <v>2821</v>
      </c>
      <c r="CC522" s="15" t="s">
        <v>2821</v>
      </c>
      <c r="CD522" s="25" t="s">
        <v>2787</v>
      </c>
      <c r="CE522" s="18"/>
      <c r="CF522" s="18"/>
      <c r="CG522" s="18"/>
    </row>
    <row r="523" ht="18.75" hidden="1" customHeight="1">
      <c r="A523" s="14">
        <v>44735.85639833333</v>
      </c>
      <c r="B523" s="15" t="s">
        <v>1494</v>
      </c>
      <c r="C523" s="15">
        <v>2.20200036E8</v>
      </c>
      <c r="D523" s="15" t="str">
        <f>IFERROR(__xludf.DUMMYFUNCTION("QUERY(TY_ALL_2023_Batch!$A$1:$E$824, ""SELECT E WHERE C='""&amp;B523&amp;""'"", 0)"),"MECH")</f>
        <v>MECH</v>
      </c>
      <c r="E523" s="15" t="s">
        <v>13098</v>
      </c>
      <c r="F523" s="15" t="s">
        <v>14970</v>
      </c>
      <c r="G523" s="15" t="s">
        <v>2973</v>
      </c>
      <c r="H523" s="15" t="s">
        <v>2785</v>
      </c>
      <c r="I523" s="17">
        <v>37218.0</v>
      </c>
      <c r="J523" s="15">
        <v>2020.0</v>
      </c>
      <c r="K523" s="15" t="s">
        <v>2941</v>
      </c>
      <c r="L523" s="15" t="s">
        <v>2787</v>
      </c>
      <c r="M523" s="18"/>
      <c r="N523" s="15" t="s">
        <v>14971</v>
      </c>
      <c r="O523" s="15" t="s">
        <v>1494</v>
      </c>
      <c r="P523" s="19" t="s">
        <v>14972</v>
      </c>
      <c r="Q523" s="15">
        <v>9.518335912E9</v>
      </c>
      <c r="R523" s="15">
        <v>9.518335912E9</v>
      </c>
      <c r="S523" s="15">
        <v>9.226159744E9</v>
      </c>
      <c r="T523" s="15" t="s">
        <v>14973</v>
      </c>
      <c r="U523" s="15" t="s">
        <v>14974</v>
      </c>
      <c r="V523" s="15" t="s">
        <v>14975</v>
      </c>
      <c r="W523" s="18"/>
      <c r="X523" s="15">
        <v>97.4</v>
      </c>
      <c r="Y523" s="15" t="s">
        <v>2948</v>
      </c>
      <c r="Z523" s="15">
        <v>8.9</v>
      </c>
      <c r="AA523" s="15">
        <v>9.0</v>
      </c>
      <c r="AB523" s="15">
        <v>9.1</v>
      </c>
      <c r="AC523" s="15">
        <v>8.7</v>
      </c>
      <c r="AD523" s="15" t="s">
        <v>2796</v>
      </c>
      <c r="AE523" s="15" t="s">
        <v>2796</v>
      </c>
      <c r="AF523" s="18"/>
      <c r="AG523" s="18"/>
      <c r="AH523" s="18"/>
      <c r="AI523" s="15">
        <v>91.07</v>
      </c>
      <c r="AJ523" s="15" t="s">
        <v>2797</v>
      </c>
      <c r="AK523" s="15" t="s">
        <v>2787</v>
      </c>
      <c r="AL523" s="15" t="s">
        <v>2796</v>
      </c>
      <c r="AM523" s="15">
        <v>628.0</v>
      </c>
      <c r="AN523" s="15" t="s">
        <v>2797</v>
      </c>
      <c r="AO523" s="15" t="s">
        <v>2796</v>
      </c>
      <c r="AP523" s="15" t="s">
        <v>2796</v>
      </c>
      <c r="AQ523" s="15" t="s">
        <v>14976</v>
      </c>
      <c r="AR523" s="15" t="s">
        <v>14977</v>
      </c>
      <c r="AS523" s="15" t="s">
        <v>14978</v>
      </c>
      <c r="AT523" s="18"/>
      <c r="AU523" s="15" t="s">
        <v>2796</v>
      </c>
      <c r="AV523" s="15" t="s">
        <v>14979</v>
      </c>
      <c r="AW523" s="15" t="s">
        <v>14980</v>
      </c>
      <c r="AX523" s="15" t="s">
        <v>2796</v>
      </c>
      <c r="AY523" s="15" t="s">
        <v>14981</v>
      </c>
      <c r="AZ523" s="15" t="s">
        <v>3960</v>
      </c>
      <c r="BA523" s="15" t="s">
        <v>2870</v>
      </c>
      <c r="BB523" s="15" t="s">
        <v>2807</v>
      </c>
      <c r="BC523" s="15" t="s">
        <v>14982</v>
      </c>
      <c r="BD523" s="15" t="s">
        <v>2807</v>
      </c>
      <c r="BE523" s="15" t="s">
        <v>14983</v>
      </c>
      <c r="BF523" s="18"/>
      <c r="BG523" s="18"/>
      <c r="BH523" s="18"/>
      <c r="BI523" s="15" t="s">
        <v>14984</v>
      </c>
      <c r="BJ523" s="19" t="s">
        <v>14985</v>
      </c>
      <c r="BK523" s="19" t="s">
        <v>14986</v>
      </c>
      <c r="BL523" s="18"/>
      <c r="BM523" s="19" t="s">
        <v>14987</v>
      </c>
      <c r="BN523" s="19" t="s">
        <v>14988</v>
      </c>
      <c r="BO523" s="19" t="s">
        <v>14989</v>
      </c>
      <c r="BP523" s="18"/>
      <c r="BQ523" s="15" t="s">
        <v>1321</v>
      </c>
      <c r="BR523" s="26"/>
      <c r="BS523" s="26"/>
      <c r="BT523" s="26"/>
      <c r="BU523" s="26"/>
      <c r="BV523" s="26"/>
      <c r="BW523" s="26"/>
      <c r="BX523" s="26"/>
      <c r="BY523" s="18" t="str">
        <f t="shared" si="107"/>
        <v>MECH</v>
      </c>
      <c r="BZ523" s="18" t="str">
        <f t="shared" si="100"/>
        <v/>
      </c>
      <c r="CA523" s="24" t="str">
        <f t="shared" si="101"/>
        <v>https://drive.google.com/open?id=1Of7tqKnbLegStA6fKouKXHVk6fwTXBK6</v>
      </c>
      <c r="CB523" s="15" t="s">
        <v>2908</v>
      </c>
      <c r="CC523" s="15" t="s">
        <v>2821</v>
      </c>
      <c r="CD523" s="25" t="s">
        <v>2797</v>
      </c>
      <c r="CE523" s="18"/>
      <c r="CF523" s="18"/>
      <c r="CG523" s="18"/>
    </row>
    <row r="524" ht="18.75" hidden="1" customHeight="1">
      <c r="A524" s="14">
        <v>44736.519990879635</v>
      </c>
      <c r="B524" s="15" t="s">
        <v>2688</v>
      </c>
      <c r="C524" s="16" t="s">
        <v>14990</v>
      </c>
      <c r="D524" s="15" t="str">
        <f>IFERROR(__xludf.DUMMYFUNCTION("QUERY(TY_ALL_2023_Batch!$A$1:$E$824, ""SELECT E WHERE C='""&amp;B524&amp;""'"", 0)"),"MECH")</f>
        <v>MECH</v>
      </c>
      <c r="E524" s="15" t="s">
        <v>10187</v>
      </c>
      <c r="F524" s="15" t="s">
        <v>6136</v>
      </c>
      <c r="G524" s="15" t="s">
        <v>14991</v>
      </c>
      <c r="H524" s="15" t="s">
        <v>2785</v>
      </c>
      <c r="I524" s="17">
        <v>37028.0</v>
      </c>
      <c r="J524" s="15">
        <v>2019.0</v>
      </c>
      <c r="K524" s="15" t="s">
        <v>2786</v>
      </c>
      <c r="L524" s="15" t="s">
        <v>2787</v>
      </c>
      <c r="M524" s="18"/>
      <c r="N524" s="15" t="s">
        <v>14992</v>
      </c>
      <c r="O524" s="15" t="s">
        <v>2688</v>
      </c>
      <c r="P524" s="19" t="s">
        <v>14993</v>
      </c>
      <c r="Q524" s="15">
        <v>9.657508499E9</v>
      </c>
      <c r="R524" s="15">
        <v>9.657508499E9</v>
      </c>
      <c r="S524" s="15">
        <v>9.370013376E9</v>
      </c>
      <c r="T524" s="15" t="s">
        <v>6136</v>
      </c>
      <c r="U524" s="15" t="s">
        <v>12891</v>
      </c>
      <c r="V524" s="15" t="s">
        <v>14994</v>
      </c>
      <c r="W524" s="15" t="s">
        <v>14995</v>
      </c>
      <c r="X524" s="15">
        <v>96.2</v>
      </c>
      <c r="Y524" s="15" t="s">
        <v>2795</v>
      </c>
      <c r="Z524" s="15">
        <v>9.62</v>
      </c>
      <c r="AA524" s="15">
        <v>9.1</v>
      </c>
      <c r="AB524" s="15" t="s">
        <v>2796</v>
      </c>
      <c r="AC524" s="15" t="s">
        <v>2796</v>
      </c>
      <c r="AD524" s="15" t="s">
        <v>2796</v>
      </c>
      <c r="AE524" s="15" t="s">
        <v>2796</v>
      </c>
      <c r="AF524" s="15">
        <v>9.32</v>
      </c>
      <c r="AG524" s="15">
        <v>8.81</v>
      </c>
      <c r="AH524" s="15">
        <v>79.54</v>
      </c>
      <c r="AI524" s="18"/>
      <c r="AJ524" s="15" t="s">
        <v>2787</v>
      </c>
      <c r="AK524" s="15" t="s">
        <v>2787</v>
      </c>
      <c r="AL524" s="15">
        <v>548.33</v>
      </c>
      <c r="AM524" s="15">
        <v>583.33</v>
      </c>
      <c r="AN524" s="15" t="s">
        <v>2797</v>
      </c>
      <c r="AO524" s="18"/>
      <c r="AP524" s="18"/>
      <c r="AQ524" s="15" t="s">
        <v>14996</v>
      </c>
      <c r="AR524" s="15" t="s">
        <v>5441</v>
      </c>
      <c r="AS524" s="15" t="s">
        <v>14997</v>
      </c>
      <c r="AT524" s="18"/>
      <c r="AU524" s="15" t="s">
        <v>14998</v>
      </c>
      <c r="AV524" s="15" t="s">
        <v>14999</v>
      </c>
      <c r="AW524" s="15" t="s">
        <v>15000</v>
      </c>
      <c r="AX524" s="18"/>
      <c r="AY524" s="15" t="s">
        <v>15001</v>
      </c>
      <c r="AZ524" s="15" t="s">
        <v>8440</v>
      </c>
      <c r="BA524" s="15" t="s">
        <v>2806</v>
      </c>
      <c r="BB524" s="15" t="s">
        <v>4504</v>
      </c>
      <c r="BC524" s="15" t="s">
        <v>14418</v>
      </c>
      <c r="BD524" s="15" t="s">
        <v>3393</v>
      </c>
      <c r="BE524" s="15" t="s">
        <v>15002</v>
      </c>
      <c r="BF524" s="18"/>
      <c r="BG524" s="18"/>
      <c r="BH524" s="18"/>
      <c r="BI524" s="15" t="s">
        <v>15003</v>
      </c>
      <c r="BJ524" s="19" t="s">
        <v>15004</v>
      </c>
      <c r="BK524" s="19" t="s">
        <v>15005</v>
      </c>
      <c r="BL524" s="19" t="s">
        <v>15006</v>
      </c>
      <c r="BM524" s="19" t="s">
        <v>15007</v>
      </c>
      <c r="BN524" s="19" t="s">
        <v>15008</v>
      </c>
      <c r="BO524" s="19" t="s">
        <v>15009</v>
      </c>
      <c r="BP524" s="19" t="s">
        <v>15010</v>
      </c>
      <c r="BQ524" s="15" t="s">
        <v>1321</v>
      </c>
      <c r="BR524" s="26"/>
      <c r="BS524" s="26"/>
      <c r="BT524" s="26"/>
      <c r="BU524" s="26"/>
      <c r="BV524" s="26"/>
      <c r="BW524" s="26"/>
      <c r="BX524" s="26"/>
      <c r="BY524" s="18" t="str">
        <f t="shared" si="107"/>
        <v>MECH</v>
      </c>
      <c r="BZ524" s="24" t="str">
        <f t="shared" si="100"/>
        <v>https://drive.google.com/open?id=1U9UpwzfJ9NEqKw3nu8aPwIFL0KeFTy_9</v>
      </c>
      <c r="CA524" s="24" t="str">
        <f t="shared" si="101"/>
        <v>https://drive.google.com/open?id=1up9p8TVXDqO9eFg7SjXk18O9A7kIKVUr</v>
      </c>
      <c r="CB524" s="15" t="s">
        <v>2821</v>
      </c>
      <c r="CC524" s="15" t="s">
        <v>2821</v>
      </c>
      <c r="CD524" s="25" t="s">
        <v>2797</v>
      </c>
      <c r="CE524" s="18"/>
      <c r="CF524" s="18"/>
      <c r="CG524" s="18"/>
    </row>
    <row r="525" ht="18.75" hidden="1" customHeight="1">
      <c r="A525" s="14">
        <v>44742.906780289355</v>
      </c>
      <c r="B525" s="15" t="s">
        <v>2550</v>
      </c>
      <c r="C525" s="16" t="s">
        <v>15011</v>
      </c>
      <c r="D525" s="15" t="str">
        <f>IFERROR(__xludf.DUMMYFUNCTION("QUERY(TY_ALL_2023_Batch!$A$1:$E$824, ""SELECT E WHERE C='""&amp;B525&amp;""'"", 0)"),"MECH")</f>
        <v>MECH</v>
      </c>
      <c r="E525" s="15" t="s">
        <v>11890</v>
      </c>
      <c r="F525" s="15" t="s">
        <v>5229</v>
      </c>
      <c r="G525" s="15" t="s">
        <v>5206</v>
      </c>
      <c r="H525" s="15" t="s">
        <v>2785</v>
      </c>
      <c r="I525" s="17">
        <v>36951.0</v>
      </c>
      <c r="J525" s="15">
        <v>2019.0</v>
      </c>
      <c r="K525" s="15" t="s">
        <v>2786</v>
      </c>
      <c r="L525" s="15" t="s">
        <v>2787</v>
      </c>
      <c r="M525" s="18"/>
      <c r="N525" s="15" t="s">
        <v>15012</v>
      </c>
      <c r="O525" s="15" t="s">
        <v>2550</v>
      </c>
      <c r="P525" s="19" t="s">
        <v>15013</v>
      </c>
      <c r="Q525" s="15">
        <v>9.307935891E9</v>
      </c>
      <c r="R525" s="15">
        <v>9.307935891E9</v>
      </c>
      <c r="S525" s="18"/>
      <c r="T525" s="15" t="s">
        <v>5229</v>
      </c>
      <c r="U525" s="15" t="s">
        <v>3383</v>
      </c>
      <c r="V525" s="15" t="s">
        <v>15014</v>
      </c>
      <c r="W525" s="15" t="s">
        <v>15015</v>
      </c>
      <c r="X525" s="15">
        <v>85.6</v>
      </c>
      <c r="Y525" s="15" t="s">
        <v>2795</v>
      </c>
      <c r="Z525" s="15">
        <v>7.86</v>
      </c>
      <c r="AA525" s="15">
        <v>7.54</v>
      </c>
      <c r="AB525" s="15" t="s">
        <v>2796</v>
      </c>
      <c r="AC525" s="15" t="s">
        <v>2796</v>
      </c>
      <c r="AD525" s="15" t="s">
        <v>2796</v>
      </c>
      <c r="AE525" s="15" t="s">
        <v>2796</v>
      </c>
      <c r="AF525" s="15">
        <v>7.84</v>
      </c>
      <c r="AG525" s="15">
        <v>7.57</v>
      </c>
      <c r="AH525" s="15">
        <v>66.46</v>
      </c>
      <c r="AI525" s="18"/>
      <c r="AJ525" s="15" t="s">
        <v>2787</v>
      </c>
      <c r="AK525" s="15" t="s">
        <v>2787</v>
      </c>
      <c r="AL525" s="15">
        <v>628.33</v>
      </c>
      <c r="AM525" s="15">
        <v>561.66</v>
      </c>
      <c r="AN525" s="15" t="s">
        <v>2787</v>
      </c>
      <c r="AO525" s="15" t="s">
        <v>15016</v>
      </c>
      <c r="AP525" s="15" t="s">
        <v>15017</v>
      </c>
      <c r="AQ525" s="15" t="s">
        <v>15018</v>
      </c>
      <c r="AR525" s="18"/>
      <c r="AS525" s="18"/>
      <c r="AT525" s="18"/>
      <c r="AU525" s="18"/>
      <c r="AV525" s="15" t="s">
        <v>15019</v>
      </c>
      <c r="AW525" s="15" t="s">
        <v>15020</v>
      </c>
      <c r="AX525" s="18"/>
      <c r="AY525" s="15" t="s">
        <v>15021</v>
      </c>
      <c r="AZ525" s="15" t="s">
        <v>8440</v>
      </c>
      <c r="BA525" s="15" t="s">
        <v>2899</v>
      </c>
      <c r="BB525" s="15" t="s">
        <v>2807</v>
      </c>
      <c r="BC525" s="15" t="s">
        <v>2808</v>
      </c>
      <c r="BD525" s="15" t="s">
        <v>2842</v>
      </c>
      <c r="BE525" s="15" t="s">
        <v>2796</v>
      </c>
      <c r="BF525" s="15" t="s">
        <v>15022</v>
      </c>
      <c r="BG525" s="18"/>
      <c r="BH525" s="15" t="s">
        <v>15023</v>
      </c>
      <c r="BI525" s="15" t="s">
        <v>15024</v>
      </c>
      <c r="BJ525" s="19" t="s">
        <v>15025</v>
      </c>
      <c r="BK525" s="19" t="s">
        <v>15026</v>
      </c>
      <c r="BL525" s="19" t="s">
        <v>15027</v>
      </c>
      <c r="BM525" s="19" t="s">
        <v>15028</v>
      </c>
      <c r="BN525" s="19" t="s">
        <v>15029</v>
      </c>
      <c r="BO525" s="19" t="s">
        <v>15030</v>
      </c>
      <c r="BP525" s="19" t="s">
        <v>15031</v>
      </c>
      <c r="BQ525" s="15" t="s">
        <v>1321</v>
      </c>
      <c r="BR525" s="26"/>
      <c r="BS525" s="26"/>
      <c r="BT525" s="26"/>
      <c r="BU525" s="26"/>
      <c r="BV525" s="26"/>
      <c r="BW525" s="15" t="s">
        <v>2796</v>
      </c>
      <c r="BX525" s="26"/>
      <c r="BY525" s="18" t="str">
        <f t="shared" si="107"/>
        <v>MECH</v>
      </c>
      <c r="BZ525" s="24" t="str">
        <f t="shared" si="100"/>
        <v>https://drive.google.com/open?id=1NkV_4BscAxPbDbfLeIEoLOkNjRhL8_L4</v>
      </c>
      <c r="CA525" s="24" t="str">
        <f t="shared" si="101"/>
        <v>https://drive.google.com/open?id=1wYp1c7NnLpffLusH_D3BMYS5GfeKxmKy</v>
      </c>
      <c r="CB525" s="15" t="s">
        <v>2821</v>
      </c>
      <c r="CC525" s="15" t="s">
        <v>2821</v>
      </c>
      <c r="CD525" s="25" t="s">
        <v>2797</v>
      </c>
      <c r="CE525" s="18"/>
      <c r="CF525" s="18"/>
      <c r="CG525" s="18"/>
    </row>
    <row r="526" ht="18.75" hidden="1" customHeight="1">
      <c r="A526" s="14">
        <v>44743.0388881713</v>
      </c>
      <c r="B526" s="15" t="s">
        <v>1587</v>
      </c>
      <c r="C526" s="16" t="s">
        <v>15032</v>
      </c>
      <c r="D526" s="15" t="str">
        <f>IFERROR(__xludf.DUMMYFUNCTION("QUERY(TY_ALL_2023_Batch!$A$1:$E$824, ""SELECT E WHERE C='""&amp;B526&amp;""'"", 0)"),"MECH")</f>
        <v>MECH</v>
      </c>
      <c r="E526" s="15" t="s">
        <v>5324</v>
      </c>
      <c r="F526" s="15" t="s">
        <v>8952</v>
      </c>
      <c r="G526" s="15" t="s">
        <v>15033</v>
      </c>
      <c r="H526" s="15" t="s">
        <v>2826</v>
      </c>
      <c r="I526" s="17">
        <v>37053.0</v>
      </c>
      <c r="J526" s="15">
        <v>2020.0</v>
      </c>
      <c r="K526" s="15" t="s">
        <v>2941</v>
      </c>
      <c r="L526" s="15" t="s">
        <v>2787</v>
      </c>
      <c r="M526" s="18"/>
      <c r="N526" s="15" t="s">
        <v>1587</v>
      </c>
      <c r="O526" s="15" t="s">
        <v>1587</v>
      </c>
      <c r="P526" s="19" t="s">
        <v>15034</v>
      </c>
      <c r="Q526" s="15">
        <v>9.970784787E9</v>
      </c>
      <c r="R526" s="15">
        <v>9.970784787E9</v>
      </c>
      <c r="S526" s="15">
        <v>9.657872787E9</v>
      </c>
      <c r="T526" s="15" t="s">
        <v>8952</v>
      </c>
      <c r="U526" s="15" t="s">
        <v>15035</v>
      </c>
      <c r="V526" s="15" t="s">
        <v>15036</v>
      </c>
      <c r="W526" s="15" t="s">
        <v>15037</v>
      </c>
      <c r="X526" s="15">
        <v>83.0</v>
      </c>
      <c r="Y526" s="15" t="s">
        <v>2948</v>
      </c>
      <c r="Z526" s="15">
        <v>9.1</v>
      </c>
      <c r="AA526" s="15">
        <v>8.7</v>
      </c>
      <c r="AB526" s="15">
        <v>8.4</v>
      </c>
      <c r="AC526" s="15">
        <v>8.7</v>
      </c>
      <c r="AD526" s="15" t="s">
        <v>2796</v>
      </c>
      <c r="AE526" s="15" t="s">
        <v>2796</v>
      </c>
      <c r="AF526" s="18"/>
      <c r="AG526" s="18"/>
      <c r="AH526" s="18"/>
      <c r="AI526" s="15">
        <v>78.93</v>
      </c>
      <c r="AJ526" s="15" t="s">
        <v>2787</v>
      </c>
      <c r="AK526" s="15" t="s">
        <v>2787</v>
      </c>
      <c r="AL526" s="18"/>
      <c r="AM526" s="15">
        <v>390.0</v>
      </c>
      <c r="AN526" s="15" t="s">
        <v>2797</v>
      </c>
      <c r="AO526" s="15" t="s">
        <v>2796</v>
      </c>
      <c r="AP526" s="15" t="s">
        <v>2796</v>
      </c>
      <c r="AQ526" s="15" t="s">
        <v>15038</v>
      </c>
      <c r="AR526" s="15" t="s">
        <v>2796</v>
      </c>
      <c r="AS526" s="15" t="s">
        <v>2796</v>
      </c>
      <c r="AT526" s="15" t="s">
        <v>2796</v>
      </c>
      <c r="AU526" s="15" t="s">
        <v>2796</v>
      </c>
      <c r="AV526" s="15" t="s">
        <v>15039</v>
      </c>
      <c r="AW526" s="15" t="s">
        <v>15040</v>
      </c>
      <c r="AX526" s="15" t="s">
        <v>15041</v>
      </c>
      <c r="AY526" s="15" t="s">
        <v>15042</v>
      </c>
      <c r="AZ526" s="15" t="s">
        <v>9648</v>
      </c>
      <c r="BA526" s="15" t="s">
        <v>2899</v>
      </c>
      <c r="BB526" s="15" t="s">
        <v>2807</v>
      </c>
      <c r="BC526" s="15" t="s">
        <v>15043</v>
      </c>
      <c r="BD526" s="15" t="s">
        <v>2807</v>
      </c>
      <c r="BE526" s="15" t="s">
        <v>15044</v>
      </c>
      <c r="BF526" s="15" t="s">
        <v>15045</v>
      </c>
      <c r="BG526" s="15" t="s">
        <v>2796</v>
      </c>
      <c r="BH526" s="15" t="s">
        <v>2796</v>
      </c>
      <c r="BI526" s="15" t="s">
        <v>2796</v>
      </c>
      <c r="BJ526" s="19" t="s">
        <v>15046</v>
      </c>
      <c r="BK526" s="19" t="s">
        <v>15047</v>
      </c>
      <c r="BL526" s="19" t="s">
        <v>15048</v>
      </c>
      <c r="BM526" s="19" t="s">
        <v>15049</v>
      </c>
      <c r="BN526" s="19" t="s">
        <v>15050</v>
      </c>
      <c r="BO526" s="19" t="s">
        <v>15051</v>
      </c>
      <c r="BP526" s="18"/>
      <c r="BQ526" s="15" t="s">
        <v>1321</v>
      </c>
      <c r="BR526" s="26"/>
      <c r="BS526" s="19" t="s">
        <v>15052</v>
      </c>
      <c r="BT526" s="19" t="s">
        <v>15053</v>
      </c>
      <c r="BU526" s="19" t="s">
        <v>15054</v>
      </c>
      <c r="BV526" s="19" t="s">
        <v>15055</v>
      </c>
      <c r="BW526" s="15" t="s">
        <v>15056</v>
      </c>
      <c r="BX526" s="26"/>
      <c r="BY526" s="18" t="str">
        <f t="shared" si="107"/>
        <v>MECH</v>
      </c>
      <c r="BZ526" s="24" t="str">
        <f t="shared" si="100"/>
        <v>https://drive.google.com/open?id=1VusC9sOHePJK294SEizCUE1B7CCLlBcZ</v>
      </c>
      <c r="CA526" s="24" t="str">
        <f t="shared" si="101"/>
        <v>https://drive.google.com/open?id=1wIpZmlFgEmWZ8NSxtSo_G8o3tD1P0zAQ</v>
      </c>
      <c r="CB526" s="15" t="s">
        <v>2821</v>
      </c>
      <c r="CC526" s="15" t="s">
        <v>2821</v>
      </c>
      <c r="CD526" s="25" t="s">
        <v>2787</v>
      </c>
      <c r="CE526" s="18"/>
      <c r="CF526" s="18"/>
      <c r="CG526" s="18"/>
    </row>
    <row r="527" ht="18.75" hidden="1" customHeight="1">
      <c r="A527" s="14">
        <v>44735.94794074074</v>
      </c>
      <c r="B527" s="15" t="s">
        <v>2577</v>
      </c>
      <c r="C527" s="16" t="s">
        <v>15057</v>
      </c>
      <c r="D527" s="15" t="str">
        <f>IFERROR(__xludf.DUMMYFUNCTION("QUERY(TY_ALL_2023_Batch!$A$1:$E$824, ""SELECT E WHERE C='""&amp;B527&amp;""'"", 0)"),"MECH")</f>
        <v>MECH</v>
      </c>
      <c r="E527" s="15" t="s">
        <v>15058</v>
      </c>
      <c r="F527" s="15" t="s">
        <v>15059</v>
      </c>
      <c r="G527" s="15" t="s">
        <v>15060</v>
      </c>
      <c r="H527" s="15" t="s">
        <v>2785</v>
      </c>
      <c r="I527" s="17">
        <v>37082.0</v>
      </c>
      <c r="J527" s="15">
        <v>2019.0</v>
      </c>
      <c r="K527" s="15" t="s">
        <v>2786</v>
      </c>
      <c r="L527" s="15" t="s">
        <v>2787</v>
      </c>
      <c r="M527" s="18"/>
      <c r="N527" s="15" t="s">
        <v>15061</v>
      </c>
      <c r="O527" s="15" t="s">
        <v>2577</v>
      </c>
      <c r="P527" s="19" t="s">
        <v>15062</v>
      </c>
      <c r="Q527" s="15">
        <v>7.798864027E9</v>
      </c>
      <c r="R527" s="15">
        <v>7.798864027E9</v>
      </c>
      <c r="S527" s="15">
        <v>7.588354204E9</v>
      </c>
      <c r="T527" s="15" t="s">
        <v>15063</v>
      </c>
      <c r="U527" s="15" t="s">
        <v>15064</v>
      </c>
      <c r="V527" s="15" t="s">
        <v>15065</v>
      </c>
      <c r="W527" s="15" t="s">
        <v>15066</v>
      </c>
      <c r="X527" s="15">
        <v>82.8</v>
      </c>
      <c r="Y527" s="15" t="s">
        <v>2795</v>
      </c>
      <c r="Z527" s="15">
        <v>9.62</v>
      </c>
      <c r="AA527" s="15">
        <v>9.24</v>
      </c>
      <c r="AB527" s="15" t="s">
        <v>2796</v>
      </c>
      <c r="AC527" s="15" t="s">
        <v>2796</v>
      </c>
      <c r="AD527" s="15" t="s">
        <v>2796</v>
      </c>
      <c r="AE527" s="15" t="s">
        <v>2796</v>
      </c>
      <c r="AF527" s="15">
        <v>8.95</v>
      </c>
      <c r="AG527" s="15">
        <v>8.42</v>
      </c>
      <c r="AH527" s="15">
        <v>78.2</v>
      </c>
      <c r="AI527" s="18"/>
      <c r="AJ527" s="15" t="s">
        <v>2787</v>
      </c>
      <c r="AK527" s="15" t="s">
        <v>2787</v>
      </c>
      <c r="AL527" s="15">
        <v>590.0</v>
      </c>
      <c r="AM527" s="15">
        <v>643.0</v>
      </c>
      <c r="AN527" s="15" t="s">
        <v>2797</v>
      </c>
      <c r="AO527" s="15" t="s">
        <v>6951</v>
      </c>
      <c r="AP527" s="15" t="s">
        <v>6951</v>
      </c>
      <c r="AQ527" s="15" t="s">
        <v>15067</v>
      </c>
      <c r="AR527" s="15" t="s">
        <v>15068</v>
      </c>
      <c r="AS527" s="15" t="s">
        <v>15069</v>
      </c>
      <c r="AT527" s="18"/>
      <c r="AU527" s="18"/>
      <c r="AV527" s="15" t="s">
        <v>15070</v>
      </c>
      <c r="AW527" s="15" t="s">
        <v>15071</v>
      </c>
      <c r="AX527" s="18"/>
      <c r="AY527" s="15" t="s">
        <v>15072</v>
      </c>
      <c r="AZ527" s="15" t="s">
        <v>9648</v>
      </c>
      <c r="BA527" s="15" t="s">
        <v>2899</v>
      </c>
      <c r="BB527" s="15" t="s">
        <v>2807</v>
      </c>
      <c r="BC527" s="15" t="s">
        <v>13107</v>
      </c>
      <c r="BD527" s="15" t="s">
        <v>2807</v>
      </c>
      <c r="BE527" s="15" t="s">
        <v>15073</v>
      </c>
      <c r="BF527" s="18"/>
      <c r="BG527" s="18"/>
      <c r="BH527" s="18"/>
      <c r="BI527" s="15" t="s">
        <v>15074</v>
      </c>
      <c r="BJ527" s="19" t="s">
        <v>15075</v>
      </c>
      <c r="BK527" s="19" t="s">
        <v>15076</v>
      </c>
      <c r="BL527" s="19" t="s">
        <v>15077</v>
      </c>
      <c r="BM527" s="19" t="s">
        <v>15078</v>
      </c>
      <c r="BN527" s="19" t="s">
        <v>15079</v>
      </c>
      <c r="BO527" s="19" t="s">
        <v>15080</v>
      </c>
      <c r="BP527" s="18"/>
      <c r="BQ527" s="15" t="s">
        <v>1321</v>
      </c>
      <c r="BR527" s="26"/>
      <c r="BS527" s="26"/>
      <c r="BT527" s="26"/>
      <c r="BU527" s="26"/>
      <c r="BV527" s="26"/>
      <c r="BW527" s="26"/>
      <c r="BX527" s="26"/>
      <c r="BY527" s="18" t="str">
        <f t="shared" si="107"/>
        <v>MECH</v>
      </c>
      <c r="BZ527" s="24" t="str">
        <f t="shared" si="100"/>
        <v>https://drive.google.com/open?id=1rgbh_PUZTOo4hezsx7FOCFUO5pVwXwQC</v>
      </c>
      <c r="CA527" s="24" t="str">
        <f t="shared" si="101"/>
        <v>https://drive.google.com/open?id=1WNxkm9kREgwDOluygj7Eakhqc2b5mmg-</v>
      </c>
      <c r="CB527" s="15" t="s">
        <v>2821</v>
      </c>
      <c r="CC527" s="15" t="s">
        <v>2821</v>
      </c>
      <c r="CD527" s="25" t="s">
        <v>2797</v>
      </c>
      <c r="CE527" s="18"/>
      <c r="CF527" s="18"/>
      <c r="CG527" s="18"/>
    </row>
    <row r="528" ht="18.75" hidden="1" customHeight="1">
      <c r="A528" s="14">
        <v>44772.366527673614</v>
      </c>
      <c r="B528" s="15" t="s">
        <v>1401</v>
      </c>
      <c r="C528" s="16" t="s">
        <v>15081</v>
      </c>
      <c r="D528" s="15" t="str">
        <f>IFERROR(__xludf.DUMMYFUNCTION("QUERY(TY_ALL_2023_Batch!$A$1:$E$824, ""SELECT E WHERE C='""&amp;B528&amp;""'"", 0)"),"MECH")</f>
        <v>MECH</v>
      </c>
      <c r="E528" s="15" t="s">
        <v>3361</v>
      </c>
      <c r="F528" s="15" t="s">
        <v>15082</v>
      </c>
      <c r="G528" s="15" t="s">
        <v>15083</v>
      </c>
      <c r="H528" s="15" t="s">
        <v>2785</v>
      </c>
      <c r="I528" s="17">
        <v>36986.0</v>
      </c>
      <c r="J528" s="15">
        <v>2020.0</v>
      </c>
      <c r="K528" s="15" t="s">
        <v>2941</v>
      </c>
      <c r="L528" s="15" t="s">
        <v>2787</v>
      </c>
      <c r="M528" s="18"/>
      <c r="N528" s="15" t="s">
        <v>15084</v>
      </c>
      <c r="O528" s="15" t="s">
        <v>15085</v>
      </c>
      <c r="P528" s="19" t="s">
        <v>15086</v>
      </c>
      <c r="Q528" s="15">
        <v>9.168112438E9</v>
      </c>
      <c r="R528" s="15">
        <v>9.168112438E9</v>
      </c>
      <c r="S528" s="15">
        <v>9.834697523E9</v>
      </c>
      <c r="T528" s="15" t="s">
        <v>15087</v>
      </c>
      <c r="U528" s="15" t="s">
        <v>15088</v>
      </c>
      <c r="V528" s="15" t="s">
        <v>15089</v>
      </c>
      <c r="W528" s="18"/>
      <c r="X528" s="15">
        <v>60.0</v>
      </c>
      <c r="Y528" s="15" t="s">
        <v>2948</v>
      </c>
      <c r="Z528" s="15">
        <v>7.67</v>
      </c>
      <c r="AA528" s="15">
        <v>8.24</v>
      </c>
      <c r="AB528" s="15">
        <v>6.71</v>
      </c>
      <c r="AC528" s="15">
        <v>7.57</v>
      </c>
      <c r="AD528" s="15" t="s">
        <v>2796</v>
      </c>
      <c r="AE528" s="15" t="s">
        <v>2796</v>
      </c>
      <c r="AF528" s="18"/>
      <c r="AG528" s="18"/>
      <c r="AH528" s="18"/>
      <c r="AI528" s="15">
        <v>75.7</v>
      </c>
      <c r="AJ528" s="15" t="s">
        <v>2787</v>
      </c>
      <c r="AK528" s="15" t="s">
        <v>2787</v>
      </c>
      <c r="AL528" s="18"/>
      <c r="AM528" s="18"/>
      <c r="AN528" s="15" t="s">
        <v>2787</v>
      </c>
      <c r="AO528" s="18"/>
      <c r="AP528" s="18"/>
      <c r="AQ528" s="15" t="s">
        <v>15090</v>
      </c>
      <c r="AR528" s="18"/>
      <c r="AS528" s="18"/>
      <c r="AT528" s="18"/>
      <c r="AU528" s="18"/>
      <c r="AV528" s="18"/>
      <c r="AW528" s="15" t="s">
        <v>15091</v>
      </c>
      <c r="AX528" s="18"/>
      <c r="AY528" s="15" t="s">
        <v>15092</v>
      </c>
      <c r="AZ528" s="15" t="s">
        <v>4377</v>
      </c>
      <c r="BA528" s="15" t="s">
        <v>10710</v>
      </c>
      <c r="BB528" s="15" t="s">
        <v>2807</v>
      </c>
      <c r="BC528" s="15" t="s">
        <v>13013</v>
      </c>
      <c r="BD528" s="15" t="s">
        <v>2807</v>
      </c>
      <c r="BE528" s="15" t="s">
        <v>2796</v>
      </c>
      <c r="BF528" s="18"/>
      <c r="BG528" s="18"/>
      <c r="BH528" s="18"/>
      <c r="BI528" s="15" t="s">
        <v>15093</v>
      </c>
      <c r="BJ528" s="19" t="s">
        <v>15094</v>
      </c>
      <c r="BK528" s="19" t="s">
        <v>15095</v>
      </c>
      <c r="BL528" s="18"/>
      <c r="BM528" s="18"/>
      <c r="BN528" s="18"/>
      <c r="BO528" s="19" t="s">
        <v>15096</v>
      </c>
      <c r="BP528" s="19" t="s">
        <v>15097</v>
      </c>
      <c r="BQ528" s="15" t="s">
        <v>1321</v>
      </c>
      <c r="BR528" s="26"/>
      <c r="BS528" s="26"/>
      <c r="BT528" s="26"/>
      <c r="BU528" s="26"/>
      <c r="BV528" s="26"/>
      <c r="BW528" s="15" t="s">
        <v>15098</v>
      </c>
      <c r="BX528" s="26"/>
      <c r="BY528" s="18" t="str">
        <f t="shared" si="107"/>
        <v>MECH</v>
      </c>
      <c r="BZ528" s="18" t="str">
        <f t="shared" si="100"/>
        <v/>
      </c>
      <c r="CA528" s="18" t="str">
        <f t="shared" si="101"/>
        <v/>
      </c>
      <c r="CB528" s="15" t="s">
        <v>2908</v>
      </c>
      <c r="CC528" s="15" t="s">
        <v>2908</v>
      </c>
      <c r="CD528" s="25" t="s">
        <v>2797</v>
      </c>
      <c r="CE528" s="18"/>
      <c r="CF528" s="18"/>
      <c r="CG528" s="18"/>
    </row>
    <row r="529" ht="18.75" hidden="1" customHeight="1">
      <c r="A529" s="14">
        <v>44772.39931706019</v>
      </c>
      <c r="B529" s="15" t="s">
        <v>2697</v>
      </c>
      <c r="C529" s="16" t="s">
        <v>15099</v>
      </c>
      <c r="D529" s="15" t="str">
        <f>IFERROR(__xludf.DUMMYFUNCTION("QUERY(TY_ALL_2023_Batch!$A$1:$E$824, ""SELECT E WHERE C='""&amp;B529&amp;""'"", 0)"),"MECH")</f>
        <v>MECH</v>
      </c>
      <c r="E529" s="15" t="s">
        <v>5638</v>
      </c>
      <c r="F529" s="15" t="s">
        <v>3361</v>
      </c>
      <c r="G529" s="15" t="s">
        <v>15100</v>
      </c>
      <c r="H529" s="15" t="s">
        <v>2785</v>
      </c>
      <c r="I529" s="17">
        <v>37209.0</v>
      </c>
      <c r="J529" s="15">
        <v>2019.0</v>
      </c>
      <c r="K529" s="15" t="s">
        <v>2786</v>
      </c>
      <c r="L529" s="15" t="s">
        <v>2787</v>
      </c>
      <c r="M529" s="18"/>
      <c r="N529" s="15" t="s">
        <v>15101</v>
      </c>
      <c r="O529" s="15" t="s">
        <v>2697</v>
      </c>
      <c r="P529" s="19" t="s">
        <v>15102</v>
      </c>
      <c r="Q529" s="15">
        <v>9.372679745E9</v>
      </c>
      <c r="R529" s="15">
        <v>9.372679745E9</v>
      </c>
      <c r="S529" s="15">
        <v>9.923686006E9</v>
      </c>
      <c r="T529" s="15" t="s">
        <v>15103</v>
      </c>
      <c r="U529" s="15" t="s">
        <v>15104</v>
      </c>
      <c r="V529" s="15" t="s">
        <v>15105</v>
      </c>
      <c r="W529" s="15" t="s">
        <v>15106</v>
      </c>
      <c r="X529" s="15">
        <v>93.0</v>
      </c>
      <c r="Y529" s="15" t="s">
        <v>2795</v>
      </c>
      <c r="Z529" s="15">
        <v>9.43</v>
      </c>
      <c r="AA529" s="15">
        <v>9.14</v>
      </c>
      <c r="AB529" s="15">
        <v>9.29</v>
      </c>
      <c r="AC529" s="15">
        <v>9.52</v>
      </c>
      <c r="AD529" s="15" t="s">
        <v>2796</v>
      </c>
      <c r="AE529" s="15" t="s">
        <v>2796</v>
      </c>
      <c r="AF529" s="15">
        <v>9.1</v>
      </c>
      <c r="AG529" s="15">
        <v>9.32</v>
      </c>
      <c r="AH529" s="15">
        <v>80.31</v>
      </c>
      <c r="AI529" s="18"/>
      <c r="AJ529" s="15" t="s">
        <v>2787</v>
      </c>
      <c r="AK529" s="15" t="s">
        <v>2787</v>
      </c>
      <c r="AL529" s="15">
        <v>632.0</v>
      </c>
      <c r="AM529" s="15">
        <v>590.0</v>
      </c>
      <c r="AN529" s="15" t="s">
        <v>2797</v>
      </c>
      <c r="AO529" s="18"/>
      <c r="AP529" s="18"/>
      <c r="AQ529" s="15" t="s">
        <v>13103</v>
      </c>
      <c r="AR529" s="15" t="s">
        <v>15107</v>
      </c>
      <c r="AS529" s="18"/>
      <c r="AT529" s="18"/>
      <c r="AU529" s="15" t="s">
        <v>15108</v>
      </c>
      <c r="AV529" s="15" t="s">
        <v>15109</v>
      </c>
      <c r="AW529" s="15" t="s">
        <v>15110</v>
      </c>
      <c r="AX529" s="18"/>
      <c r="AY529" s="15" t="s">
        <v>15111</v>
      </c>
      <c r="AZ529" s="15" t="s">
        <v>9648</v>
      </c>
      <c r="BA529" s="15" t="s">
        <v>2899</v>
      </c>
      <c r="BB529" s="15" t="s">
        <v>2807</v>
      </c>
      <c r="BC529" s="15" t="s">
        <v>12991</v>
      </c>
      <c r="BD529" s="15" t="s">
        <v>2807</v>
      </c>
      <c r="BE529" s="15" t="s">
        <v>15112</v>
      </c>
      <c r="BF529" s="18"/>
      <c r="BG529" s="18"/>
      <c r="BH529" s="15" t="s">
        <v>15113</v>
      </c>
      <c r="BI529" s="15" t="s">
        <v>15114</v>
      </c>
      <c r="BJ529" s="19" t="s">
        <v>15115</v>
      </c>
      <c r="BK529" s="19" t="s">
        <v>15116</v>
      </c>
      <c r="BL529" s="19" t="s">
        <v>15117</v>
      </c>
      <c r="BM529" s="19" t="s">
        <v>15118</v>
      </c>
      <c r="BN529" s="19" t="s">
        <v>15119</v>
      </c>
      <c r="BO529" s="19" t="s">
        <v>15120</v>
      </c>
      <c r="BP529" s="18"/>
      <c r="BQ529" s="15" t="s">
        <v>1321</v>
      </c>
      <c r="BR529" s="26"/>
      <c r="BS529" s="26"/>
      <c r="BT529" s="26"/>
      <c r="BU529" s="26"/>
      <c r="BV529" s="26"/>
      <c r="BW529" s="15" t="s">
        <v>15121</v>
      </c>
      <c r="BX529" s="26"/>
      <c r="BY529" s="18" t="str">
        <f t="shared" si="107"/>
        <v>MECH</v>
      </c>
      <c r="BZ529" s="24" t="str">
        <f t="shared" si="100"/>
        <v>https://drive.google.com/open?id=1Xspw5MXg-zuhxM8sxFwNSAC8nijDVPO9</v>
      </c>
      <c r="CA529" s="24" t="str">
        <f t="shared" si="101"/>
        <v>https://drive.google.com/open?id=1vCNdT6ophAGE5XBtbY37zbacV2VEGBsR</v>
      </c>
      <c r="CB529" s="15" t="s">
        <v>2821</v>
      </c>
      <c r="CC529" s="15" t="s">
        <v>2821</v>
      </c>
      <c r="CD529" s="25" t="s">
        <v>2797</v>
      </c>
      <c r="CE529" s="18"/>
      <c r="CF529" s="18"/>
      <c r="CG529" s="18"/>
    </row>
    <row r="530" ht="18.75" hidden="1" customHeight="1">
      <c r="A530" s="14">
        <v>44742.95728097222</v>
      </c>
      <c r="B530" s="15" t="s">
        <v>2568</v>
      </c>
      <c r="C530" s="16" t="s">
        <v>15122</v>
      </c>
      <c r="D530" s="15" t="str">
        <f>IFERROR(__xludf.DUMMYFUNCTION("QUERY(TY_ALL_2023_Batch!$A$1:$E$824, ""SELECT E WHERE C='""&amp;B530&amp;""'"", 0)"),"MECH")</f>
        <v>MECH</v>
      </c>
      <c r="E530" s="15" t="s">
        <v>15123</v>
      </c>
      <c r="F530" s="15" t="s">
        <v>4133</v>
      </c>
      <c r="G530" s="15" t="s">
        <v>15124</v>
      </c>
      <c r="H530" s="15" t="s">
        <v>2785</v>
      </c>
      <c r="I530" s="17">
        <v>37191.0</v>
      </c>
      <c r="J530" s="15">
        <v>2019.0</v>
      </c>
      <c r="K530" s="15" t="s">
        <v>2786</v>
      </c>
      <c r="L530" s="15" t="s">
        <v>2787</v>
      </c>
      <c r="M530" s="18"/>
      <c r="N530" s="15" t="s">
        <v>15125</v>
      </c>
      <c r="O530" s="15" t="s">
        <v>2568</v>
      </c>
      <c r="P530" s="19" t="s">
        <v>15126</v>
      </c>
      <c r="Q530" s="15">
        <v>9.372594988E9</v>
      </c>
      <c r="R530" s="15">
        <v>9.372594988E9</v>
      </c>
      <c r="S530" s="18"/>
      <c r="T530" s="15" t="s">
        <v>15127</v>
      </c>
      <c r="U530" s="15" t="s">
        <v>15128</v>
      </c>
      <c r="V530" s="15" t="s">
        <v>15129</v>
      </c>
      <c r="W530" s="18"/>
      <c r="X530" s="15">
        <v>89.0</v>
      </c>
      <c r="Y530" s="15" t="s">
        <v>2795</v>
      </c>
      <c r="Z530" s="15">
        <v>8.86</v>
      </c>
      <c r="AA530" s="15">
        <v>8.81</v>
      </c>
      <c r="AB530" s="15">
        <v>7.04</v>
      </c>
      <c r="AC530" s="15">
        <v>6.66</v>
      </c>
      <c r="AD530" s="15" t="s">
        <v>2796</v>
      </c>
      <c r="AE530" s="15" t="s">
        <v>2796</v>
      </c>
      <c r="AF530" s="15">
        <v>8.16</v>
      </c>
      <c r="AG530" s="15">
        <v>7.52</v>
      </c>
      <c r="AH530" s="15">
        <v>65.0</v>
      </c>
      <c r="AI530" s="18"/>
      <c r="AJ530" s="15" t="s">
        <v>2787</v>
      </c>
      <c r="AK530" s="15" t="s">
        <v>2787</v>
      </c>
      <c r="AL530" s="15">
        <v>98.0</v>
      </c>
      <c r="AM530" s="15">
        <v>91.83</v>
      </c>
      <c r="AN530" s="15" t="s">
        <v>2797</v>
      </c>
      <c r="AO530" s="18"/>
      <c r="AP530" s="18"/>
      <c r="AQ530" s="15" t="s">
        <v>14335</v>
      </c>
      <c r="AR530" s="18"/>
      <c r="AS530" s="18"/>
      <c r="AT530" s="18"/>
      <c r="AU530" s="15" t="s">
        <v>15130</v>
      </c>
      <c r="AV530" s="15" t="s">
        <v>15131</v>
      </c>
      <c r="AW530" s="15" t="s">
        <v>15132</v>
      </c>
      <c r="AX530" s="18"/>
      <c r="AY530" s="15" t="s">
        <v>15133</v>
      </c>
      <c r="AZ530" s="15" t="s">
        <v>5335</v>
      </c>
      <c r="BA530" s="15" t="s">
        <v>5552</v>
      </c>
      <c r="BB530" s="15" t="s">
        <v>8773</v>
      </c>
      <c r="BC530" s="15" t="s">
        <v>15134</v>
      </c>
      <c r="BD530" s="15" t="s">
        <v>4556</v>
      </c>
      <c r="BE530" s="15" t="s">
        <v>2796</v>
      </c>
      <c r="BF530" s="18"/>
      <c r="BG530" s="18"/>
      <c r="BH530" s="18"/>
      <c r="BI530" s="18"/>
      <c r="BJ530" s="19" t="s">
        <v>15135</v>
      </c>
      <c r="BK530" s="19" t="s">
        <v>15136</v>
      </c>
      <c r="BL530" s="19" t="s">
        <v>15137</v>
      </c>
      <c r="BM530" s="19" t="s">
        <v>15138</v>
      </c>
      <c r="BN530" s="19" t="s">
        <v>15139</v>
      </c>
      <c r="BO530" s="19" t="s">
        <v>15140</v>
      </c>
      <c r="BP530" s="19" t="s">
        <v>15141</v>
      </c>
      <c r="BQ530" s="15" t="s">
        <v>1321</v>
      </c>
      <c r="BR530" s="19" t="s">
        <v>15142</v>
      </c>
      <c r="BS530" s="26"/>
      <c r="BT530" s="26"/>
      <c r="BU530" s="26"/>
      <c r="BV530" s="26"/>
      <c r="BW530" s="15" t="s">
        <v>15143</v>
      </c>
      <c r="BX530" s="26"/>
      <c r="BY530" s="18" t="str">
        <f t="shared" si="107"/>
        <v>MECH</v>
      </c>
      <c r="BZ530" s="24" t="str">
        <f t="shared" si="100"/>
        <v>https://drive.google.com/open?id=1FQnvtCxfNowL98vzsgsSr9L7oD-_aNbr</v>
      </c>
      <c r="CA530" s="24" t="str">
        <f t="shared" si="101"/>
        <v>https://drive.google.com/open?id=1PWbq6Pi0gyw2YPJ_tRFQVvB1WapiyBtk</v>
      </c>
      <c r="CB530" s="15" t="s">
        <v>2821</v>
      </c>
      <c r="CC530" s="15" t="s">
        <v>2821</v>
      </c>
      <c r="CD530" s="25" t="s">
        <v>2797</v>
      </c>
      <c r="CE530" s="18"/>
      <c r="CF530" s="18"/>
      <c r="CG530" s="18"/>
    </row>
    <row r="531" ht="18.75" hidden="1" customHeight="1">
      <c r="A531" s="14">
        <v>44742.81736619213</v>
      </c>
      <c r="B531" s="15" t="s">
        <v>2439</v>
      </c>
      <c r="C531" s="16" t="s">
        <v>15144</v>
      </c>
      <c r="D531" s="15" t="str">
        <f>IFERROR(__xludf.DUMMYFUNCTION("QUERY(TY_ALL_2023_Batch!$A$1:$E$824, ""SELECT E WHERE C='""&amp;B531&amp;""'"", 0)"),"MECH")</f>
        <v>MECH</v>
      </c>
      <c r="E531" s="15" t="s">
        <v>15145</v>
      </c>
      <c r="F531" s="15" t="s">
        <v>4740</v>
      </c>
      <c r="G531" s="15" t="s">
        <v>15146</v>
      </c>
      <c r="H531" s="15" t="s">
        <v>2785</v>
      </c>
      <c r="I531" s="17">
        <v>37260.0</v>
      </c>
      <c r="J531" s="15">
        <v>2019.0</v>
      </c>
      <c r="K531" s="15" t="s">
        <v>2786</v>
      </c>
      <c r="L531" s="15" t="s">
        <v>2787</v>
      </c>
      <c r="M531" s="18"/>
      <c r="N531" s="15" t="s">
        <v>15147</v>
      </c>
      <c r="O531" s="15" t="s">
        <v>2439</v>
      </c>
      <c r="P531" s="19" t="s">
        <v>15148</v>
      </c>
      <c r="Q531" s="15">
        <v>8.080087378E9</v>
      </c>
      <c r="R531" s="15">
        <v>8.080087378E9</v>
      </c>
      <c r="S531" s="18"/>
      <c r="T531" s="15" t="s">
        <v>15149</v>
      </c>
      <c r="U531" s="15" t="s">
        <v>15150</v>
      </c>
      <c r="V531" s="15" t="s">
        <v>15151</v>
      </c>
      <c r="W531" s="15" t="s">
        <v>15152</v>
      </c>
      <c r="X531" s="15">
        <v>97.6</v>
      </c>
      <c r="Y531" s="15" t="s">
        <v>2795</v>
      </c>
      <c r="Z531" s="15">
        <v>9.81</v>
      </c>
      <c r="AA531" s="15">
        <v>9.29</v>
      </c>
      <c r="AB531" s="15">
        <v>8.81</v>
      </c>
      <c r="AC531" s="15">
        <v>8.95</v>
      </c>
      <c r="AD531" s="15" t="s">
        <v>2796</v>
      </c>
      <c r="AE531" s="15" t="s">
        <v>2796</v>
      </c>
      <c r="AF531" s="15">
        <v>9.0</v>
      </c>
      <c r="AG531" s="15">
        <v>8.81</v>
      </c>
      <c r="AH531" s="15">
        <v>79.54</v>
      </c>
      <c r="AI531" s="18"/>
      <c r="AJ531" s="15" t="s">
        <v>2787</v>
      </c>
      <c r="AK531" s="15" t="s">
        <v>2787</v>
      </c>
      <c r="AL531" s="15">
        <v>638.0</v>
      </c>
      <c r="AM531" s="15">
        <v>635.0</v>
      </c>
      <c r="AN531" s="15" t="s">
        <v>2797</v>
      </c>
      <c r="AO531" s="15" t="s">
        <v>2796</v>
      </c>
      <c r="AP531" s="15" t="s">
        <v>2796</v>
      </c>
      <c r="AQ531" s="15" t="s">
        <v>15153</v>
      </c>
      <c r="AR531" s="15"/>
      <c r="AS531" s="15"/>
      <c r="AT531" s="15"/>
      <c r="AU531" s="18"/>
      <c r="AV531" s="15" t="s">
        <v>15154</v>
      </c>
      <c r="AW531" s="15" t="s">
        <v>15155</v>
      </c>
      <c r="AX531" s="18"/>
      <c r="AY531" s="15" t="s">
        <v>15156</v>
      </c>
      <c r="AZ531" s="15" t="s">
        <v>8440</v>
      </c>
      <c r="BA531" s="15" t="s">
        <v>2899</v>
      </c>
      <c r="BB531" s="15" t="s">
        <v>3109</v>
      </c>
      <c r="BC531" s="15" t="s">
        <v>15157</v>
      </c>
      <c r="BD531" s="15" t="s">
        <v>5578</v>
      </c>
      <c r="BE531" s="15" t="s">
        <v>15158</v>
      </c>
      <c r="BF531" s="15" t="s">
        <v>15159</v>
      </c>
      <c r="BG531" s="18"/>
      <c r="BH531" s="18"/>
      <c r="BI531" s="18"/>
      <c r="BJ531" s="19" t="s">
        <v>15160</v>
      </c>
      <c r="BK531" s="19" t="s">
        <v>15161</v>
      </c>
      <c r="BL531" s="19" t="s">
        <v>15162</v>
      </c>
      <c r="BM531" s="19" t="s">
        <v>15163</v>
      </c>
      <c r="BN531" s="19" t="s">
        <v>15164</v>
      </c>
      <c r="BO531" s="19" t="s">
        <v>15165</v>
      </c>
      <c r="BP531" s="19" t="s">
        <v>15166</v>
      </c>
      <c r="BQ531" s="15" t="s">
        <v>1321</v>
      </c>
      <c r="BR531" s="26"/>
      <c r="BS531" s="26"/>
      <c r="BT531" s="26"/>
      <c r="BU531" s="26"/>
      <c r="BV531" s="26"/>
      <c r="BW531" s="15" t="s">
        <v>15167</v>
      </c>
      <c r="BX531" s="26"/>
      <c r="BY531" s="18" t="str">
        <f t="shared" si="107"/>
        <v>MECH</v>
      </c>
      <c r="BZ531" s="24" t="str">
        <f t="shared" si="100"/>
        <v>https://drive.google.com/open?id=1z55-zENiMbWb69l_XMyzyQ8mnOdH1Di6</v>
      </c>
      <c r="CA531" s="24" t="str">
        <f t="shared" si="101"/>
        <v>https://drive.google.com/open?id=1erTsjEklpxh9QAHCkpQNL09ndrxICxbF</v>
      </c>
      <c r="CB531" s="15" t="s">
        <v>2821</v>
      </c>
      <c r="CC531" s="15" t="s">
        <v>2821</v>
      </c>
      <c r="CD531" s="25" t="s">
        <v>2797</v>
      </c>
      <c r="CE531" s="18"/>
      <c r="CF531" s="18"/>
      <c r="CG531" s="18"/>
    </row>
    <row r="532" ht="18.75" hidden="1" customHeight="1">
      <c r="A532" s="14">
        <v>44742.97655201389</v>
      </c>
      <c r="B532" s="15" t="s">
        <v>1431</v>
      </c>
      <c r="C532" s="16" t="s">
        <v>15168</v>
      </c>
      <c r="D532" s="15" t="str">
        <f>IFERROR(__xludf.DUMMYFUNCTION("QUERY(TY_ALL_2023_Batch!$A$1:$E$824, ""SELECT E WHERE C='""&amp;B532&amp;""'"", 0)"),"MECH")</f>
        <v>MECH</v>
      </c>
      <c r="E532" s="15" t="s">
        <v>3498</v>
      </c>
      <c r="F532" s="15" t="s">
        <v>4133</v>
      </c>
      <c r="G532" s="15" t="s">
        <v>15169</v>
      </c>
      <c r="H532" s="15" t="s">
        <v>2785</v>
      </c>
      <c r="I532" s="17">
        <v>37477.0</v>
      </c>
      <c r="J532" s="15">
        <v>2020.0</v>
      </c>
      <c r="K532" s="15" t="s">
        <v>2941</v>
      </c>
      <c r="L532" s="15" t="s">
        <v>2787</v>
      </c>
      <c r="M532" s="18"/>
      <c r="N532" s="15" t="s">
        <v>15170</v>
      </c>
      <c r="O532" s="15" t="s">
        <v>1431</v>
      </c>
      <c r="P532" s="19" t="s">
        <v>15171</v>
      </c>
      <c r="Q532" s="15">
        <v>8.600277452E9</v>
      </c>
      <c r="R532" s="15">
        <v>8.600277452E9</v>
      </c>
      <c r="S532" s="15">
        <v>7.0202683E9</v>
      </c>
      <c r="T532" s="15" t="s">
        <v>15172</v>
      </c>
      <c r="U532" s="15" t="s">
        <v>15173</v>
      </c>
      <c r="V532" s="15" t="s">
        <v>15174</v>
      </c>
      <c r="W532" s="15" t="s">
        <v>15175</v>
      </c>
      <c r="X532" s="15">
        <v>84.0</v>
      </c>
      <c r="Y532" s="15" t="s">
        <v>2948</v>
      </c>
      <c r="Z532" s="15">
        <v>8.3</v>
      </c>
      <c r="AA532" s="15">
        <v>7.76</v>
      </c>
      <c r="AB532" s="15">
        <v>7.76</v>
      </c>
      <c r="AC532" s="15" t="s">
        <v>3005</v>
      </c>
      <c r="AD532" s="15" t="s">
        <v>3005</v>
      </c>
      <c r="AE532" s="15" t="s">
        <v>3005</v>
      </c>
      <c r="AF532" s="18"/>
      <c r="AG532" s="18"/>
      <c r="AH532" s="18"/>
      <c r="AI532" s="15">
        <v>92.72</v>
      </c>
      <c r="AJ532" s="15" t="s">
        <v>2787</v>
      </c>
      <c r="AK532" s="15" t="s">
        <v>2787</v>
      </c>
      <c r="AL532" s="15">
        <v>533.33</v>
      </c>
      <c r="AM532" s="15">
        <v>545.0</v>
      </c>
      <c r="AN532" s="15" t="s">
        <v>2797</v>
      </c>
      <c r="AO532" s="15" t="s">
        <v>2796</v>
      </c>
      <c r="AP532" s="15" t="s">
        <v>2796</v>
      </c>
      <c r="AQ532" s="15" t="s">
        <v>15176</v>
      </c>
      <c r="AR532" s="18"/>
      <c r="AS532" s="18"/>
      <c r="AT532" s="18"/>
      <c r="AU532" s="15" t="s">
        <v>2796</v>
      </c>
      <c r="AV532" s="15" t="s">
        <v>15177</v>
      </c>
      <c r="AW532" s="15" t="s">
        <v>15178</v>
      </c>
      <c r="AX532" s="15" t="s">
        <v>15179</v>
      </c>
      <c r="AY532" s="15" t="s">
        <v>15180</v>
      </c>
      <c r="AZ532" s="15" t="s">
        <v>3960</v>
      </c>
      <c r="BA532" s="15" t="s">
        <v>2870</v>
      </c>
      <c r="BB532" s="15" t="s">
        <v>2807</v>
      </c>
      <c r="BC532" s="15" t="s">
        <v>15181</v>
      </c>
      <c r="BD532" s="15" t="s">
        <v>2807</v>
      </c>
      <c r="BE532" s="15" t="s">
        <v>15182</v>
      </c>
      <c r="BF532" s="15" t="s">
        <v>15183</v>
      </c>
      <c r="BG532" s="18"/>
      <c r="BH532" s="15" t="s">
        <v>15184</v>
      </c>
      <c r="BI532" s="18"/>
      <c r="BJ532" s="19" t="s">
        <v>15185</v>
      </c>
      <c r="BK532" s="19" t="s">
        <v>15186</v>
      </c>
      <c r="BL532" s="19" t="s">
        <v>15187</v>
      </c>
      <c r="BM532" s="19" t="s">
        <v>15188</v>
      </c>
      <c r="BN532" s="19" t="s">
        <v>15189</v>
      </c>
      <c r="BO532" s="19" t="s">
        <v>15190</v>
      </c>
      <c r="BP532" s="18"/>
      <c r="BQ532" s="15" t="s">
        <v>1321</v>
      </c>
      <c r="BR532" s="18"/>
      <c r="BS532" s="18"/>
      <c r="BT532" s="19" t="s">
        <v>15191</v>
      </c>
      <c r="BU532" s="19" t="s">
        <v>15192</v>
      </c>
      <c r="BV532" s="19" t="s">
        <v>15193</v>
      </c>
      <c r="BW532" s="15" t="s">
        <v>15194</v>
      </c>
      <c r="BX532" s="18"/>
      <c r="BY532" s="18" t="str">
        <f t="shared" si="107"/>
        <v>MECH</v>
      </c>
      <c r="BZ532" s="24" t="str">
        <f t="shared" si="100"/>
        <v>https://drive.google.com/open?id=1PIU4AI-RlT2AHrVkANzljPGq0bOWnQIi</v>
      </c>
      <c r="CA532" s="24" t="str">
        <f t="shared" si="101"/>
        <v>https://drive.google.com/open?id=1_lrqOW4gInYorQce5xUXDHlSwCoMBGzc</v>
      </c>
      <c r="CB532" s="15" t="s">
        <v>2821</v>
      </c>
      <c r="CC532" s="15" t="s">
        <v>2821</v>
      </c>
      <c r="CD532" s="25" t="s">
        <v>2787</v>
      </c>
      <c r="CE532" s="18"/>
      <c r="CF532" s="18"/>
      <c r="CG532" s="18"/>
    </row>
    <row r="533" ht="18.75" hidden="1" customHeight="1">
      <c r="A533" s="14">
        <v>44743.007935891204</v>
      </c>
      <c r="B533" s="15" t="s">
        <v>2598</v>
      </c>
      <c r="C533" s="16" t="s">
        <v>15195</v>
      </c>
      <c r="D533" s="15" t="str">
        <f>IFERROR(__xludf.DUMMYFUNCTION("QUERY(TY_ALL_2023_Batch!$A$1:$E$824, ""SELECT E WHERE C='""&amp;B533&amp;""'"", 0)"),"MECH")</f>
        <v>MECH</v>
      </c>
      <c r="E533" s="15" t="s">
        <v>10441</v>
      </c>
      <c r="F533" s="15" t="s">
        <v>3977</v>
      </c>
      <c r="G533" s="15" t="s">
        <v>4471</v>
      </c>
      <c r="H533" s="15" t="s">
        <v>2785</v>
      </c>
      <c r="I533" s="17">
        <v>36993.0</v>
      </c>
      <c r="J533" s="15">
        <v>2019.0</v>
      </c>
      <c r="K533" s="15" t="s">
        <v>2786</v>
      </c>
      <c r="L533" s="15" t="s">
        <v>2787</v>
      </c>
      <c r="M533" s="18"/>
      <c r="N533" s="15" t="s">
        <v>15196</v>
      </c>
      <c r="O533" s="15" t="s">
        <v>2598</v>
      </c>
      <c r="P533" s="19" t="s">
        <v>15197</v>
      </c>
      <c r="Q533" s="15">
        <v>9.075622365E9</v>
      </c>
      <c r="R533" s="15">
        <v>9.075622365E9</v>
      </c>
      <c r="S533" s="15">
        <v>9.822088665E9</v>
      </c>
      <c r="T533" s="15" t="s">
        <v>15198</v>
      </c>
      <c r="U533" s="15" t="s">
        <v>15199</v>
      </c>
      <c r="V533" s="15" t="s">
        <v>15200</v>
      </c>
      <c r="W533" s="18"/>
      <c r="X533" s="15">
        <v>90.8</v>
      </c>
      <c r="Y533" s="15" t="s">
        <v>2795</v>
      </c>
      <c r="Z533" s="15">
        <v>9.29</v>
      </c>
      <c r="AA533" s="15">
        <v>9.43</v>
      </c>
      <c r="AB533" s="15" t="s">
        <v>2796</v>
      </c>
      <c r="AC533" s="15" t="s">
        <v>2796</v>
      </c>
      <c r="AD533" s="15" t="s">
        <v>2796</v>
      </c>
      <c r="AE533" s="15" t="s">
        <v>2796</v>
      </c>
      <c r="AF533" s="15">
        <v>8.58</v>
      </c>
      <c r="AG533" s="15">
        <v>8.9</v>
      </c>
      <c r="AH533" s="15">
        <v>75.54</v>
      </c>
      <c r="AI533" s="18"/>
      <c r="AJ533" s="15" t="s">
        <v>2787</v>
      </c>
      <c r="AK533" s="15" t="s">
        <v>2787</v>
      </c>
      <c r="AL533" s="15">
        <v>690.0</v>
      </c>
      <c r="AM533" s="15">
        <v>671.666</v>
      </c>
      <c r="AN533" s="15" t="s">
        <v>2797</v>
      </c>
      <c r="AO533" s="15" t="s">
        <v>13504</v>
      </c>
      <c r="AP533" s="15" t="s">
        <v>13504</v>
      </c>
      <c r="AQ533" s="15" t="s">
        <v>15201</v>
      </c>
      <c r="AR533" s="15" t="s">
        <v>15202</v>
      </c>
      <c r="AS533" s="15" t="s">
        <v>15203</v>
      </c>
      <c r="AT533" s="18"/>
      <c r="AU533" s="15" t="s">
        <v>7277</v>
      </c>
      <c r="AV533" s="15" t="s">
        <v>15204</v>
      </c>
      <c r="AW533" s="15" t="s">
        <v>15205</v>
      </c>
      <c r="AX533" s="15" t="s">
        <v>7277</v>
      </c>
      <c r="AY533" s="15" t="s">
        <v>15206</v>
      </c>
      <c r="AZ533" s="15" t="s">
        <v>3960</v>
      </c>
      <c r="BA533" s="15" t="s">
        <v>2806</v>
      </c>
      <c r="BB533" s="15" t="s">
        <v>2807</v>
      </c>
      <c r="BC533" s="15" t="s">
        <v>15207</v>
      </c>
      <c r="BD533" s="15" t="s">
        <v>3393</v>
      </c>
      <c r="BE533" s="15" t="s">
        <v>2796</v>
      </c>
      <c r="BF533" s="15" t="s">
        <v>2796</v>
      </c>
      <c r="BG533" s="18"/>
      <c r="BH533" s="15" t="s">
        <v>15208</v>
      </c>
      <c r="BI533" s="15" t="s">
        <v>15209</v>
      </c>
      <c r="BJ533" s="19" t="s">
        <v>15210</v>
      </c>
      <c r="BK533" s="19" t="s">
        <v>15211</v>
      </c>
      <c r="BL533" s="19" t="s">
        <v>15212</v>
      </c>
      <c r="BM533" s="19" t="s">
        <v>15213</v>
      </c>
      <c r="BN533" s="19" t="s">
        <v>15214</v>
      </c>
      <c r="BO533" s="19" t="s">
        <v>15215</v>
      </c>
      <c r="BP533" s="18"/>
      <c r="BQ533" s="15" t="s">
        <v>1321</v>
      </c>
      <c r="BR533" s="18"/>
      <c r="BS533" s="18"/>
      <c r="BT533" s="20" t="s">
        <v>15216</v>
      </c>
      <c r="BU533" s="18"/>
      <c r="BV533" s="18"/>
      <c r="BW533" s="15" t="s">
        <v>15217</v>
      </c>
      <c r="BX533" s="18"/>
      <c r="BY533" s="18" t="str">
        <f t="shared" si="107"/>
        <v>MECH</v>
      </c>
      <c r="BZ533" s="24" t="str">
        <f t="shared" si="100"/>
        <v>https://drive.google.com/open?id=17rlmgu3LGmU0Kcp1oWQl_BhgQ0XsyQ9I</v>
      </c>
      <c r="CA533" s="24" t="str">
        <f t="shared" si="101"/>
        <v>https://drive.google.com/open?id=1BtGm9iD0uG1Zz6_24IxPexlQ-_5oRjPd</v>
      </c>
      <c r="CB533" s="15" t="s">
        <v>2821</v>
      </c>
      <c r="CC533" s="15" t="s">
        <v>2821</v>
      </c>
      <c r="CD533" s="25" t="s">
        <v>2787</v>
      </c>
      <c r="CE533" s="18"/>
      <c r="CF533" s="18"/>
      <c r="CG533" s="18"/>
    </row>
    <row r="534" ht="18.75" hidden="1" customHeight="1">
      <c r="A534" s="14">
        <v>44744.4806734375</v>
      </c>
      <c r="B534" s="15" t="s">
        <v>2355</v>
      </c>
      <c r="C534" s="16" t="s">
        <v>15218</v>
      </c>
      <c r="D534" s="15" t="str">
        <f>IFERROR(__xludf.DUMMYFUNCTION("QUERY(TY_ALL_2023_Batch!$A$1:$E$824, ""SELECT E WHERE C='""&amp;B534&amp;""'"", 0)"),"MECH")</f>
        <v>MECH</v>
      </c>
      <c r="E534" s="15" t="s">
        <v>15219</v>
      </c>
      <c r="F534" s="15" t="s">
        <v>3193</v>
      </c>
      <c r="G534" s="15" t="s">
        <v>5248</v>
      </c>
      <c r="H534" s="15" t="s">
        <v>2785</v>
      </c>
      <c r="I534" s="17">
        <v>36759.0</v>
      </c>
      <c r="J534" s="15">
        <v>2019.0</v>
      </c>
      <c r="K534" s="15" t="s">
        <v>2786</v>
      </c>
      <c r="L534" s="15" t="s">
        <v>2787</v>
      </c>
      <c r="M534" s="18"/>
      <c r="N534" s="15" t="s">
        <v>15220</v>
      </c>
      <c r="O534" s="15" t="s">
        <v>15221</v>
      </c>
      <c r="P534" s="19" t="s">
        <v>15222</v>
      </c>
      <c r="Q534" s="15">
        <v>7.875528809E9</v>
      </c>
      <c r="R534" s="15">
        <v>7.875528809E9</v>
      </c>
      <c r="S534" s="15">
        <v>7.666917565E9</v>
      </c>
      <c r="T534" s="15" t="s">
        <v>3193</v>
      </c>
      <c r="U534" s="15" t="s">
        <v>11020</v>
      </c>
      <c r="V534" s="15" t="s">
        <v>15223</v>
      </c>
      <c r="W534" s="15" t="s">
        <v>15224</v>
      </c>
      <c r="X534" s="15">
        <v>90.6</v>
      </c>
      <c r="Y534" s="15" t="s">
        <v>2795</v>
      </c>
      <c r="Z534" s="15">
        <v>7.24</v>
      </c>
      <c r="AA534" s="15">
        <v>6.38</v>
      </c>
      <c r="AB534" s="15" t="s">
        <v>2796</v>
      </c>
      <c r="AC534" s="15" t="s">
        <v>2796</v>
      </c>
      <c r="AD534" s="15" t="s">
        <v>2796</v>
      </c>
      <c r="AE534" s="15" t="s">
        <v>2796</v>
      </c>
      <c r="AF534" s="15">
        <v>6.89</v>
      </c>
      <c r="AG534" s="15">
        <v>5.78</v>
      </c>
      <c r="AH534" s="15">
        <v>79.6</v>
      </c>
      <c r="AI534" s="18"/>
      <c r="AJ534" s="15" t="s">
        <v>2787</v>
      </c>
      <c r="AK534" s="15" t="s">
        <v>2787</v>
      </c>
      <c r="AL534" s="15">
        <v>61.0</v>
      </c>
      <c r="AM534" s="15">
        <v>92.33</v>
      </c>
      <c r="AN534" s="15" t="s">
        <v>2797</v>
      </c>
      <c r="AO534" s="18"/>
      <c r="AP534" s="18"/>
      <c r="AQ534" s="15" t="s">
        <v>15225</v>
      </c>
      <c r="AR534" s="15" t="s">
        <v>15226</v>
      </c>
      <c r="AS534" s="18"/>
      <c r="AT534" s="18"/>
      <c r="AU534" s="15" t="s">
        <v>2796</v>
      </c>
      <c r="AV534" s="15" t="s">
        <v>15227</v>
      </c>
      <c r="AW534" s="15" t="s">
        <v>15228</v>
      </c>
      <c r="AX534" s="15" t="s">
        <v>2796</v>
      </c>
      <c r="AY534" s="15" t="s">
        <v>15229</v>
      </c>
      <c r="AZ534" s="15" t="s">
        <v>3960</v>
      </c>
      <c r="BA534" s="15" t="s">
        <v>2870</v>
      </c>
      <c r="BB534" s="15" t="s">
        <v>2807</v>
      </c>
      <c r="BC534" s="15" t="s">
        <v>13150</v>
      </c>
      <c r="BD534" s="15" t="s">
        <v>2807</v>
      </c>
      <c r="BE534" s="15" t="s">
        <v>2796</v>
      </c>
      <c r="BF534" s="15" t="s">
        <v>15230</v>
      </c>
      <c r="BG534" s="18"/>
      <c r="BH534" s="18"/>
      <c r="BI534" s="18"/>
      <c r="BJ534" s="19" t="s">
        <v>15231</v>
      </c>
      <c r="BK534" s="19" t="s">
        <v>15232</v>
      </c>
      <c r="BL534" s="19" t="s">
        <v>15233</v>
      </c>
      <c r="BM534" s="19" t="s">
        <v>15234</v>
      </c>
      <c r="BN534" s="19" t="s">
        <v>15235</v>
      </c>
      <c r="BO534" s="19" t="s">
        <v>15236</v>
      </c>
      <c r="BP534" s="18"/>
      <c r="BQ534" s="15" t="s">
        <v>1321</v>
      </c>
      <c r="BR534" s="26"/>
      <c r="BS534" s="26"/>
      <c r="BT534" s="26"/>
      <c r="BU534" s="26"/>
      <c r="BV534" s="26"/>
      <c r="BW534" s="15" t="s">
        <v>15237</v>
      </c>
      <c r="BX534" s="26"/>
      <c r="BY534" s="18" t="str">
        <f t="shared" si="107"/>
        <v>MECH</v>
      </c>
      <c r="BZ534" s="24" t="str">
        <f t="shared" si="100"/>
        <v>https://drive.google.com/open?id=14zGWj_UHsA2mowC0ZGrCMfqORh-NbaAC</v>
      </c>
      <c r="CA534" s="24" t="str">
        <f t="shared" si="101"/>
        <v>https://drive.google.com/open?id=1IZ7EDXTMw76uS5ORjtcjdNpSAu5UMalR</v>
      </c>
      <c r="CB534" s="15" t="s">
        <v>2821</v>
      </c>
      <c r="CC534" s="15" t="s">
        <v>2821</v>
      </c>
      <c r="CD534" s="25" t="s">
        <v>2797</v>
      </c>
      <c r="CE534" s="18"/>
      <c r="CF534" s="18"/>
      <c r="CG534" s="18"/>
    </row>
    <row r="535" ht="18.75" hidden="1" customHeight="1">
      <c r="A535" s="14">
        <v>44772.40491662037</v>
      </c>
      <c r="B535" s="15" t="s">
        <v>2565</v>
      </c>
      <c r="C535" s="16" t="s">
        <v>15238</v>
      </c>
      <c r="D535" s="15" t="str">
        <f>IFERROR(__xludf.DUMMYFUNCTION("QUERY(TY_ALL_2023_Batch!$A$1:$E$824, ""SELECT E WHERE C='""&amp;B535&amp;""'"", 0)"),"MECH")</f>
        <v>MECH</v>
      </c>
      <c r="E535" s="15" t="s">
        <v>15239</v>
      </c>
      <c r="F535" s="15" t="s">
        <v>2972</v>
      </c>
      <c r="G535" s="15" t="s">
        <v>15240</v>
      </c>
      <c r="H535" s="15" t="s">
        <v>2826</v>
      </c>
      <c r="I535" s="17">
        <v>37078.0</v>
      </c>
      <c r="J535" s="15">
        <v>2019.0</v>
      </c>
      <c r="K535" s="15" t="s">
        <v>2786</v>
      </c>
      <c r="L535" s="15" t="s">
        <v>2787</v>
      </c>
      <c r="M535" s="18"/>
      <c r="N535" s="15" t="s">
        <v>15241</v>
      </c>
      <c r="O535" s="15" t="s">
        <v>2565</v>
      </c>
      <c r="P535" s="19" t="s">
        <v>15242</v>
      </c>
      <c r="Q535" s="15">
        <v>9.404376136E9</v>
      </c>
      <c r="R535" s="15">
        <v>9.404376136E9</v>
      </c>
      <c r="S535" s="15">
        <v>9.850347767E9</v>
      </c>
      <c r="T535" s="15" t="s">
        <v>15243</v>
      </c>
      <c r="U535" s="15" t="s">
        <v>15244</v>
      </c>
      <c r="V535" s="15" t="s">
        <v>15245</v>
      </c>
      <c r="W535" s="15" t="s">
        <v>15246</v>
      </c>
      <c r="X535" s="15">
        <v>92.0</v>
      </c>
      <c r="Y535" s="15" t="s">
        <v>2795</v>
      </c>
      <c r="Z535" s="15">
        <v>9.1</v>
      </c>
      <c r="AA535" s="15">
        <v>8.48</v>
      </c>
      <c r="AB535" s="15">
        <v>6.48</v>
      </c>
      <c r="AC535" s="15">
        <v>8.48</v>
      </c>
      <c r="AD535" s="15" t="s">
        <v>2796</v>
      </c>
      <c r="AE535" s="15" t="s">
        <v>2796</v>
      </c>
      <c r="AF535" s="15">
        <v>8.37</v>
      </c>
      <c r="AG535" s="15">
        <v>7.43</v>
      </c>
      <c r="AH535" s="15">
        <v>69.89</v>
      </c>
      <c r="AI535" s="18"/>
      <c r="AJ535" s="15" t="s">
        <v>2787</v>
      </c>
      <c r="AK535" s="15" t="s">
        <v>2787</v>
      </c>
      <c r="AL535" s="15">
        <v>541.66</v>
      </c>
      <c r="AM535" s="15">
        <v>625.0</v>
      </c>
      <c r="AN535" s="15" t="s">
        <v>2797</v>
      </c>
      <c r="AO535" s="15" t="s">
        <v>2796</v>
      </c>
      <c r="AP535" s="15" t="s">
        <v>2796</v>
      </c>
      <c r="AQ535" s="15" t="s">
        <v>15247</v>
      </c>
      <c r="AR535" s="15" t="s">
        <v>15248</v>
      </c>
      <c r="AS535" s="15" t="s">
        <v>15249</v>
      </c>
      <c r="AT535" s="15" t="s">
        <v>2796</v>
      </c>
      <c r="AU535" s="15" t="s">
        <v>15250</v>
      </c>
      <c r="AV535" s="15" t="s">
        <v>15251</v>
      </c>
      <c r="AW535" s="15" t="s">
        <v>15252</v>
      </c>
      <c r="AX535" s="15" t="s">
        <v>15253</v>
      </c>
      <c r="AY535" s="15" t="s">
        <v>2796</v>
      </c>
      <c r="AZ535" s="15" t="s">
        <v>9648</v>
      </c>
      <c r="BA535" s="15" t="s">
        <v>2899</v>
      </c>
      <c r="BB535" s="15" t="s">
        <v>2807</v>
      </c>
      <c r="BC535" s="15" t="s">
        <v>13150</v>
      </c>
      <c r="BD535" s="15" t="s">
        <v>2807</v>
      </c>
      <c r="BE535" s="15" t="s">
        <v>15254</v>
      </c>
      <c r="BF535" s="18"/>
      <c r="BG535" s="18"/>
      <c r="BH535" s="18"/>
      <c r="BI535" s="15" t="s">
        <v>15255</v>
      </c>
      <c r="BJ535" s="19" t="s">
        <v>15256</v>
      </c>
      <c r="BK535" s="19" t="s">
        <v>15257</v>
      </c>
      <c r="BL535" s="19" t="s">
        <v>15258</v>
      </c>
      <c r="BM535" s="19" t="s">
        <v>15259</v>
      </c>
      <c r="BN535" s="19" t="s">
        <v>15260</v>
      </c>
      <c r="BO535" s="19" t="s">
        <v>15261</v>
      </c>
      <c r="BP535" s="18"/>
      <c r="BQ535" s="15" t="s">
        <v>1321</v>
      </c>
      <c r="BR535" s="26"/>
      <c r="BS535" s="26"/>
      <c r="BT535" s="26"/>
      <c r="BU535" s="26"/>
      <c r="BV535" s="26"/>
      <c r="BW535" s="15" t="s">
        <v>15262</v>
      </c>
      <c r="BX535" s="26"/>
      <c r="BY535" s="18" t="str">
        <f t="shared" si="107"/>
        <v>MECH</v>
      </c>
      <c r="BZ535" s="24" t="str">
        <f t="shared" si="100"/>
        <v>https://drive.google.com/open?id=122b5RedvQn0Ud0QqCOvqLbThGDYTaYoz</v>
      </c>
      <c r="CA535" s="24" t="str">
        <f t="shared" si="101"/>
        <v>https://drive.google.com/open?id=1BBRhpQ6dtdjzKMeWPWzHoh3QoOhbUB3l</v>
      </c>
      <c r="CB535" s="15" t="s">
        <v>2821</v>
      </c>
      <c r="CC535" s="15" t="s">
        <v>2821</v>
      </c>
      <c r="CD535" s="25" t="s">
        <v>2797</v>
      </c>
      <c r="CE535" s="18"/>
      <c r="CF535" s="18"/>
      <c r="CG535" s="18"/>
    </row>
    <row r="536" ht="18.75" hidden="1" customHeight="1">
      <c r="A536" s="14">
        <v>44743.000250173616</v>
      </c>
      <c r="B536" s="15" t="s">
        <v>2571</v>
      </c>
      <c r="C536" s="16" t="s">
        <v>15263</v>
      </c>
      <c r="D536" s="15" t="str">
        <f>IFERROR(__xludf.DUMMYFUNCTION("QUERY(TY_ALL_2023_Batch!$A$1:$E$824, ""SELECT E WHERE C='""&amp;B536&amp;""'"", 0)"),"MECH")</f>
        <v>MECH</v>
      </c>
      <c r="E536" s="15" t="s">
        <v>13098</v>
      </c>
      <c r="F536" s="15" t="s">
        <v>15264</v>
      </c>
      <c r="G536" s="15" t="s">
        <v>10903</v>
      </c>
      <c r="H536" s="15" t="s">
        <v>2785</v>
      </c>
      <c r="I536" s="17">
        <v>36644.0</v>
      </c>
      <c r="J536" s="15">
        <v>2019.0</v>
      </c>
      <c r="K536" s="15" t="s">
        <v>2786</v>
      </c>
      <c r="L536" s="15" t="s">
        <v>2787</v>
      </c>
      <c r="M536" s="18"/>
      <c r="N536" s="15" t="s">
        <v>15265</v>
      </c>
      <c r="O536" s="15" t="s">
        <v>2571</v>
      </c>
      <c r="P536" s="19" t="s">
        <v>15266</v>
      </c>
      <c r="Q536" s="15">
        <v>7.666871625E9</v>
      </c>
      <c r="R536" s="15">
        <v>7.666871625E9</v>
      </c>
      <c r="S536" s="18"/>
      <c r="T536" s="15" t="s">
        <v>15264</v>
      </c>
      <c r="U536" s="15" t="s">
        <v>8377</v>
      </c>
      <c r="V536" s="15" t="s">
        <v>15267</v>
      </c>
      <c r="W536" s="18"/>
      <c r="X536" s="15">
        <v>94.4</v>
      </c>
      <c r="Y536" s="15" t="s">
        <v>2795</v>
      </c>
      <c r="Z536" s="15">
        <v>9.1</v>
      </c>
      <c r="AA536" s="15">
        <v>8.0</v>
      </c>
      <c r="AB536" s="15" t="s">
        <v>2796</v>
      </c>
      <c r="AC536" s="15" t="s">
        <v>2796</v>
      </c>
      <c r="AD536" s="15" t="s">
        <v>2796</v>
      </c>
      <c r="AE536" s="15" t="s">
        <v>2796</v>
      </c>
      <c r="AF536" s="15">
        <v>8.84</v>
      </c>
      <c r="AG536" s="15">
        <v>9.0</v>
      </c>
      <c r="AH536" s="15">
        <v>76.6</v>
      </c>
      <c r="AI536" s="18"/>
      <c r="AJ536" s="15" t="s">
        <v>2787</v>
      </c>
      <c r="AK536" s="15" t="s">
        <v>2787</v>
      </c>
      <c r="AL536" s="15">
        <v>455.0</v>
      </c>
      <c r="AM536" s="15">
        <v>42.0</v>
      </c>
      <c r="AN536" s="15" t="s">
        <v>2797</v>
      </c>
      <c r="AO536" s="15">
        <v>0.0</v>
      </c>
      <c r="AP536" s="15">
        <v>0.0</v>
      </c>
      <c r="AQ536" s="15" t="s">
        <v>15268</v>
      </c>
      <c r="AR536" s="15" t="s">
        <v>11089</v>
      </c>
      <c r="AS536" s="18"/>
      <c r="AT536" s="18"/>
      <c r="AU536" s="15" t="s">
        <v>15269</v>
      </c>
      <c r="AV536" s="15" t="s">
        <v>15270</v>
      </c>
      <c r="AW536" s="15" t="s">
        <v>15271</v>
      </c>
      <c r="AX536" s="18"/>
      <c r="AY536" s="15" t="s">
        <v>15272</v>
      </c>
      <c r="AZ536" s="15" t="s">
        <v>5287</v>
      </c>
      <c r="BA536" s="15" t="s">
        <v>8414</v>
      </c>
      <c r="BB536" s="15" t="s">
        <v>2807</v>
      </c>
      <c r="BC536" s="15" t="s">
        <v>15273</v>
      </c>
      <c r="BD536" s="15" t="s">
        <v>2807</v>
      </c>
      <c r="BE536" s="15" t="s">
        <v>15274</v>
      </c>
      <c r="BF536" s="18"/>
      <c r="BG536" s="18"/>
      <c r="BH536" s="18"/>
      <c r="BI536" s="18"/>
      <c r="BJ536" s="19" t="s">
        <v>15275</v>
      </c>
      <c r="BK536" s="19" t="s">
        <v>15276</v>
      </c>
      <c r="BL536" s="18"/>
      <c r="BM536" s="18"/>
      <c r="BN536" s="19" t="s">
        <v>15277</v>
      </c>
      <c r="BO536" s="19" t="s">
        <v>15278</v>
      </c>
      <c r="BP536" s="18"/>
      <c r="BQ536" s="15" t="s">
        <v>1321</v>
      </c>
      <c r="BR536" s="18"/>
      <c r="BS536" s="18"/>
      <c r="BT536" s="18"/>
      <c r="BU536" s="18"/>
      <c r="BV536" s="18"/>
      <c r="BW536" s="15" t="s">
        <v>15279</v>
      </c>
      <c r="BX536" s="18"/>
      <c r="BY536" s="18" t="str">
        <f t="shared" si="107"/>
        <v>MECH</v>
      </c>
      <c r="BZ536" s="18" t="str">
        <f t="shared" si="100"/>
        <v/>
      </c>
      <c r="CA536" s="18" t="str">
        <f t="shared" si="101"/>
        <v/>
      </c>
      <c r="CB536" s="15" t="s">
        <v>2908</v>
      </c>
      <c r="CC536" s="15" t="s">
        <v>2908</v>
      </c>
      <c r="CD536" s="25" t="s">
        <v>2797</v>
      </c>
      <c r="CE536" s="18"/>
      <c r="CF536" s="18"/>
      <c r="CG536" s="18"/>
    </row>
    <row r="537" ht="18.75" hidden="1" customHeight="1">
      <c r="A537" s="14">
        <v>44736.58040706019</v>
      </c>
      <c r="B537" s="15" t="s">
        <v>2343</v>
      </c>
      <c r="C537" s="16" t="s">
        <v>15280</v>
      </c>
      <c r="D537" s="15" t="str">
        <f>IFERROR(__xludf.DUMMYFUNCTION("QUERY(TY_ALL_2023_Batch!$A$1:$E$824, ""SELECT E WHERE C='""&amp;B537&amp;""'"", 0)"),"MECH")</f>
        <v>MECH</v>
      </c>
      <c r="E537" s="15" t="s">
        <v>11632</v>
      </c>
      <c r="F537" s="15" t="s">
        <v>2939</v>
      </c>
      <c r="G537" s="15" t="s">
        <v>15281</v>
      </c>
      <c r="H537" s="15" t="s">
        <v>2785</v>
      </c>
      <c r="I537" s="17">
        <v>36946.0</v>
      </c>
      <c r="J537" s="15">
        <v>2019.0</v>
      </c>
      <c r="K537" s="15" t="s">
        <v>2786</v>
      </c>
      <c r="L537" s="15" t="s">
        <v>2787</v>
      </c>
      <c r="M537" s="18"/>
      <c r="N537" s="15" t="s">
        <v>15282</v>
      </c>
      <c r="O537" s="15" t="s">
        <v>2343</v>
      </c>
      <c r="P537" s="19" t="s">
        <v>15283</v>
      </c>
      <c r="Q537" s="15">
        <v>9.09638021E9</v>
      </c>
      <c r="R537" s="15">
        <v>9.09638021E9</v>
      </c>
      <c r="S537" s="15">
        <v>9.974792075E9</v>
      </c>
      <c r="T537" s="15" t="s">
        <v>15284</v>
      </c>
      <c r="U537" s="15" t="s">
        <v>15285</v>
      </c>
      <c r="V537" s="15" t="s">
        <v>15286</v>
      </c>
      <c r="W537" s="18"/>
      <c r="X537" s="15">
        <v>77.0</v>
      </c>
      <c r="Y537" s="15" t="s">
        <v>2795</v>
      </c>
      <c r="Z537" s="15">
        <v>8.57</v>
      </c>
      <c r="AA537" s="15">
        <v>7.9</v>
      </c>
      <c r="AB537" s="15" t="s">
        <v>2796</v>
      </c>
      <c r="AC537" s="15" t="s">
        <v>2796</v>
      </c>
      <c r="AD537" s="15" t="s">
        <v>2796</v>
      </c>
      <c r="AE537" s="15" t="s">
        <v>2796</v>
      </c>
      <c r="AF537" s="15">
        <v>7.9</v>
      </c>
      <c r="AG537" s="15">
        <v>7.84</v>
      </c>
      <c r="AH537" s="15">
        <v>65.0</v>
      </c>
      <c r="AI537" s="18"/>
      <c r="AJ537" s="15" t="s">
        <v>2787</v>
      </c>
      <c r="AK537" s="15" t="s">
        <v>2787</v>
      </c>
      <c r="AL537" s="15">
        <v>426.0</v>
      </c>
      <c r="AM537" s="15">
        <v>573.0</v>
      </c>
      <c r="AN537" s="15" t="s">
        <v>2797</v>
      </c>
      <c r="AO537" s="18"/>
      <c r="AP537" s="18"/>
      <c r="AQ537" s="15" t="s">
        <v>5356</v>
      </c>
      <c r="AR537" s="18"/>
      <c r="AS537" s="18"/>
      <c r="AT537" s="18"/>
      <c r="AU537" s="18"/>
      <c r="AV537" s="18"/>
      <c r="AW537" s="15" t="s">
        <v>15287</v>
      </c>
      <c r="AX537" s="18"/>
      <c r="AY537" s="15" t="s">
        <v>15288</v>
      </c>
      <c r="AZ537" s="15" t="s">
        <v>5625</v>
      </c>
      <c r="BA537" s="15" t="s">
        <v>15289</v>
      </c>
      <c r="BB537" s="15" t="s">
        <v>15290</v>
      </c>
      <c r="BC537" s="15" t="s">
        <v>15291</v>
      </c>
      <c r="BD537" s="15" t="s">
        <v>2807</v>
      </c>
      <c r="BE537" s="15" t="s">
        <v>15292</v>
      </c>
      <c r="BF537" s="15" t="s">
        <v>15293</v>
      </c>
      <c r="BG537" s="18"/>
      <c r="BH537" s="18"/>
      <c r="BI537" s="18"/>
      <c r="BJ537" s="19" t="s">
        <v>15294</v>
      </c>
      <c r="BK537" s="19" t="s">
        <v>15295</v>
      </c>
      <c r="BL537" s="19" t="s">
        <v>15296</v>
      </c>
      <c r="BM537" s="20" t="s">
        <v>15297</v>
      </c>
      <c r="BN537" s="18"/>
      <c r="BO537" s="19" t="s">
        <v>15298</v>
      </c>
      <c r="BP537" s="19" t="s">
        <v>15299</v>
      </c>
      <c r="BQ537" s="15" t="s">
        <v>1321</v>
      </c>
      <c r="BR537" s="26"/>
      <c r="BS537" s="26"/>
      <c r="BT537" s="26"/>
      <c r="BU537" s="26"/>
      <c r="BV537" s="26"/>
      <c r="BW537" s="26"/>
      <c r="BX537" s="26"/>
      <c r="BY537" s="18" t="str">
        <f t="shared" si="107"/>
        <v>MECH</v>
      </c>
      <c r="BZ537" s="24" t="str">
        <f t="shared" si="100"/>
        <v>https://drive.google.com/open?id=1sr5CXrMclONZ2E5v6rnafu7oJNCnFyXC</v>
      </c>
      <c r="CA537" s="24" t="str">
        <f t="shared" si="101"/>
        <v>https://drive.google.com/open?id=1_9wn5epCXkfmuRKnCL3wyJ8H-puOZq5P</v>
      </c>
      <c r="CB537" s="15" t="s">
        <v>2821</v>
      </c>
      <c r="CC537" s="15" t="s">
        <v>2821</v>
      </c>
      <c r="CD537" s="25" t="s">
        <v>2797</v>
      </c>
      <c r="CE537" s="18"/>
      <c r="CF537" s="18"/>
      <c r="CG537" s="18"/>
    </row>
    <row r="538" ht="18.75" hidden="1" customHeight="1">
      <c r="A538" s="14">
        <v>44751.542289212965</v>
      </c>
      <c r="B538" s="15" t="s">
        <v>2379</v>
      </c>
      <c r="C538" s="16" t="s">
        <v>15300</v>
      </c>
      <c r="D538" s="15" t="str">
        <f>IFERROR(__xludf.DUMMYFUNCTION("QUERY(TY_ALL_2023_Batch!$A$1:$E$824, ""SELECT E WHERE C='""&amp;B538&amp;""'"", 0)"),"MECH")</f>
        <v>MECH</v>
      </c>
      <c r="E538" s="15" t="s">
        <v>3361</v>
      </c>
      <c r="F538" s="15" t="s">
        <v>11288</v>
      </c>
      <c r="G538" s="15" t="s">
        <v>10112</v>
      </c>
      <c r="H538" s="15" t="s">
        <v>2785</v>
      </c>
      <c r="I538" s="17">
        <v>37250.0</v>
      </c>
      <c r="J538" s="15">
        <v>2019.0</v>
      </c>
      <c r="K538" s="15" t="s">
        <v>2786</v>
      </c>
      <c r="L538" s="15" t="s">
        <v>2787</v>
      </c>
      <c r="M538" s="18"/>
      <c r="N538" s="15" t="s">
        <v>15301</v>
      </c>
      <c r="O538" s="15" t="s">
        <v>2379</v>
      </c>
      <c r="P538" s="19" t="s">
        <v>15302</v>
      </c>
      <c r="Q538" s="15">
        <v>8.668811268E9</v>
      </c>
      <c r="R538" s="15">
        <v>8.668811268E9</v>
      </c>
      <c r="S538" s="18"/>
      <c r="T538" s="15" t="s">
        <v>15303</v>
      </c>
      <c r="U538" s="15" t="s">
        <v>15304</v>
      </c>
      <c r="V538" s="15" t="s">
        <v>15305</v>
      </c>
      <c r="W538" s="18"/>
      <c r="X538" s="15">
        <v>90.0</v>
      </c>
      <c r="Y538" s="15" t="s">
        <v>2795</v>
      </c>
      <c r="Z538" s="15">
        <v>8.76</v>
      </c>
      <c r="AA538" s="15">
        <v>8.67</v>
      </c>
      <c r="AB538" s="15">
        <v>7.8</v>
      </c>
      <c r="AC538" s="15">
        <v>8.17</v>
      </c>
      <c r="AD538" s="15" t="s">
        <v>2796</v>
      </c>
      <c r="AE538" s="15" t="s">
        <v>2796</v>
      </c>
      <c r="AF538" s="15">
        <v>8.37</v>
      </c>
      <c r="AG538" s="15">
        <v>8.1</v>
      </c>
      <c r="AH538" s="15">
        <v>67.54</v>
      </c>
      <c r="AI538" s="18"/>
      <c r="AJ538" s="15" t="s">
        <v>2787</v>
      </c>
      <c r="AK538" s="15" t="s">
        <v>2787</v>
      </c>
      <c r="AL538" s="15">
        <v>506.0</v>
      </c>
      <c r="AM538" s="15">
        <v>518.0</v>
      </c>
      <c r="AN538" s="15" t="s">
        <v>2797</v>
      </c>
      <c r="AO538" s="18"/>
      <c r="AP538" s="18"/>
      <c r="AQ538" s="15" t="s">
        <v>15306</v>
      </c>
      <c r="AR538" s="18"/>
      <c r="AS538" s="18"/>
      <c r="AT538" s="18"/>
      <c r="AU538" s="18"/>
      <c r="AV538" s="15" t="s">
        <v>15307</v>
      </c>
      <c r="AW538" s="15" t="s">
        <v>15308</v>
      </c>
      <c r="AX538" s="18"/>
      <c r="AY538" s="15" t="s">
        <v>15309</v>
      </c>
      <c r="AZ538" s="15" t="s">
        <v>9648</v>
      </c>
      <c r="BA538" s="15" t="s">
        <v>2899</v>
      </c>
      <c r="BB538" s="15" t="s">
        <v>2807</v>
      </c>
      <c r="BC538" s="15" t="s">
        <v>2808</v>
      </c>
      <c r="BD538" s="15" t="s">
        <v>2807</v>
      </c>
      <c r="BE538" s="15" t="s">
        <v>2796</v>
      </c>
      <c r="BF538" s="18"/>
      <c r="BG538" s="18"/>
      <c r="BH538" s="18"/>
      <c r="BI538" s="18"/>
      <c r="BJ538" s="19" t="s">
        <v>15310</v>
      </c>
      <c r="BK538" s="19" t="s">
        <v>15311</v>
      </c>
      <c r="BL538" s="20" t="s">
        <v>15312</v>
      </c>
      <c r="BM538" s="19" t="s">
        <v>15313</v>
      </c>
      <c r="BN538" s="18"/>
      <c r="BO538" s="19" t="s">
        <v>15314</v>
      </c>
      <c r="BP538" s="18"/>
      <c r="BQ538" s="15" t="s">
        <v>1321</v>
      </c>
      <c r="BR538" s="18"/>
      <c r="BS538" s="18"/>
      <c r="BT538" s="19" t="s">
        <v>15315</v>
      </c>
      <c r="BU538" s="19" t="s">
        <v>15316</v>
      </c>
      <c r="BV538" s="19" t="s">
        <v>15317</v>
      </c>
      <c r="BW538" s="15" t="s">
        <v>15318</v>
      </c>
      <c r="BX538" s="18"/>
      <c r="BY538" s="18" t="str">
        <f t="shared" si="107"/>
        <v>MECH</v>
      </c>
      <c r="BZ538" s="24" t="str">
        <f t="shared" si="100"/>
        <v>https://drive.google.com/open?id=15eD3mHeuKAwg7YC0Mk0Dzr13Jqn82Kp9</v>
      </c>
      <c r="CA538" s="24" t="str">
        <f t="shared" si="101"/>
        <v>https://drive.google.com/open?id=1GeVudKjIPUasGKc0QpYTtqeFIV_YI0df</v>
      </c>
      <c r="CB538" s="15" t="s">
        <v>2821</v>
      </c>
      <c r="CC538" s="15" t="s">
        <v>2821</v>
      </c>
      <c r="CD538" s="25" t="s">
        <v>2787</v>
      </c>
      <c r="CE538" s="18"/>
      <c r="CF538" s="18"/>
      <c r="CG538" s="18"/>
    </row>
    <row r="539" ht="18.75" hidden="1" customHeight="1">
      <c r="A539" s="14">
        <v>44735.941745104166</v>
      </c>
      <c r="B539" s="15" t="s">
        <v>2595</v>
      </c>
      <c r="C539" s="16" t="s">
        <v>15319</v>
      </c>
      <c r="D539" s="15" t="str">
        <f>IFERROR(__xludf.DUMMYFUNCTION("QUERY(TY_ALL_2023_Batch!$A$1:$E$824, ""SELECT E WHERE C='""&amp;B539&amp;""'"", 0)"),"MECH")</f>
        <v>MECH</v>
      </c>
      <c r="E539" s="15" t="s">
        <v>11287</v>
      </c>
      <c r="F539" s="15" t="s">
        <v>15320</v>
      </c>
      <c r="G539" s="15" t="s">
        <v>2973</v>
      </c>
      <c r="H539" s="15" t="s">
        <v>2785</v>
      </c>
      <c r="I539" s="17">
        <v>37034.0</v>
      </c>
      <c r="J539" s="15">
        <v>2019.0</v>
      </c>
      <c r="K539" s="15" t="s">
        <v>2786</v>
      </c>
      <c r="L539" s="15" t="s">
        <v>2787</v>
      </c>
      <c r="M539" s="18"/>
      <c r="N539" s="15" t="s">
        <v>15321</v>
      </c>
      <c r="O539" s="15" t="s">
        <v>2595</v>
      </c>
      <c r="P539" s="19" t="s">
        <v>15322</v>
      </c>
      <c r="Q539" s="15">
        <v>9.359130982E9</v>
      </c>
      <c r="R539" s="15">
        <v>9.359130982E9</v>
      </c>
      <c r="S539" s="18"/>
      <c r="T539" s="15" t="s">
        <v>15323</v>
      </c>
      <c r="U539" s="15" t="s">
        <v>15324</v>
      </c>
      <c r="V539" s="15" t="s">
        <v>15325</v>
      </c>
      <c r="W539" s="15" t="s">
        <v>15326</v>
      </c>
      <c r="X539" s="15">
        <v>94.8</v>
      </c>
      <c r="Y539" s="15" t="s">
        <v>2795</v>
      </c>
      <c r="Z539" s="15">
        <v>9.57</v>
      </c>
      <c r="AA539" s="15">
        <v>9.24</v>
      </c>
      <c r="AB539" s="15" t="s">
        <v>2796</v>
      </c>
      <c r="AC539" s="15" t="s">
        <v>2796</v>
      </c>
      <c r="AD539" s="15" t="s">
        <v>2796</v>
      </c>
      <c r="AE539" s="15" t="s">
        <v>2796</v>
      </c>
      <c r="AF539" s="15">
        <v>8.63</v>
      </c>
      <c r="AG539" s="15">
        <v>9.1</v>
      </c>
      <c r="AH539" s="15">
        <v>84.62</v>
      </c>
      <c r="AI539" s="18"/>
      <c r="AJ539" s="15" t="s">
        <v>2787</v>
      </c>
      <c r="AK539" s="15" t="s">
        <v>2787</v>
      </c>
      <c r="AL539" s="15">
        <v>663.33</v>
      </c>
      <c r="AM539" s="15">
        <v>610.0</v>
      </c>
      <c r="AN539" s="15" t="s">
        <v>2797</v>
      </c>
      <c r="AO539" s="15"/>
      <c r="AP539" s="15"/>
      <c r="AQ539" s="15" t="s">
        <v>15327</v>
      </c>
      <c r="AR539" s="15" t="s">
        <v>15328</v>
      </c>
      <c r="AS539" s="18"/>
      <c r="AT539" s="18"/>
      <c r="AU539" s="15" t="s">
        <v>15329</v>
      </c>
      <c r="AV539" s="15" t="s">
        <v>15330</v>
      </c>
      <c r="AW539" s="15" t="s">
        <v>15331</v>
      </c>
      <c r="AX539" s="18"/>
      <c r="AY539" s="15" t="s">
        <v>15332</v>
      </c>
      <c r="AZ539" s="15" t="s">
        <v>9648</v>
      </c>
      <c r="BA539" s="15" t="s">
        <v>2899</v>
      </c>
      <c r="BB539" s="15" t="s">
        <v>2807</v>
      </c>
      <c r="BC539" s="15" t="s">
        <v>13107</v>
      </c>
      <c r="BD539" s="15" t="s">
        <v>2807</v>
      </c>
      <c r="BE539" s="15" t="s">
        <v>15333</v>
      </c>
      <c r="BF539" s="15" t="s">
        <v>15334</v>
      </c>
      <c r="BG539" s="18"/>
      <c r="BH539" s="15" t="s">
        <v>15335</v>
      </c>
      <c r="BI539" s="18"/>
      <c r="BJ539" s="19" t="s">
        <v>15336</v>
      </c>
      <c r="BK539" s="19" t="s">
        <v>15337</v>
      </c>
      <c r="BL539" s="19" t="s">
        <v>15338</v>
      </c>
      <c r="BM539" s="19" t="s">
        <v>15339</v>
      </c>
      <c r="BN539" s="19" t="s">
        <v>15340</v>
      </c>
      <c r="BO539" s="19" t="s">
        <v>15341</v>
      </c>
      <c r="BP539" s="19" t="s">
        <v>15342</v>
      </c>
      <c r="BQ539" s="15" t="s">
        <v>1321</v>
      </c>
      <c r="BR539" s="26"/>
      <c r="BS539" s="26"/>
      <c r="BT539" s="26"/>
      <c r="BU539" s="26"/>
      <c r="BV539" s="26"/>
      <c r="BW539" s="26"/>
      <c r="BX539" s="26"/>
      <c r="BY539" s="18" t="str">
        <f t="shared" si="107"/>
        <v>MECH</v>
      </c>
      <c r="BZ539" s="24" t="str">
        <f t="shared" si="100"/>
        <v>https://drive.google.com/open?id=1rkb0kwT5Q7NR7005AqnyK04lQWlVQRNo</v>
      </c>
      <c r="CA539" s="24" t="str">
        <f t="shared" si="101"/>
        <v>https://drive.google.com/open?id=1Aj7K6ZbXbU8B2B__MwLiwxa9-Pz1lnGZ</v>
      </c>
      <c r="CB539" s="15" t="s">
        <v>2821</v>
      </c>
      <c r="CC539" s="15" t="s">
        <v>2821</v>
      </c>
      <c r="CD539" s="25" t="s">
        <v>2797</v>
      </c>
      <c r="CE539" s="18"/>
      <c r="CF539" s="18"/>
      <c r="CG539" s="18"/>
    </row>
    <row r="540" ht="18.75" hidden="1" customHeight="1">
      <c r="A540" s="14">
        <v>44742.9340149537</v>
      </c>
      <c r="B540" s="15" t="s">
        <v>2658</v>
      </c>
      <c r="C540" s="16" t="s">
        <v>15343</v>
      </c>
      <c r="D540" s="15" t="str">
        <f>IFERROR(__xludf.DUMMYFUNCTION("QUERY(TY_ALL_2023_Batch!$A$1:$E$824, ""SELECT E WHERE C='""&amp;B540&amp;""'"", 0)"),"MECH")</f>
        <v>MECH</v>
      </c>
      <c r="E540" s="15" t="s">
        <v>15344</v>
      </c>
      <c r="F540" s="15" t="s">
        <v>15345</v>
      </c>
      <c r="G540" s="15" t="s">
        <v>10992</v>
      </c>
      <c r="H540" s="15" t="s">
        <v>2826</v>
      </c>
      <c r="I540" s="17">
        <v>36665.0</v>
      </c>
      <c r="J540" s="15">
        <v>2019.0</v>
      </c>
      <c r="K540" s="15" t="s">
        <v>2786</v>
      </c>
      <c r="L540" s="15" t="s">
        <v>2787</v>
      </c>
      <c r="M540" s="18"/>
      <c r="N540" s="15" t="s">
        <v>15346</v>
      </c>
      <c r="O540" s="15" t="s">
        <v>2658</v>
      </c>
      <c r="P540" s="19" t="s">
        <v>15347</v>
      </c>
      <c r="Q540" s="15">
        <v>9.860074893E9</v>
      </c>
      <c r="R540" s="15">
        <v>9.860074893E9</v>
      </c>
      <c r="S540" s="15">
        <v>9.356211644E9</v>
      </c>
      <c r="T540" s="15" t="s">
        <v>15348</v>
      </c>
      <c r="U540" s="15" t="s">
        <v>15349</v>
      </c>
      <c r="V540" s="15" t="s">
        <v>15350</v>
      </c>
      <c r="W540" s="18"/>
      <c r="X540" s="15">
        <v>93.6</v>
      </c>
      <c r="Y540" s="15" t="s">
        <v>2795</v>
      </c>
      <c r="Z540" s="15">
        <v>8.21</v>
      </c>
      <c r="AA540" s="15">
        <v>8.29</v>
      </c>
      <c r="AB540" s="15" t="s">
        <v>2796</v>
      </c>
      <c r="AC540" s="15" t="s">
        <v>2796</v>
      </c>
      <c r="AD540" s="15" t="s">
        <v>2796</v>
      </c>
      <c r="AE540" s="15" t="s">
        <v>2796</v>
      </c>
      <c r="AF540" s="15">
        <v>8.21</v>
      </c>
      <c r="AG540" s="15">
        <v>8.19</v>
      </c>
      <c r="AH540" s="15">
        <v>75.69</v>
      </c>
      <c r="AI540" s="18"/>
      <c r="AJ540" s="15" t="s">
        <v>2787</v>
      </c>
      <c r="AK540" s="15" t="s">
        <v>2787</v>
      </c>
      <c r="AL540" s="15">
        <v>83.6666</v>
      </c>
      <c r="AM540" s="15">
        <v>92.6666</v>
      </c>
      <c r="AN540" s="15" t="s">
        <v>2797</v>
      </c>
      <c r="AO540" s="15" t="s">
        <v>2796</v>
      </c>
      <c r="AP540" s="15" t="s">
        <v>2796</v>
      </c>
      <c r="AQ540" s="15" t="s">
        <v>15351</v>
      </c>
      <c r="AR540" s="15" t="s">
        <v>15352</v>
      </c>
      <c r="AS540" s="15" t="s">
        <v>5356</v>
      </c>
      <c r="AT540" s="18"/>
      <c r="AU540" s="15" t="s">
        <v>15353</v>
      </c>
      <c r="AV540" s="18"/>
      <c r="AW540" s="15" t="s">
        <v>15354</v>
      </c>
      <c r="AX540" s="18"/>
      <c r="AY540" s="15" t="s">
        <v>15355</v>
      </c>
      <c r="AZ540" s="15" t="s">
        <v>5287</v>
      </c>
      <c r="BA540" s="15" t="s">
        <v>2899</v>
      </c>
      <c r="BB540" s="15" t="s">
        <v>5673</v>
      </c>
      <c r="BC540" s="15" t="s">
        <v>3686</v>
      </c>
      <c r="BD540" s="15" t="s">
        <v>3393</v>
      </c>
      <c r="BE540" s="15" t="s">
        <v>2796</v>
      </c>
      <c r="BF540" s="15" t="s">
        <v>15356</v>
      </c>
      <c r="BG540" s="18"/>
      <c r="BH540" s="18"/>
      <c r="BI540" s="15" t="s">
        <v>15357</v>
      </c>
      <c r="BJ540" s="19" t="s">
        <v>15358</v>
      </c>
      <c r="BK540" s="19" t="s">
        <v>15359</v>
      </c>
      <c r="BL540" s="18"/>
      <c r="BM540" s="18"/>
      <c r="BN540" s="18"/>
      <c r="BO540" s="19" t="s">
        <v>15360</v>
      </c>
      <c r="BP540" s="18"/>
      <c r="BQ540" s="15" t="s">
        <v>1321</v>
      </c>
      <c r="BR540" s="18"/>
      <c r="BS540" s="18"/>
      <c r="BT540" s="18"/>
      <c r="BU540" s="18"/>
      <c r="BV540" s="18"/>
      <c r="BW540" s="15" t="s">
        <v>15361</v>
      </c>
      <c r="BX540" s="18"/>
      <c r="BY540" s="18" t="str">
        <f t="shared" si="107"/>
        <v>MECH</v>
      </c>
      <c r="BZ540" s="18" t="str">
        <f t="shared" si="100"/>
        <v/>
      </c>
      <c r="CA540" s="18" t="str">
        <f t="shared" si="101"/>
        <v/>
      </c>
      <c r="CB540" s="15" t="s">
        <v>2908</v>
      </c>
      <c r="CC540" s="15" t="s">
        <v>2908</v>
      </c>
      <c r="CD540" s="25" t="s">
        <v>2797</v>
      </c>
      <c r="CE540" s="18"/>
      <c r="CF540" s="18"/>
      <c r="CG540" s="18"/>
    </row>
    <row r="541" ht="18.75" hidden="1" customHeight="1">
      <c r="A541" s="14">
        <v>44742.82256975694</v>
      </c>
      <c r="B541" s="15" t="s">
        <v>1464</v>
      </c>
      <c r="C541" s="15">
        <v>2.20200007E8</v>
      </c>
      <c r="D541" s="15" t="str">
        <f>IFERROR(__xludf.DUMMYFUNCTION("QUERY(TY_ALL_2023_Batch!$A$1:$E$824, ""SELECT E WHERE C='""&amp;B541&amp;""'"", 0)"),"MECH")</f>
        <v>MECH</v>
      </c>
      <c r="E541" s="15" t="s">
        <v>15362</v>
      </c>
      <c r="F541" s="15" t="s">
        <v>10821</v>
      </c>
      <c r="G541" s="15" t="s">
        <v>15363</v>
      </c>
      <c r="H541" s="15" t="s">
        <v>2785</v>
      </c>
      <c r="I541" s="17">
        <v>37081.0</v>
      </c>
      <c r="J541" s="15">
        <v>2020.0</v>
      </c>
      <c r="K541" s="15" t="s">
        <v>2941</v>
      </c>
      <c r="L541" s="15" t="s">
        <v>2787</v>
      </c>
      <c r="M541" s="18"/>
      <c r="N541" s="15" t="s">
        <v>15364</v>
      </c>
      <c r="O541" s="15" t="s">
        <v>1464</v>
      </c>
      <c r="P541" s="19" t="s">
        <v>15365</v>
      </c>
      <c r="Q541" s="15">
        <v>8.550984066E9</v>
      </c>
      <c r="R541" s="15">
        <v>8.550984066E9</v>
      </c>
      <c r="S541" s="15">
        <v>9.130329068E9</v>
      </c>
      <c r="T541" s="15" t="s">
        <v>15366</v>
      </c>
      <c r="U541" s="15" t="s">
        <v>15367</v>
      </c>
      <c r="V541" s="15" t="s">
        <v>15368</v>
      </c>
      <c r="W541" s="15" t="s">
        <v>15369</v>
      </c>
      <c r="X541" s="15">
        <v>85.0</v>
      </c>
      <c r="Y541" s="15" t="s">
        <v>2948</v>
      </c>
      <c r="Z541" s="15">
        <v>8.33</v>
      </c>
      <c r="AA541" s="15">
        <v>8.64</v>
      </c>
      <c r="AB541" s="15" t="s">
        <v>2796</v>
      </c>
      <c r="AC541" s="15" t="s">
        <v>2796</v>
      </c>
      <c r="AD541" s="15" t="s">
        <v>2796</v>
      </c>
      <c r="AE541" s="15" t="s">
        <v>2796</v>
      </c>
      <c r="AF541" s="18"/>
      <c r="AG541" s="18"/>
      <c r="AH541" s="18"/>
      <c r="AI541" s="15">
        <v>92.51</v>
      </c>
      <c r="AJ541" s="15" t="s">
        <v>2787</v>
      </c>
      <c r="AK541" s="15" t="s">
        <v>2787</v>
      </c>
      <c r="AL541" s="18"/>
      <c r="AM541" s="15">
        <v>320.0</v>
      </c>
      <c r="AN541" s="15" t="s">
        <v>2797</v>
      </c>
      <c r="AO541" s="18"/>
      <c r="AP541" s="18"/>
      <c r="AQ541" s="15" t="s">
        <v>15370</v>
      </c>
      <c r="AR541" s="15" t="s">
        <v>15371</v>
      </c>
      <c r="AS541" s="15" t="s">
        <v>15372</v>
      </c>
      <c r="AT541" s="18"/>
      <c r="AU541" s="15" t="s">
        <v>2796</v>
      </c>
      <c r="AV541" s="15" t="s">
        <v>15373</v>
      </c>
      <c r="AW541" s="15" t="s">
        <v>15374</v>
      </c>
      <c r="AX541" s="15" t="s">
        <v>15375</v>
      </c>
      <c r="AY541" s="15" t="s">
        <v>15376</v>
      </c>
      <c r="AZ541" s="15" t="s">
        <v>8440</v>
      </c>
      <c r="BA541" s="15" t="s">
        <v>2839</v>
      </c>
      <c r="BB541" s="15" t="s">
        <v>2807</v>
      </c>
      <c r="BC541" s="15" t="s">
        <v>15377</v>
      </c>
      <c r="BD541" s="15" t="s">
        <v>2842</v>
      </c>
      <c r="BE541" s="15" t="s">
        <v>15378</v>
      </c>
      <c r="BF541" s="15" t="s">
        <v>15379</v>
      </c>
      <c r="BG541" s="18"/>
      <c r="BH541" s="15" t="s">
        <v>15380</v>
      </c>
      <c r="BI541" s="15" t="s">
        <v>15381</v>
      </c>
      <c r="BJ541" s="19" t="s">
        <v>15382</v>
      </c>
      <c r="BK541" s="19" t="s">
        <v>15383</v>
      </c>
      <c r="BL541" s="18"/>
      <c r="BM541" s="18"/>
      <c r="BN541" s="19" t="s">
        <v>15384</v>
      </c>
      <c r="BO541" s="19" t="s">
        <v>15385</v>
      </c>
      <c r="BP541" s="19" t="s">
        <v>15386</v>
      </c>
      <c r="BQ541" s="15" t="s">
        <v>1321</v>
      </c>
      <c r="BR541" s="19" t="s">
        <v>15387</v>
      </c>
      <c r="BS541" s="19" t="s">
        <v>15388</v>
      </c>
      <c r="BT541" s="19" t="s">
        <v>15389</v>
      </c>
      <c r="BU541" s="26"/>
      <c r="BV541" s="19" t="s">
        <v>15390</v>
      </c>
      <c r="BW541" s="15" t="s">
        <v>15391</v>
      </c>
      <c r="BX541" s="26"/>
      <c r="BY541" s="18" t="str">
        <f t="shared" si="107"/>
        <v>MECH</v>
      </c>
      <c r="BZ541" s="18" t="str">
        <f t="shared" si="100"/>
        <v/>
      </c>
      <c r="CA541" s="24" t="str">
        <f t="shared" si="101"/>
        <v>https://drive.google.com/open?id=1g8OgMlBOzswkf2TUxI0HnyoGb4OcWPOv</v>
      </c>
      <c r="CB541" s="15" t="s">
        <v>2908</v>
      </c>
      <c r="CC541" s="15" t="s">
        <v>2908</v>
      </c>
      <c r="CD541" s="25" t="s">
        <v>2787</v>
      </c>
      <c r="CE541" s="18"/>
      <c r="CF541" s="18"/>
      <c r="CG541" s="18"/>
    </row>
    <row r="542" ht="18.75" hidden="1" customHeight="1">
      <c r="A542" s="14">
        <v>44775.65372420139</v>
      </c>
      <c r="B542" s="15" t="s">
        <v>1335</v>
      </c>
      <c r="C542" s="16" t="s">
        <v>15392</v>
      </c>
      <c r="D542" s="15" t="str">
        <f>IFERROR(__xludf.DUMMYFUNCTION("QUERY(TY_ALL_2023_Batch!$A$1:$E$824, ""SELECT E WHERE C='""&amp;B542&amp;""'"", 0)"),"MECH")</f>
        <v>MECH</v>
      </c>
      <c r="E542" s="15" t="s">
        <v>6794</v>
      </c>
      <c r="F542" s="15" t="s">
        <v>15393</v>
      </c>
      <c r="G542" s="15" t="s">
        <v>15394</v>
      </c>
      <c r="H542" s="15" t="s">
        <v>2785</v>
      </c>
      <c r="I542" s="17">
        <v>37167.0</v>
      </c>
      <c r="J542" s="15">
        <v>2020.0</v>
      </c>
      <c r="K542" s="15" t="s">
        <v>2941</v>
      </c>
      <c r="L542" s="15" t="s">
        <v>2787</v>
      </c>
      <c r="M542" s="18"/>
      <c r="N542" s="15" t="s">
        <v>15395</v>
      </c>
      <c r="O542" s="15" t="s">
        <v>1335</v>
      </c>
      <c r="P542" s="19" t="s">
        <v>15396</v>
      </c>
      <c r="Q542" s="15">
        <v>8.329633566E9</v>
      </c>
      <c r="R542" s="15">
        <v>8.329633566E9</v>
      </c>
      <c r="S542" s="15">
        <v>8.66840365E9</v>
      </c>
      <c r="T542" s="15" t="s">
        <v>15393</v>
      </c>
      <c r="U542" s="15" t="s">
        <v>15397</v>
      </c>
      <c r="V542" s="15" t="s">
        <v>15398</v>
      </c>
      <c r="W542" s="15" t="s">
        <v>15399</v>
      </c>
      <c r="X542" s="15">
        <v>92.6</v>
      </c>
      <c r="Y542" s="15" t="s">
        <v>2948</v>
      </c>
      <c r="Z542" s="15">
        <v>9.48</v>
      </c>
      <c r="AA542" s="15">
        <v>8.79</v>
      </c>
      <c r="AB542" s="15">
        <v>8.86</v>
      </c>
      <c r="AC542" s="15">
        <v>8.52</v>
      </c>
      <c r="AD542" s="15" t="s">
        <v>2796</v>
      </c>
      <c r="AE542" s="15" t="s">
        <v>2796</v>
      </c>
      <c r="AF542" s="18"/>
      <c r="AG542" s="18"/>
      <c r="AH542" s="18"/>
      <c r="AI542" s="15">
        <v>92.0</v>
      </c>
      <c r="AJ542" s="15" t="s">
        <v>2787</v>
      </c>
      <c r="AK542" s="15" t="s">
        <v>2787</v>
      </c>
      <c r="AL542" s="15">
        <v>565.83</v>
      </c>
      <c r="AM542" s="15">
        <v>593.33</v>
      </c>
      <c r="AN542" s="15" t="s">
        <v>2797</v>
      </c>
      <c r="AO542" s="18"/>
      <c r="AP542" s="18"/>
      <c r="AQ542" s="15" t="s">
        <v>15306</v>
      </c>
      <c r="AR542" s="18"/>
      <c r="AS542" s="15" t="s">
        <v>15400</v>
      </c>
      <c r="AT542" s="18"/>
      <c r="AU542" s="15" t="s">
        <v>15401</v>
      </c>
      <c r="AV542" s="15" t="s">
        <v>15402</v>
      </c>
      <c r="AW542" s="15" t="s">
        <v>15403</v>
      </c>
      <c r="AX542" s="18"/>
      <c r="AY542" s="15" t="s">
        <v>15404</v>
      </c>
      <c r="AZ542" s="15" t="s">
        <v>8440</v>
      </c>
      <c r="BA542" s="15" t="s">
        <v>2870</v>
      </c>
      <c r="BB542" s="15" t="s">
        <v>2807</v>
      </c>
      <c r="BC542" s="15" t="s">
        <v>15405</v>
      </c>
      <c r="BD542" s="15" t="s">
        <v>2807</v>
      </c>
      <c r="BE542" s="15" t="s">
        <v>15406</v>
      </c>
      <c r="BF542" s="15" t="s">
        <v>15407</v>
      </c>
      <c r="BG542" s="18"/>
      <c r="BH542" s="18"/>
      <c r="BI542" s="18"/>
      <c r="BJ542" s="19" t="s">
        <v>15408</v>
      </c>
      <c r="BK542" s="19" t="s">
        <v>15409</v>
      </c>
      <c r="BL542" s="19" t="s">
        <v>15410</v>
      </c>
      <c r="BM542" s="19" t="s">
        <v>15411</v>
      </c>
      <c r="BN542" s="19" t="s">
        <v>15412</v>
      </c>
      <c r="BO542" s="19" t="s">
        <v>15413</v>
      </c>
      <c r="BP542" s="19" t="s">
        <v>15414</v>
      </c>
      <c r="BQ542" s="15" t="s">
        <v>1321</v>
      </c>
      <c r="BR542" s="26"/>
      <c r="BS542" s="26"/>
      <c r="BT542" s="26"/>
      <c r="BU542" s="26"/>
      <c r="BV542" s="26"/>
      <c r="BW542" s="15" t="s">
        <v>9338</v>
      </c>
      <c r="BX542" s="26"/>
      <c r="BY542" s="18" t="str">
        <f t="shared" si="107"/>
        <v>MECH</v>
      </c>
      <c r="BZ542" s="24" t="str">
        <f t="shared" si="100"/>
        <v>https://drive.google.com/open?id=1Y6SIHtLhRuRj9PjiZoARqmxxFmWzdKgr</v>
      </c>
      <c r="CA542" s="24" t="str">
        <f t="shared" si="101"/>
        <v>https://drive.google.com/open?id=1_oYOhNdyrF9vOfTJbM0aMdehG54hof6e</v>
      </c>
      <c r="CB542" s="15" t="s">
        <v>2821</v>
      </c>
      <c r="CC542" s="15" t="s">
        <v>2821</v>
      </c>
      <c r="CD542" s="25" t="s">
        <v>2797</v>
      </c>
      <c r="CE542" s="18"/>
      <c r="CF542" s="18"/>
      <c r="CG542" s="18"/>
    </row>
    <row r="543" ht="18.75" hidden="1" customHeight="1">
      <c r="A543" s="14">
        <v>44742.904198993056</v>
      </c>
      <c r="B543" s="15" t="s">
        <v>2481</v>
      </c>
      <c r="C543" s="16" t="s">
        <v>15415</v>
      </c>
      <c r="D543" s="15" t="str">
        <f>IFERROR(__xludf.DUMMYFUNCTION("QUERY(TY_ALL_2023_Batch!$A$1:$E$824, ""SELECT E WHERE C='""&amp;B543&amp;""'"", 0)"),"MECH")</f>
        <v>MECH</v>
      </c>
      <c r="E543" s="15" t="s">
        <v>15416</v>
      </c>
      <c r="F543" s="15" t="s">
        <v>7177</v>
      </c>
      <c r="G543" s="15" t="s">
        <v>15417</v>
      </c>
      <c r="H543" s="15" t="s">
        <v>2785</v>
      </c>
      <c r="I543" s="17">
        <v>36923.0</v>
      </c>
      <c r="J543" s="15">
        <v>2019.0</v>
      </c>
      <c r="K543" s="15" t="s">
        <v>2786</v>
      </c>
      <c r="L543" s="15" t="s">
        <v>2787</v>
      </c>
      <c r="M543" s="18"/>
      <c r="N543" s="15" t="s">
        <v>15418</v>
      </c>
      <c r="O543" s="15" t="s">
        <v>2481</v>
      </c>
      <c r="P543" s="19" t="s">
        <v>15419</v>
      </c>
      <c r="Q543" s="15">
        <v>9.970283303E9</v>
      </c>
      <c r="R543" s="15">
        <v>9.421149404E9</v>
      </c>
      <c r="S543" s="15">
        <v>9.970283303E9</v>
      </c>
      <c r="T543" s="15" t="s">
        <v>15420</v>
      </c>
      <c r="U543" s="15" t="s">
        <v>15421</v>
      </c>
      <c r="V543" s="15" t="s">
        <v>15422</v>
      </c>
      <c r="W543" s="18"/>
      <c r="X543" s="15">
        <v>74.0</v>
      </c>
      <c r="Y543" s="15" t="s">
        <v>2795</v>
      </c>
      <c r="Z543" s="15">
        <v>9.19</v>
      </c>
      <c r="AA543" s="15">
        <v>8.5</v>
      </c>
      <c r="AB543" s="15" t="s">
        <v>2796</v>
      </c>
      <c r="AC543" s="15" t="s">
        <v>2796</v>
      </c>
      <c r="AD543" s="15" t="s">
        <v>2796</v>
      </c>
      <c r="AE543" s="15" t="s">
        <v>2796</v>
      </c>
      <c r="AF543" s="15">
        <v>8.0</v>
      </c>
      <c r="AG543" s="15">
        <v>9.19</v>
      </c>
      <c r="AH543" s="15">
        <v>71.0</v>
      </c>
      <c r="AI543" s="18"/>
      <c r="AJ543" s="15" t="s">
        <v>2787</v>
      </c>
      <c r="AK543" s="15" t="s">
        <v>2787</v>
      </c>
      <c r="AL543" s="15">
        <v>360.0</v>
      </c>
      <c r="AM543" s="15">
        <v>590.0</v>
      </c>
      <c r="AN543" s="15" t="s">
        <v>2797</v>
      </c>
      <c r="AO543" s="18"/>
      <c r="AP543" s="18"/>
      <c r="AQ543" s="15" t="s">
        <v>15423</v>
      </c>
      <c r="AR543" s="18"/>
      <c r="AS543" s="18"/>
      <c r="AT543" s="18"/>
      <c r="AU543" s="15" t="s">
        <v>15424</v>
      </c>
      <c r="AV543" s="15" t="s">
        <v>15425</v>
      </c>
      <c r="AW543" s="15" t="s">
        <v>15426</v>
      </c>
      <c r="AX543" s="18"/>
      <c r="AY543" s="15" t="s">
        <v>15427</v>
      </c>
      <c r="AZ543" s="15" t="s">
        <v>5287</v>
      </c>
      <c r="BA543" s="15" t="s">
        <v>2870</v>
      </c>
      <c r="BB543" s="15" t="s">
        <v>2807</v>
      </c>
      <c r="BC543" s="15" t="s">
        <v>13774</v>
      </c>
      <c r="BD543" s="15" t="s">
        <v>2807</v>
      </c>
      <c r="BE543" s="15" t="s">
        <v>15428</v>
      </c>
      <c r="BF543" s="18"/>
      <c r="BG543" s="18"/>
      <c r="BH543" s="18"/>
      <c r="BI543" s="18"/>
      <c r="BJ543" s="19" t="s">
        <v>15429</v>
      </c>
      <c r="BK543" s="19" t="s">
        <v>15430</v>
      </c>
      <c r="BL543" s="19" t="s">
        <v>15431</v>
      </c>
      <c r="BM543" s="20" t="s">
        <v>15432</v>
      </c>
      <c r="BN543" s="18"/>
      <c r="BO543" s="19" t="s">
        <v>15433</v>
      </c>
      <c r="BP543" s="18"/>
      <c r="BQ543" s="15" t="s">
        <v>1321</v>
      </c>
      <c r="BR543" s="18"/>
      <c r="BS543" s="18"/>
      <c r="BT543" s="18"/>
      <c r="BU543" s="18"/>
      <c r="BV543" s="18"/>
      <c r="BW543" s="15" t="s">
        <v>15434</v>
      </c>
      <c r="BX543" s="18"/>
      <c r="BY543" s="18" t="str">
        <f t="shared" si="107"/>
        <v>MECH</v>
      </c>
      <c r="BZ543" s="24" t="str">
        <f t="shared" si="100"/>
        <v>https://drive.google.com/open?id=1MkJtJXi3m_dKW7UMfIdqqhCeZsklkM6P</v>
      </c>
      <c r="CA543" s="24" t="str">
        <f t="shared" si="101"/>
        <v>https://drive.google.com/open?id=1etlaPfF2jRleNCZ6GhUEtgjj__ZChhA-</v>
      </c>
      <c r="CB543" s="15" t="s">
        <v>2821</v>
      </c>
      <c r="CC543" s="15" t="s">
        <v>2821</v>
      </c>
      <c r="CD543" s="25" t="s">
        <v>2797</v>
      </c>
      <c r="CE543" s="18"/>
      <c r="CF543" s="18"/>
      <c r="CG543" s="18"/>
    </row>
    <row r="544" ht="18.75" hidden="1" customHeight="1">
      <c r="A544" s="14">
        <v>44741.86676662037</v>
      </c>
      <c r="B544" s="15" t="s">
        <v>2502</v>
      </c>
      <c r="C544" s="16" t="s">
        <v>15435</v>
      </c>
      <c r="D544" s="15" t="str">
        <f>IFERROR(__xludf.DUMMYFUNCTION("QUERY(TY_ALL_2023_Batch!$A$1:$E$824, ""SELECT E WHERE C='""&amp;B544&amp;""'"", 0)"),"MECH")</f>
        <v>MECH</v>
      </c>
      <c r="E544" s="15" t="s">
        <v>15436</v>
      </c>
      <c r="F544" s="15" t="s">
        <v>15437</v>
      </c>
      <c r="G544" s="15" t="s">
        <v>15438</v>
      </c>
      <c r="H544" s="15" t="s">
        <v>2785</v>
      </c>
      <c r="I544" s="17">
        <v>37364.0</v>
      </c>
      <c r="J544" s="15">
        <v>2019.0</v>
      </c>
      <c r="K544" s="15" t="s">
        <v>2786</v>
      </c>
      <c r="L544" s="15" t="s">
        <v>2787</v>
      </c>
      <c r="M544" s="18"/>
      <c r="N544" s="15" t="s">
        <v>15439</v>
      </c>
      <c r="O544" s="15" t="s">
        <v>15440</v>
      </c>
      <c r="P544" s="19" t="s">
        <v>15441</v>
      </c>
      <c r="Q544" s="15">
        <v>9.730746501E9</v>
      </c>
      <c r="R544" s="15">
        <v>9.730746501E9</v>
      </c>
      <c r="S544" s="15">
        <v>9.075944133E9</v>
      </c>
      <c r="T544" s="15" t="s">
        <v>15442</v>
      </c>
      <c r="U544" s="15" t="s">
        <v>3409</v>
      </c>
      <c r="V544" s="15" t="s">
        <v>15443</v>
      </c>
      <c r="W544" s="15" t="s">
        <v>15444</v>
      </c>
      <c r="X544" s="15">
        <v>87.8</v>
      </c>
      <c r="Y544" s="15" t="s">
        <v>2795</v>
      </c>
      <c r="Z544" s="15">
        <v>8.38</v>
      </c>
      <c r="AA544" s="15">
        <v>8.57</v>
      </c>
      <c r="AB544" s="15" t="s">
        <v>2796</v>
      </c>
      <c r="AC544" s="15" t="s">
        <v>2796</v>
      </c>
      <c r="AD544" s="15" t="s">
        <v>2796</v>
      </c>
      <c r="AE544" s="15" t="s">
        <v>2796</v>
      </c>
      <c r="AF544" s="15">
        <v>7.68</v>
      </c>
      <c r="AG544" s="15">
        <v>7.9</v>
      </c>
      <c r="AH544" s="15">
        <v>68.15</v>
      </c>
      <c r="AI544" s="18"/>
      <c r="AJ544" s="15" t="s">
        <v>2787</v>
      </c>
      <c r="AK544" s="15" t="s">
        <v>2787</v>
      </c>
      <c r="AL544" s="15">
        <v>618.0</v>
      </c>
      <c r="AM544" s="15">
        <v>583.0</v>
      </c>
      <c r="AN544" s="15" t="s">
        <v>2797</v>
      </c>
      <c r="AO544" s="18"/>
      <c r="AP544" s="18"/>
      <c r="AQ544" s="15" t="s">
        <v>6381</v>
      </c>
      <c r="AR544" s="18"/>
      <c r="AS544" s="15" t="s">
        <v>15445</v>
      </c>
      <c r="AT544" s="18"/>
      <c r="AU544" s="15" t="s">
        <v>15446</v>
      </c>
      <c r="AV544" s="15" t="s">
        <v>15447</v>
      </c>
      <c r="AW544" s="15" t="s">
        <v>15448</v>
      </c>
      <c r="AX544" s="18"/>
      <c r="AY544" s="15" t="s">
        <v>15449</v>
      </c>
      <c r="AZ544" s="15" t="s">
        <v>9648</v>
      </c>
      <c r="BA544" s="15" t="s">
        <v>2899</v>
      </c>
      <c r="BB544" s="15" t="s">
        <v>2807</v>
      </c>
      <c r="BC544" s="15" t="s">
        <v>13150</v>
      </c>
      <c r="BD544" s="15" t="s">
        <v>2807</v>
      </c>
      <c r="BE544" s="15" t="s">
        <v>15450</v>
      </c>
      <c r="BF544" s="18"/>
      <c r="BG544" s="18"/>
      <c r="BH544" s="15" t="s">
        <v>15447</v>
      </c>
      <c r="BI544" s="15" t="s">
        <v>15451</v>
      </c>
      <c r="BJ544" s="19" t="s">
        <v>15452</v>
      </c>
      <c r="BK544" s="19" t="s">
        <v>15453</v>
      </c>
      <c r="BL544" s="19" t="s">
        <v>15454</v>
      </c>
      <c r="BM544" s="19" t="s">
        <v>15455</v>
      </c>
      <c r="BN544" s="19" t="s">
        <v>15456</v>
      </c>
      <c r="BO544" s="19" t="s">
        <v>15457</v>
      </c>
      <c r="BP544" s="18"/>
      <c r="BQ544" s="15" t="s">
        <v>1321</v>
      </c>
      <c r="BR544" s="18"/>
      <c r="BS544" s="19" t="s">
        <v>15458</v>
      </c>
      <c r="BT544" s="18"/>
      <c r="BU544" s="18"/>
      <c r="BV544" s="18"/>
      <c r="BW544" s="15" t="s">
        <v>15459</v>
      </c>
      <c r="BX544" s="18"/>
      <c r="BY544" s="18" t="str">
        <f t="shared" si="107"/>
        <v>MECH</v>
      </c>
      <c r="BZ544" s="24" t="str">
        <f t="shared" si="100"/>
        <v>https://drive.google.com/open?id=1ElgBYz-6fWX738qD0BorDUUxw30VT3xl</v>
      </c>
      <c r="CA544" s="24" t="str">
        <f t="shared" si="101"/>
        <v>https://drive.google.com/open?id=1-ckoJ9G9ZQCUxQotR6ApZL-aYBJ9iLui</v>
      </c>
      <c r="CB544" s="15" t="s">
        <v>2821</v>
      </c>
      <c r="CC544" s="15" t="s">
        <v>2821</v>
      </c>
      <c r="CD544" s="25" t="s">
        <v>2797</v>
      </c>
      <c r="CE544" s="18"/>
      <c r="CF544" s="18"/>
      <c r="CG544" s="18"/>
    </row>
    <row r="545" ht="18.75" hidden="1" customHeight="1">
      <c r="A545" s="14">
        <v>44741.85430795139</v>
      </c>
      <c r="B545" s="15" t="s">
        <v>2400</v>
      </c>
      <c r="C545" s="16" t="s">
        <v>15460</v>
      </c>
      <c r="D545" s="15" t="str">
        <f>IFERROR(__xludf.DUMMYFUNCTION("QUERY(TY_ALL_2023_Batch!$A$1:$E$824, ""SELECT E WHERE C='""&amp;B545&amp;""'"", 0)"),"MECH")</f>
        <v>MECH</v>
      </c>
      <c r="E545" s="15" t="s">
        <v>15461</v>
      </c>
      <c r="F545" s="15" t="s">
        <v>15462</v>
      </c>
      <c r="G545" s="15" t="s">
        <v>15463</v>
      </c>
      <c r="H545" s="15" t="s">
        <v>2785</v>
      </c>
      <c r="I545" s="17">
        <v>36640.0</v>
      </c>
      <c r="J545" s="15">
        <v>2019.0</v>
      </c>
      <c r="K545" s="15" t="s">
        <v>2786</v>
      </c>
      <c r="L545" s="15" t="s">
        <v>2787</v>
      </c>
      <c r="M545" s="18"/>
      <c r="N545" s="15" t="s">
        <v>15464</v>
      </c>
      <c r="O545" s="15" t="s">
        <v>15465</v>
      </c>
      <c r="P545" s="19" t="s">
        <v>15466</v>
      </c>
      <c r="Q545" s="15">
        <v>8.080181641E9</v>
      </c>
      <c r="R545" s="15">
        <v>8.080181641E9</v>
      </c>
      <c r="S545" s="15">
        <v>9.850020901E9</v>
      </c>
      <c r="T545" s="15" t="s">
        <v>15462</v>
      </c>
      <c r="U545" s="15" t="s">
        <v>3677</v>
      </c>
      <c r="V545" s="15" t="s">
        <v>15467</v>
      </c>
      <c r="W545" s="15" t="s">
        <v>15468</v>
      </c>
      <c r="X545" s="15">
        <v>93.4</v>
      </c>
      <c r="Y545" s="15" t="s">
        <v>2795</v>
      </c>
      <c r="Z545" s="15">
        <v>8.71</v>
      </c>
      <c r="AA545" s="15">
        <v>9.05</v>
      </c>
      <c r="AB545" s="15" t="s">
        <v>2796</v>
      </c>
      <c r="AC545" s="15" t="s">
        <v>2796</v>
      </c>
      <c r="AD545" s="15" t="s">
        <v>2796</v>
      </c>
      <c r="AE545" s="15" t="s">
        <v>2796</v>
      </c>
      <c r="AF545" s="15">
        <v>8.42</v>
      </c>
      <c r="AG545" s="15">
        <v>9.0</v>
      </c>
      <c r="AH545" s="15">
        <v>70.62</v>
      </c>
      <c r="AI545" s="18"/>
      <c r="AJ545" s="15" t="s">
        <v>2787</v>
      </c>
      <c r="AK545" s="15" t="s">
        <v>2787</v>
      </c>
      <c r="AL545" s="15">
        <v>640.0</v>
      </c>
      <c r="AM545" s="15">
        <v>592.0</v>
      </c>
      <c r="AN545" s="15" t="s">
        <v>2797</v>
      </c>
      <c r="AO545" s="18"/>
      <c r="AP545" s="18"/>
      <c r="AQ545" s="15" t="s">
        <v>15469</v>
      </c>
      <c r="AR545" s="15" t="s">
        <v>15470</v>
      </c>
      <c r="AS545" s="18"/>
      <c r="AT545" s="18"/>
      <c r="AU545" s="18"/>
      <c r="AV545" s="15" t="s">
        <v>15471</v>
      </c>
      <c r="AW545" s="15" t="s">
        <v>15472</v>
      </c>
      <c r="AX545" s="18"/>
      <c r="AY545" s="15" t="s">
        <v>15473</v>
      </c>
      <c r="AZ545" s="15" t="s">
        <v>5287</v>
      </c>
      <c r="BA545" s="15" t="s">
        <v>2899</v>
      </c>
      <c r="BB545" s="15" t="s">
        <v>2807</v>
      </c>
      <c r="BC545" s="15" t="s">
        <v>13774</v>
      </c>
      <c r="BD545" s="15" t="s">
        <v>2807</v>
      </c>
      <c r="BE545" s="15" t="s">
        <v>2796</v>
      </c>
      <c r="BF545" s="18"/>
      <c r="BG545" s="18"/>
      <c r="BH545" s="15" t="s">
        <v>6776</v>
      </c>
      <c r="BI545" s="15" t="s">
        <v>15474</v>
      </c>
      <c r="BJ545" s="19" t="s">
        <v>15475</v>
      </c>
      <c r="BK545" s="19" t="s">
        <v>15476</v>
      </c>
      <c r="BL545" s="19" t="s">
        <v>15477</v>
      </c>
      <c r="BM545" s="19" t="s">
        <v>15478</v>
      </c>
      <c r="BN545" s="19" t="s">
        <v>15479</v>
      </c>
      <c r="BO545" s="19" t="s">
        <v>15480</v>
      </c>
      <c r="BP545" s="19" t="s">
        <v>15481</v>
      </c>
      <c r="BQ545" s="15" t="s">
        <v>1321</v>
      </c>
      <c r="BR545" s="26"/>
      <c r="BS545" s="26"/>
      <c r="BT545" s="26"/>
      <c r="BU545" s="26"/>
      <c r="BV545" s="26"/>
      <c r="BW545" s="15" t="s">
        <v>15482</v>
      </c>
      <c r="BX545" s="26"/>
      <c r="BY545" s="18" t="str">
        <f t="shared" si="107"/>
        <v>MECH</v>
      </c>
      <c r="BZ545" s="24" t="str">
        <f t="shared" si="100"/>
        <v>https://drive.google.com/open?id=1GZF_DVGwDDmVHxbkhwR9o5gnUPIu_0NC</v>
      </c>
      <c r="CA545" s="24" t="str">
        <f t="shared" si="101"/>
        <v>https://drive.google.com/open?id=1CTdewbowJ9fLCSGtOOEtycEvNkVJT66z</v>
      </c>
      <c r="CB545" s="15" t="s">
        <v>2821</v>
      </c>
      <c r="CC545" s="15" t="s">
        <v>2821</v>
      </c>
      <c r="CD545" s="25" t="s">
        <v>2797</v>
      </c>
      <c r="CE545" s="18"/>
      <c r="CF545" s="18"/>
      <c r="CG545" s="18"/>
    </row>
    <row r="546" ht="18.75" hidden="1" customHeight="1">
      <c r="A546" s="14">
        <v>44747.787944270836</v>
      </c>
      <c r="B546" s="15" t="s">
        <v>2376</v>
      </c>
      <c r="C546" s="16" t="s">
        <v>15483</v>
      </c>
      <c r="D546" s="15" t="str">
        <f>IFERROR(__xludf.DUMMYFUNCTION("QUERY(TY_ALL_2023_Batch!$A$1:$E$824, ""SELECT E WHERE C='""&amp;B546&amp;""'"", 0)"),"MECH")</f>
        <v>MECH</v>
      </c>
      <c r="E546" s="15" t="s">
        <v>8989</v>
      </c>
      <c r="F546" s="15" t="s">
        <v>3247</v>
      </c>
      <c r="G546" s="15" t="s">
        <v>5661</v>
      </c>
      <c r="H546" s="15" t="s">
        <v>2826</v>
      </c>
      <c r="I546" s="17">
        <v>37247.0</v>
      </c>
      <c r="J546" s="15">
        <v>2019.0</v>
      </c>
      <c r="K546" s="15" t="s">
        <v>2786</v>
      </c>
      <c r="L546" s="15" t="s">
        <v>2787</v>
      </c>
      <c r="M546" s="18"/>
      <c r="N546" s="15" t="s">
        <v>15484</v>
      </c>
      <c r="O546" s="15" t="s">
        <v>2376</v>
      </c>
      <c r="P546" s="19" t="s">
        <v>15485</v>
      </c>
      <c r="Q546" s="15">
        <v>9.309890006E9</v>
      </c>
      <c r="R546" s="15">
        <v>9.309890006E9</v>
      </c>
      <c r="S546" s="15">
        <v>9.309890006E9</v>
      </c>
      <c r="T546" s="15" t="s">
        <v>15486</v>
      </c>
      <c r="U546" s="15" t="s">
        <v>15487</v>
      </c>
      <c r="V546" s="15" t="s">
        <v>15488</v>
      </c>
      <c r="W546" s="15" t="s">
        <v>15489</v>
      </c>
      <c r="X546" s="15">
        <v>91.4</v>
      </c>
      <c r="Y546" s="15" t="s">
        <v>2795</v>
      </c>
      <c r="Z546" s="15">
        <v>9.48</v>
      </c>
      <c r="AA546" s="15">
        <v>9.38</v>
      </c>
      <c r="AB546" s="15" t="s">
        <v>2796</v>
      </c>
      <c r="AC546" s="15" t="s">
        <v>2796</v>
      </c>
      <c r="AD546" s="15" t="s">
        <v>2796</v>
      </c>
      <c r="AE546" s="15" t="s">
        <v>2796</v>
      </c>
      <c r="AF546" s="15">
        <v>8.63</v>
      </c>
      <c r="AG546" s="15">
        <v>9.32</v>
      </c>
      <c r="AH546" s="15">
        <v>84.62</v>
      </c>
      <c r="AI546" s="18"/>
      <c r="AJ546" s="15" t="s">
        <v>2787</v>
      </c>
      <c r="AK546" s="15" t="s">
        <v>2787</v>
      </c>
      <c r="AL546" s="15">
        <v>605.0</v>
      </c>
      <c r="AM546" s="15">
        <v>687.0</v>
      </c>
      <c r="AN546" s="15" t="s">
        <v>2797</v>
      </c>
      <c r="AO546" s="15" t="s">
        <v>3313</v>
      </c>
      <c r="AP546" s="15" t="s">
        <v>3313</v>
      </c>
      <c r="AQ546" s="15" t="s">
        <v>5282</v>
      </c>
      <c r="AR546" s="15" t="s">
        <v>15490</v>
      </c>
      <c r="AS546" s="15" t="s">
        <v>3313</v>
      </c>
      <c r="AT546" s="15" t="s">
        <v>3313</v>
      </c>
      <c r="AU546" s="15" t="s">
        <v>15491</v>
      </c>
      <c r="AV546" s="15" t="s">
        <v>15492</v>
      </c>
      <c r="AW546" s="15" t="s">
        <v>15493</v>
      </c>
      <c r="AX546" s="15" t="s">
        <v>3313</v>
      </c>
      <c r="AY546" s="15" t="s">
        <v>15494</v>
      </c>
      <c r="AZ546" s="15" t="s">
        <v>5335</v>
      </c>
      <c r="BA546" s="15" t="s">
        <v>15495</v>
      </c>
      <c r="BB546" s="15" t="s">
        <v>2807</v>
      </c>
      <c r="BC546" s="15" t="s">
        <v>15496</v>
      </c>
      <c r="BD546" s="15" t="s">
        <v>2842</v>
      </c>
      <c r="BE546" s="15" t="s">
        <v>15497</v>
      </c>
      <c r="BF546" s="15" t="s">
        <v>15498</v>
      </c>
      <c r="BG546" s="15" t="s">
        <v>3313</v>
      </c>
      <c r="BH546" s="15" t="s">
        <v>3313</v>
      </c>
      <c r="BI546" s="15" t="s">
        <v>15499</v>
      </c>
      <c r="BJ546" s="19" t="s">
        <v>15500</v>
      </c>
      <c r="BK546" s="19" t="s">
        <v>15501</v>
      </c>
      <c r="BL546" s="19" t="s">
        <v>15502</v>
      </c>
      <c r="BM546" s="19" t="s">
        <v>15503</v>
      </c>
      <c r="BN546" s="19" t="s">
        <v>15504</v>
      </c>
      <c r="BO546" s="19" t="s">
        <v>15505</v>
      </c>
      <c r="BP546" s="19" t="s">
        <v>15506</v>
      </c>
      <c r="BQ546" s="15" t="s">
        <v>1321</v>
      </c>
      <c r="BR546" s="19" t="s">
        <v>15507</v>
      </c>
      <c r="BS546" s="19" t="s">
        <v>15508</v>
      </c>
      <c r="BT546" s="19" t="s">
        <v>15509</v>
      </c>
      <c r="BU546" s="19" t="s">
        <v>15510</v>
      </c>
      <c r="BV546" s="19" t="s">
        <v>15511</v>
      </c>
      <c r="BW546" s="15" t="s">
        <v>15512</v>
      </c>
      <c r="BX546" s="26"/>
      <c r="BY546" s="18" t="str">
        <f t="shared" si="107"/>
        <v>MECH</v>
      </c>
      <c r="BZ546" s="24" t="str">
        <f t="shared" si="100"/>
        <v>https://drive.google.com/open?id=1jrhrnEoAO1_t-DfpUODssLopA3y7Uw2j</v>
      </c>
      <c r="CA546" s="24" t="str">
        <f t="shared" si="101"/>
        <v>https://drive.google.com/open?id=1Ttk0cjIgryKYzihQbzrESotBa6ELqXJF</v>
      </c>
      <c r="CB546" s="15" t="s">
        <v>2821</v>
      </c>
      <c r="CC546" s="15" t="s">
        <v>2821</v>
      </c>
      <c r="CD546" s="25" t="s">
        <v>2787</v>
      </c>
      <c r="CE546" s="18"/>
      <c r="CF546" s="18"/>
      <c r="CG546" s="18"/>
    </row>
    <row r="547" ht="18.75" hidden="1" customHeight="1">
      <c r="A547" s="14">
        <v>44736.429898981485</v>
      </c>
      <c r="B547" s="15" t="s">
        <v>1557</v>
      </c>
      <c r="C547" s="16" t="s">
        <v>15513</v>
      </c>
      <c r="D547" s="15" t="str">
        <f>IFERROR(__xludf.DUMMYFUNCTION("QUERY(TY_ALL_2023_Batch!$A$1:$E$824, ""SELECT E WHERE C='""&amp;B547&amp;""'"", 0)"),"MECH")</f>
        <v>MECH</v>
      </c>
      <c r="E547" s="15" t="s">
        <v>15514</v>
      </c>
      <c r="F547" s="15" t="s">
        <v>15515</v>
      </c>
      <c r="G547" s="15" t="s">
        <v>15516</v>
      </c>
      <c r="H547" s="15" t="s">
        <v>2785</v>
      </c>
      <c r="I547" s="17">
        <v>36958.0</v>
      </c>
      <c r="J547" s="15">
        <v>2020.0</v>
      </c>
      <c r="K547" s="15" t="s">
        <v>2941</v>
      </c>
      <c r="L547" s="15" t="s">
        <v>2787</v>
      </c>
      <c r="M547" s="18"/>
      <c r="N547" s="15" t="s">
        <v>15517</v>
      </c>
      <c r="O547" s="15" t="s">
        <v>1557</v>
      </c>
      <c r="P547" s="19" t="s">
        <v>15518</v>
      </c>
      <c r="Q547" s="15">
        <v>8.007942338E9</v>
      </c>
      <c r="R547" s="15">
        <v>8.007932338E9</v>
      </c>
      <c r="S547" s="15">
        <v>9.021928163E9</v>
      </c>
      <c r="T547" s="15" t="s">
        <v>15519</v>
      </c>
      <c r="U547" s="15" t="s">
        <v>15520</v>
      </c>
      <c r="V547" s="15" t="s">
        <v>15521</v>
      </c>
      <c r="W547" s="15" t="s">
        <v>15521</v>
      </c>
      <c r="X547" s="15">
        <v>88.8</v>
      </c>
      <c r="Y547" s="15" t="s">
        <v>2948</v>
      </c>
      <c r="Z547" s="15">
        <v>9.14</v>
      </c>
      <c r="AA547" s="15">
        <v>8.86</v>
      </c>
      <c r="AB547" s="15" t="s">
        <v>2796</v>
      </c>
      <c r="AC547" s="15" t="s">
        <v>2796</v>
      </c>
      <c r="AD547" s="15" t="s">
        <v>2796</v>
      </c>
      <c r="AE547" s="15" t="s">
        <v>2796</v>
      </c>
      <c r="AF547" s="18"/>
      <c r="AG547" s="18"/>
      <c r="AH547" s="18"/>
      <c r="AI547" s="15">
        <v>84.87</v>
      </c>
      <c r="AJ547" s="15" t="s">
        <v>2787</v>
      </c>
      <c r="AK547" s="15" t="s">
        <v>2787</v>
      </c>
      <c r="AL547" s="15">
        <v>610.0</v>
      </c>
      <c r="AM547" s="15">
        <v>496.66</v>
      </c>
      <c r="AN547" s="15" t="s">
        <v>2797</v>
      </c>
      <c r="AO547" s="15" t="s">
        <v>2796</v>
      </c>
      <c r="AP547" s="15" t="s">
        <v>2796</v>
      </c>
      <c r="AQ547" s="15" t="s">
        <v>15522</v>
      </c>
      <c r="AR547" s="15" t="s">
        <v>15523</v>
      </c>
      <c r="AS547" s="15" t="s">
        <v>15524</v>
      </c>
      <c r="AT547" s="18"/>
      <c r="AU547" s="15" t="s">
        <v>2796</v>
      </c>
      <c r="AV547" s="15" t="s">
        <v>15525</v>
      </c>
      <c r="AW547" s="15" t="s">
        <v>15526</v>
      </c>
      <c r="AX547" s="18"/>
      <c r="AY547" s="15" t="s">
        <v>15527</v>
      </c>
      <c r="AZ547" s="15" t="s">
        <v>9648</v>
      </c>
      <c r="BA547" s="15" t="s">
        <v>2899</v>
      </c>
      <c r="BB547" s="15" t="s">
        <v>2807</v>
      </c>
      <c r="BC547" s="15" t="s">
        <v>13774</v>
      </c>
      <c r="BD547" s="15" t="s">
        <v>2842</v>
      </c>
      <c r="BE547" s="15" t="s">
        <v>15528</v>
      </c>
      <c r="BF547" s="18"/>
      <c r="BG547" s="18"/>
      <c r="BH547" s="15" t="s">
        <v>15529</v>
      </c>
      <c r="BI547" s="18"/>
      <c r="BJ547" s="19" t="s">
        <v>15530</v>
      </c>
      <c r="BK547" s="19" t="s">
        <v>15531</v>
      </c>
      <c r="BL547" s="19" t="s">
        <v>15532</v>
      </c>
      <c r="BM547" s="19" t="s">
        <v>15533</v>
      </c>
      <c r="BN547" s="19" t="s">
        <v>15534</v>
      </c>
      <c r="BO547" s="19" t="s">
        <v>15535</v>
      </c>
      <c r="BP547" s="18"/>
      <c r="BQ547" s="15" t="s">
        <v>1321</v>
      </c>
      <c r="BR547" s="26"/>
      <c r="BS547" s="26"/>
      <c r="BT547" s="26"/>
      <c r="BU547" s="26"/>
      <c r="BV547" s="26"/>
      <c r="BW547" s="26"/>
      <c r="BX547" s="26"/>
      <c r="BY547" s="18" t="str">
        <f t="shared" si="107"/>
        <v>MECH</v>
      </c>
      <c r="BZ547" s="24" t="str">
        <f t="shared" si="100"/>
        <v>https://drive.google.com/open?id=1OYh9USurnhCqo9tcKft64sDyh5hAOacq</v>
      </c>
      <c r="CA547" s="24" t="str">
        <f t="shared" si="101"/>
        <v>https://drive.google.com/open?id=16_qU5NpGJRqyIKim-M7keAyuU3Q_C-P-</v>
      </c>
      <c r="CB547" s="15" t="s">
        <v>2821</v>
      </c>
      <c r="CC547" s="15" t="s">
        <v>2821</v>
      </c>
      <c r="CD547" s="25" t="s">
        <v>2797</v>
      </c>
      <c r="CE547" s="18"/>
      <c r="CF547" s="18"/>
      <c r="CG547" s="18"/>
    </row>
    <row r="548" ht="18.75" hidden="1" customHeight="1">
      <c r="A548" s="14">
        <v>44742.96027553241</v>
      </c>
      <c r="B548" s="15" t="s">
        <v>2559</v>
      </c>
      <c r="C548" s="16" t="s">
        <v>15536</v>
      </c>
      <c r="D548" s="15" t="str">
        <f>IFERROR(__xludf.DUMMYFUNCTION("QUERY(TY_ALL_2023_Batch!$A$1:$E$824, ""SELECT E WHERE C='""&amp;B548&amp;""'"", 0)"),"MECH")</f>
        <v>MECH</v>
      </c>
      <c r="E548" s="15" t="s">
        <v>15537</v>
      </c>
      <c r="F548" s="15" t="s">
        <v>15538</v>
      </c>
      <c r="G548" s="15" t="s">
        <v>15539</v>
      </c>
      <c r="H548" s="15" t="s">
        <v>2785</v>
      </c>
      <c r="I548" s="17">
        <v>36878.0</v>
      </c>
      <c r="J548" s="15">
        <v>2019.0</v>
      </c>
      <c r="K548" s="15" t="s">
        <v>2786</v>
      </c>
      <c r="L548" s="15" t="s">
        <v>2787</v>
      </c>
      <c r="M548" s="18"/>
      <c r="N548" s="15" t="s">
        <v>15540</v>
      </c>
      <c r="O548" s="15" t="s">
        <v>2559</v>
      </c>
      <c r="P548" s="19" t="s">
        <v>15541</v>
      </c>
      <c r="Q548" s="15">
        <v>9.730232556E9</v>
      </c>
      <c r="R548" s="15">
        <v>9.730232556E9</v>
      </c>
      <c r="S548" s="15">
        <v>9.673737188E9</v>
      </c>
      <c r="T548" s="15" t="s">
        <v>15542</v>
      </c>
      <c r="U548" s="15" t="s">
        <v>15543</v>
      </c>
      <c r="V548" s="15" t="s">
        <v>15544</v>
      </c>
      <c r="W548" s="15" t="s">
        <v>15545</v>
      </c>
      <c r="X548" s="15">
        <v>93.0</v>
      </c>
      <c r="Y548" s="15" t="s">
        <v>2795</v>
      </c>
      <c r="Z548" s="15">
        <v>8.67</v>
      </c>
      <c r="AA548" s="15">
        <v>9.14</v>
      </c>
      <c r="AB548" s="15" t="s">
        <v>2796</v>
      </c>
      <c r="AC548" s="15" t="s">
        <v>2796</v>
      </c>
      <c r="AD548" s="15" t="s">
        <v>2796</v>
      </c>
      <c r="AE548" s="15" t="s">
        <v>2796</v>
      </c>
      <c r="AF548" s="15">
        <v>8.47</v>
      </c>
      <c r="AG548" s="15">
        <v>8.33</v>
      </c>
      <c r="AH548" s="15">
        <v>73.0</v>
      </c>
      <c r="AI548" s="18"/>
      <c r="AJ548" s="15" t="s">
        <v>2787</v>
      </c>
      <c r="AK548" s="15" t="s">
        <v>2787</v>
      </c>
      <c r="AL548" s="15">
        <v>88.66</v>
      </c>
      <c r="AM548" s="18"/>
      <c r="AN548" s="15" t="s">
        <v>2797</v>
      </c>
      <c r="AO548" s="15" t="s">
        <v>2796</v>
      </c>
      <c r="AP548" s="15" t="s">
        <v>2796</v>
      </c>
      <c r="AQ548" s="15" t="s">
        <v>15546</v>
      </c>
      <c r="AR548" s="15" t="s">
        <v>15547</v>
      </c>
      <c r="AS548" s="15" t="s">
        <v>15548</v>
      </c>
      <c r="AT548" s="15" t="s">
        <v>2796</v>
      </c>
      <c r="AU548" s="15" t="s">
        <v>2796</v>
      </c>
      <c r="AV548" s="15" t="s">
        <v>15549</v>
      </c>
      <c r="AW548" s="15" t="s">
        <v>15550</v>
      </c>
      <c r="AX548" s="15" t="s">
        <v>2796</v>
      </c>
      <c r="AY548" s="15" t="s">
        <v>15551</v>
      </c>
      <c r="AZ548" s="15" t="s">
        <v>8440</v>
      </c>
      <c r="BA548" s="15" t="s">
        <v>2870</v>
      </c>
      <c r="BB548" s="15" t="s">
        <v>2807</v>
      </c>
      <c r="BC548" s="15" t="s">
        <v>2808</v>
      </c>
      <c r="BD548" s="15" t="s">
        <v>2807</v>
      </c>
      <c r="BE548" s="15" t="s">
        <v>15552</v>
      </c>
      <c r="BF548" s="18"/>
      <c r="BG548" s="18"/>
      <c r="BH548" s="18"/>
      <c r="BI548" s="15" t="s">
        <v>15553</v>
      </c>
      <c r="BJ548" s="19" t="s">
        <v>15554</v>
      </c>
      <c r="BK548" s="19" t="s">
        <v>15555</v>
      </c>
      <c r="BL548" s="19" t="s">
        <v>15556</v>
      </c>
      <c r="BM548" s="18"/>
      <c r="BN548" s="19" t="s">
        <v>15557</v>
      </c>
      <c r="BO548" s="19" t="s">
        <v>15558</v>
      </c>
      <c r="BP548" s="19" t="s">
        <v>15559</v>
      </c>
      <c r="BQ548" s="15" t="s">
        <v>1321</v>
      </c>
      <c r="BR548" s="19" t="s">
        <v>15560</v>
      </c>
      <c r="BS548" s="19" t="s">
        <v>15561</v>
      </c>
      <c r="BT548" s="19" t="s">
        <v>15562</v>
      </c>
      <c r="BU548" s="19" t="s">
        <v>15563</v>
      </c>
      <c r="BV548" s="26"/>
      <c r="BW548" s="15" t="s">
        <v>4226</v>
      </c>
      <c r="BX548" s="26"/>
      <c r="BY548" s="18" t="str">
        <f t="shared" si="107"/>
        <v>MECH</v>
      </c>
      <c r="BZ548" s="24" t="str">
        <f t="shared" si="100"/>
        <v>https://drive.google.com/open?id=15XAUQh6H4rJEBX5dcWACoH4b6gcTjUpP</v>
      </c>
      <c r="CA548" s="18" t="str">
        <f t="shared" si="101"/>
        <v/>
      </c>
      <c r="CB548" s="15" t="s">
        <v>2821</v>
      </c>
      <c r="CC548" s="15" t="s">
        <v>2908</v>
      </c>
      <c r="CD548" s="25" t="s">
        <v>2787</v>
      </c>
      <c r="CE548" s="18"/>
      <c r="CF548" s="18"/>
      <c r="CG548" s="18"/>
    </row>
    <row r="549" ht="18.75" hidden="1" customHeight="1">
      <c r="A549" s="14">
        <v>44742.998756076384</v>
      </c>
      <c r="B549" s="15" t="s">
        <v>1560</v>
      </c>
      <c r="C549" s="16" t="s">
        <v>15564</v>
      </c>
      <c r="D549" s="15" t="str">
        <f>IFERROR(__xludf.DUMMYFUNCTION("QUERY(TY_ALL_2023_Batch!$A$1:$E$824, ""SELECT E WHERE C='""&amp;B549&amp;""'"", 0)"),"MECH")</f>
        <v>MECH</v>
      </c>
      <c r="E549" s="15" t="s">
        <v>5378</v>
      </c>
      <c r="F549" s="15" t="s">
        <v>3806</v>
      </c>
      <c r="G549" s="15" t="s">
        <v>15565</v>
      </c>
      <c r="H549" s="15" t="s">
        <v>2785</v>
      </c>
      <c r="I549" s="17">
        <v>37190.0</v>
      </c>
      <c r="J549" s="15">
        <v>2020.0</v>
      </c>
      <c r="K549" s="15" t="s">
        <v>2941</v>
      </c>
      <c r="L549" s="15" t="s">
        <v>2787</v>
      </c>
      <c r="M549" s="18"/>
      <c r="N549" s="15" t="s">
        <v>15566</v>
      </c>
      <c r="O549" s="15" t="s">
        <v>1560</v>
      </c>
      <c r="P549" s="19" t="s">
        <v>15567</v>
      </c>
      <c r="Q549" s="15">
        <v>9.284118409E9</v>
      </c>
      <c r="R549" s="15">
        <v>8.669552564E9</v>
      </c>
      <c r="S549" s="15">
        <v>9.284118409E9</v>
      </c>
      <c r="T549" s="15" t="s">
        <v>3806</v>
      </c>
      <c r="U549" s="15" t="s">
        <v>3409</v>
      </c>
      <c r="V549" s="15" t="s">
        <v>15568</v>
      </c>
      <c r="W549" s="15" t="s">
        <v>15569</v>
      </c>
      <c r="X549" s="15">
        <v>88.8</v>
      </c>
      <c r="Y549" s="15" t="s">
        <v>2948</v>
      </c>
      <c r="Z549" s="15">
        <v>8.19</v>
      </c>
      <c r="AA549" s="15">
        <v>7.57</v>
      </c>
      <c r="AB549" s="15">
        <v>7.47</v>
      </c>
      <c r="AC549" s="15">
        <v>8.48</v>
      </c>
      <c r="AD549" s="15" t="s">
        <v>2796</v>
      </c>
      <c r="AE549" s="15" t="s">
        <v>2796</v>
      </c>
      <c r="AF549" s="18"/>
      <c r="AG549" s="18"/>
      <c r="AH549" s="18"/>
      <c r="AI549" s="15">
        <v>90.67</v>
      </c>
      <c r="AJ549" s="15" t="s">
        <v>2797</v>
      </c>
      <c r="AK549" s="15" t="s">
        <v>2787</v>
      </c>
      <c r="AL549" s="15" t="s">
        <v>3313</v>
      </c>
      <c r="AM549" s="15">
        <v>566.0</v>
      </c>
      <c r="AN549" s="15" t="s">
        <v>2797</v>
      </c>
      <c r="AO549" s="18"/>
      <c r="AP549" s="18"/>
      <c r="AQ549" s="15" t="s">
        <v>15570</v>
      </c>
      <c r="AR549" s="18"/>
      <c r="AS549" s="15" t="s">
        <v>15571</v>
      </c>
      <c r="AT549" s="18"/>
      <c r="AU549" s="15" t="s">
        <v>2796</v>
      </c>
      <c r="AV549" s="15" t="s">
        <v>15572</v>
      </c>
      <c r="AW549" s="15" t="s">
        <v>15573</v>
      </c>
      <c r="AX549" s="15" t="s">
        <v>15574</v>
      </c>
      <c r="AY549" s="15" t="s">
        <v>15575</v>
      </c>
      <c r="AZ549" s="15" t="s">
        <v>8440</v>
      </c>
      <c r="BA549" s="15" t="s">
        <v>2899</v>
      </c>
      <c r="BB549" s="15" t="s">
        <v>2807</v>
      </c>
      <c r="BC549" s="15" t="s">
        <v>15576</v>
      </c>
      <c r="BD549" s="15" t="s">
        <v>2807</v>
      </c>
      <c r="BE549" s="15" t="s">
        <v>15577</v>
      </c>
      <c r="BF549" s="15" t="s">
        <v>15578</v>
      </c>
      <c r="BG549" s="18"/>
      <c r="BH549" s="18"/>
      <c r="BI549" s="15" t="s">
        <v>15579</v>
      </c>
      <c r="BJ549" s="19" t="s">
        <v>15580</v>
      </c>
      <c r="BK549" s="19" t="s">
        <v>15581</v>
      </c>
      <c r="BL549" s="18"/>
      <c r="BM549" s="19" t="s">
        <v>15582</v>
      </c>
      <c r="BN549" s="19" t="s">
        <v>15583</v>
      </c>
      <c r="BO549" s="19" t="s">
        <v>15584</v>
      </c>
      <c r="BP549" s="18"/>
      <c r="BQ549" s="15" t="s">
        <v>1321</v>
      </c>
      <c r="BR549" s="18"/>
      <c r="BS549" s="18"/>
      <c r="BT549" s="18"/>
      <c r="BU549" s="18"/>
      <c r="BV549" s="19" t="s">
        <v>15585</v>
      </c>
      <c r="BW549" s="15" t="s">
        <v>4385</v>
      </c>
      <c r="BX549" s="18"/>
      <c r="BY549" s="18" t="str">
        <f t="shared" si="107"/>
        <v>MECH</v>
      </c>
      <c r="BZ549" s="18" t="str">
        <f t="shared" si="100"/>
        <v/>
      </c>
      <c r="CA549" s="24" t="str">
        <f t="shared" si="101"/>
        <v>https://drive.google.com/open?id=1DHAgg_AvxCZenJNSzBtQn_0Rv230HY-2</v>
      </c>
      <c r="CB549" s="15" t="s">
        <v>2908</v>
      </c>
      <c r="CC549" s="15" t="s">
        <v>2821</v>
      </c>
      <c r="CD549" s="25" t="s">
        <v>2797</v>
      </c>
      <c r="CE549" s="18"/>
      <c r="CF549" s="18"/>
      <c r="CG549" s="18"/>
    </row>
    <row r="550" ht="18.75" hidden="1" customHeight="1">
      <c r="A550" s="14">
        <v>44736.46699826389</v>
      </c>
      <c r="B550" s="15" t="s">
        <v>2328</v>
      </c>
      <c r="C550" s="16" t="s">
        <v>15586</v>
      </c>
      <c r="D550" s="15" t="str">
        <f>IFERROR(__xludf.DUMMYFUNCTION("QUERY(TY_ALL_2023_Batch!$A$1:$E$824, ""SELECT E WHERE C='""&amp;B550&amp;""'"", 0)"),"MECH")</f>
        <v>MECH</v>
      </c>
      <c r="E550" s="15" t="s">
        <v>6294</v>
      </c>
      <c r="F550" s="15" t="s">
        <v>15587</v>
      </c>
      <c r="G550" s="15" t="s">
        <v>15588</v>
      </c>
      <c r="H550" s="15" t="s">
        <v>2785</v>
      </c>
      <c r="I550" s="17">
        <v>36611.0</v>
      </c>
      <c r="J550" s="15">
        <v>2019.0</v>
      </c>
      <c r="K550" s="15" t="s">
        <v>2786</v>
      </c>
      <c r="L550" s="15" t="s">
        <v>2787</v>
      </c>
      <c r="M550" s="18"/>
      <c r="N550" s="15" t="s">
        <v>15589</v>
      </c>
      <c r="O550" s="15" t="s">
        <v>2328</v>
      </c>
      <c r="P550" s="19" t="s">
        <v>15590</v>
      </c>
      <c r="Q550" s="15">
        <v>8.668908299E9</v>
      </c>
      <c r="R550" s="15">
        <v>8.668908299E9</v>
      </c>
      <c r="S550" s="15">
        <v>7.757922078E9</v>
      </c>
      <c r="T550" s="15" t="s">
        <v>15591</v>
      </c>
      <c r="U550" s="15" t="s">
        <v>15592</v>
      </c>
      <c r="V550" s="15" t="s">
        <v>15593</v>
      </c>
      <c r="W550" s="15" t="s">
        <v>15594</v>
      </c>
      <c r="X550" s="15">
        <v>80.0</v>
      </c>
      <c r="Y550" s="15" t="s">
        <v>2795</v>
      </c>
      <c r="Z550" s="15">
        <v>6.95</v>
      </c>
      <c r="AA550" s="15">
        <v>6.0</v>
      </c>
      <c r="AB550" s="15" t="s">
        <v>2796</v>
      </c>
      <c r="AC550" s="15" t="s">
        <v>2796</v>
      </c>
      <c r="AD550" s="15" t="s">
        <v>2796</v>
      </c>
      <c r="AE550" s="15" t="s">
        <v>2796</v>
      </c>
      <c r="AF550" s="15">
        <v>5.63</v>
      </c>
      <c r="AG550" s="15">
        <v>7.95</v>
      </c>
      <c r="AH550" s="15">
        <v>65.0</v>
      </c>
      <c r="AI550" s="18"/>
      <c r="AJ550" s="15" t="s">
        <v>2787</v>
      </c>
      <c r="AK550" s="15" t="s">
        <v>2787</v>
      </c>
      <c r="AL550" s="15">
        <v>45.33</v>
      </c>
      <c r="AM550" s="15">
        <v>34.33</v>
      </c>
      <c r="AN550" s="15" t="s">
        <v>2797</v>
      </c>
      <c r="AO550" s="18"/>
      <c r="AP550" s="18"/>
      <c r="AQ550" s="15" t="s">
        <v>15595</v>
      </c>
      <c r="AR550" s="18"/>
      <c r="AS550" s="15" t="s">
        <v>15596</v>
      </c>
      <c r="AT550" s="18"/>
      <c r="AU550" s="18"/>
      <c r="AV550" s="15" t="s">
        <v>15597</v>
      </c>
      <c r="AW550" s="15" t="s">
        <v>15598</v>
      </c>
      <c r="AX550" s="18"/>
      <c r="AY550" s="15" t="s">
        <v>15599</v>
      </c>
      <c r="AZ550" s="15" t="s">
        <v>4670</v>
      </c>
      <c r="BA550" s="15" t="s">
        <v>10710</v>
      </c>
      <c r="BB550" s="15" t="s">
        <v>5673</v>
      </c>
      <c r="BC550" s="15" t="s">
        <v>15600</v>
      </c>
      <c r="BD550" s="15" t="s">
        <v>2807</v>
      </c>
      <c r="BE550" s="15" t="s">
        <v>15601</v>
      </c>
      <c r="BF550" s="18"/>
      <c r="BG550" s="18"/>
      <c r="BH550" s="15" t="s">
        <v>15602</v>
      </c>
      <c r="BI550" s="15" t="s">
        <v>15603</v>
      </c>
      <c r="BJ550" s="19" t="s">
        <v>15604</v>
      </c>
      <c r="BK550" s="19" t="s">
        <v>15605</v>
      </c>
      <c r="BL550" s="19" t="s">
        <v>15606</v>
      </c>
      <c r="BM550" s="19" t="s">
        <v>15607</v>
      </c>
      <c r="BN550" s="19" t="s">
        <v>15608</v>
      </c>
      <c r="BO550" s="19" t="s">
        <v>15609</v>
      </c>
      <c r="BP550" s="18"/>
      <c r="BQ550" s="15" t="s">
        <v>1321</v>
      </c>
      <c r="BR550" s="26"/>
      <c r="BS550" s="26"/>
      <c r="BT550" s="26"/>
      <c r="BU550" s="26"/>
      <c r="BV550" s="26"/>
      <c r="BW550" s="26"/>
      <c r="BX550" s="26"/>
      <c r="BY550" s="18" t="str">
        <f t="shared" si="107"/>
        <v>MECH</v>
      </c>
      <c r="BZ550" s="24" t="str">
        <f t="shared" si="100"/>
        <v>https://drive.google.com/open?id=1PE8lHYVcC0jzvkB7mnMdJHxYoZS6xxoI</v>
      </c>
      <c r="CA550" s="24" t="str">
        <f t="shared" si="101"/>
        <v>https://drive.google.com/open?id=1Tk1tO9Vgf0CewhMdyuXfDqv2Wej_UdfO</v>
      </c>
      <c r="CB550" s="15" t="s">
        <v>2821</v>
      </c>
      <c r="CC550" s="15" t="s">
        <v>2821</v>
      </c>
      <c r="CD550" s="25" t="s">
        <v>2797</v>
      </c>
      <c r="CE550" s="18"/>
      <c r="CF550" s="18"/>
      <c r="CG550" s="18"/>
    </row>
    <row r="551" ht="18.75" hidden="1" customHeight="1">
      <c r="A551" s="14">
        <v>44768.791396817134</v>
      </c>
      <c r="B551" s="15" t="s">
        <v>2331</v>
      </c>
      <c r="C551" s="16" t="s">
        <v>15610</v>
      </c>
      <c r="D551" s="15" t="str">
        <f>IFERROR(__xludf.DUMMYFUNCTION("QUERY(TY_ALL_2023_Batch!$A$1:$E$824, ""SELECT E WHERE C='""&amp;B551&amp;""'"", 0)"),"MECH")</f>
        <v>MECH</v>
      </c>
      <c r="E551" s="15" t="s">
        <v>7226</v>
      </c>
      <c r="F551" s="15" t="s">
        <v>15611</v>
      </c>
      <c r="G551" s="15" t="s">
        <v>9658</v>
      </c>
      <c r="H551" s="15" t="s">
        <v>2785</v>
      </c>
      <c r="I551" s="17">
        <v>37267.0</v>
      </c>
      <c r="J551" s="15">
        <v>2019.0</v>
      </c>
      <c r="K551" s="15" t="s">
        <v>2786</v>
      </c>
      <c r="L551" s="15" t="s">
        <v>2787</v>
      </c>
      <c r="M551" s="18"/>
      <c r="N551" s="15" t="s">
        <v>15612</v>
      </c>
      <c r="O551" s="15" t="s">
        <v>2331</v>
      </c>
      <c r="P551" s="19" t="s">
        <v>15613</v>
      </c>
      <c r="Q551" s="15">
        <v>9.156526995E9</v>
      </c>
      <c r="R551" s="15">
        <v>9.860807959E9</v>
      </c>
      <c r="S551" s="15">
        <v>7.083954474E9</v>
      </c>
      <c r="T551" s="15" t="s">
        <v>15611</v>
      </c>
      <c r="U551" s="15" t="s">
        <v>15614</v>
      </c>
      <c r="V551" s="15" t="s">
        <v>15615</v>
      </c>
      <c r="W551" s="18"/>
      <c r="X551" s="15">
        <v>89.4</v>
      </c>
      <c r="Y551" s="15" t="s">
        <v>2795</v>
      </c>
      <c r="Z551" s="15">
        <v>9.43</v>
      </c>
      <c r="AA551" s="15">
        <v>8.9</v>
      </c>
      <c r="AB551" s="15">
        <v>7.71</v>
      </c>
      <c r="AC551" s="15">
        <v>7.38</v>
      </c>
      <c r="AD551" s="15" t="s">
        <v>2796</v>
      </c>
      <c r="AE551" s="15" t="s">
        <v>2796</v>
      </c>
      <c r="AF551" s="15">
        <v>8.24</v>
      </c>
      <c r="AG551" s="15">
        <v>7.63</v>
      </c>
      <c r="AH551" s="15">
        <v>75.08</v>
      </c>
      <c r="AI551" s="18"/>
      <c r="AJ551" s="15" t="s">
        <v>2787</v>
      </c>
      <c r="AK551" s="15" t="s">
        <v>2787</v>
      </c>
      <c r="AL551" s="15">
        <v>583.33</v>
      </c>
      <c r="AM551" s="15">
        <v>436.66</v>
      </c>
      <c r="AN551" s="15" t="s">
        <v>2797</v>
      </c>
      <c r="AO551" s="18"/>
      <c r="AP551" s="18"/>
      <c r="AQ551" s="15" t="s">
        <v>15616</v>
      </c>
      <c r="AR551" s="15" t="s">
        <v>15617</v>
      </c>
      <c r="AS551" s="15"/>
      <c r="AT551" s="18"/>
      <c r="AU551" s="15" t="s">
        <v>15618</v>
      </c>
      <c r="AV551" s="15" t="s">
        <v>15619</v>
      </c>
      <c r="AW551" s="15" t="s">
        <v>15620</v>
      </c>
      <c r="AX551" s="15"/>
      <c r="AY551" s="15" t="s">
        <v>15621</v>
      </c>
      <c r="AZ551" s="15" t="s">
        <v>3960</v>
      </c>
      <c r="BA551" s="15" t="s">
        <v>2899</v>
      </c>
      <c r="BB551" s="15" t="s">
        <v>2807</v>
      </c>
      <c r="BC551" s="15" t="s">
        <v>15622</v>
      </c>
      <c r="BD551" s="15" t="s">
        <v>2842</v>
      </c>
      <c r="BE551" s="15" t="s">
        <v>15623</v>
      </c>
      <c r="BF551" s="15" t="s">
        <v>15624</v>
      </c>
      <c r="BG551" s="18"/>
      <c r="BH551" s="18"/>
      <c r="BI551" s="15" t="s">
        <v>15625</v>
      </c>
      <c r="BJ551" s="19" t="s">
        <v>15626</v>
      </c>
      <c r="BK551" s="19" t="s">
        <v>15627</v>
      </c>
      <c r="BL551" s="18"/>
      <c r="BM551" s="18"/>
      <c r="BN551" s="18"/>
      <c r="BO551" s="19" t="s">
        <v>15628</v>
      </c>
      <c r="BP551" s="19" t="s">
        <v>15629</v>
      </c>
      <c r="BQ551" s="15" t="s">
        <v>1321</v>
      </c>
      <c r="BR551" s="26"/>
      <c r="BS551" s="19" t="s">
        <v>15630</v>
      </c>
      <c r="BT551" s="19" t="s">
        <v>15631</v>
      </c>
      <c r="BU551" s="19" t="s">
        <v>15632</v>
      </c>
      <c r="BV551" s="19" t="s">
        <v>15633</v>
      </c>
      <c r="BW551" s="15" t="s">
        <v>15634</v>
      </c>
      <c r="BX551" s="26"/>
      <c r="BY551" s="18" t="str">
        <f t="shared" si="107"/>
        <v>MECH</v>
      </c>
      <c r="BZ551" s="24" t="str">
        <f t="shared" si="100"/>
        <v>https://drive.google.com/open?id=1KPafDVSp8cewbhjfY_sQwNkiZCh3w8Xv</v>
      </c>
      <c r="CA551" s="24" t="str">
        <f t="shared" si="101"/>
        <v>https://drive.google.com/open?id=1Ackn4uUg7b_PgS7bh7QmI9dKvgzviu7O</v>
      </c>
      <c r="CB551" s="15" t="s">
        <v>2908</v>
      </c>
      <c r="CC551" s="15" t="s">
        <v>2908</v>
      </c>
      <c r="CD551" s="25" t="s">
        <v>2787</v>
      </c>
      <c r="CE551" s="18"/>
      <c r="CF551" s="18"/>
      <c r="CG551" s="18"/>
    </row>
    <row r="552" ht="18.75" hidden="1" customHeight="1">
      <c r="A552" s="14">
        <v>44743.735217002315</v>
      </c>
      <c r="B552" s="15" t="s">
        <v>2394</v>
      </c>
      <c r="C552" s="16" t="s">
        <v>15635</v>
      </c>
      <c r="D552" s="15" t="str">
        <f>IFERROR(__xludf.DUMMYFUNCTION("QUERY(TY_ALL_2023_Batch!$A$1:$E$824, ""SELECT E WHERE C='""&amp;B552&amp;""'"", 0)"),"MECH")</f>
        <v>MECH</v>
      </c>
      <c r="E552" s="15" t="s">
        <v>13001</v>
      </c>
      <c r="F552" s="15" t="s">
        <v>6015</v>
      </c>
      <c r="G552" s="15" t="s">
        <v>15636</v>
      </c>
      <c r="H552" s="15" t="s">
        <v>2785</v>
      </c>
      <c r="I552" s="17">
        <v>37072.0</v>
      </c>
      <c r="J552" s="15">
        <v>2019.0</v>
      </c>
      <c r="K552" s="15" t="s">
        <v>2786</v>
      </c>
      <c r="L552" s="15" t="s">
        <v>2787</v>
      </c>
      <c r="M552" s="18"/>
      <c r="N552" s="15" t="s">
        <v>15637</v>
      </c>
      <c r="O552" s="15" t="s">
        <v>2394</v>
      </c>
      <c r="P552" s="19" t="s">
        <v>15638</v>
      </c>
      <c r="Q552" s="15">
        <v>7.066833967E9</v>
      </c>
      <c r="R552" s="15">
        <v>7.066833967E9</v>
      </c>
      <c r="S552" s="15">
        <v>7.066833967E9</v>
      </c>
      <c r="T552" s="15" t="s">
        <v>6015</v>
      </c>
      <c r="U552" s="15" t="s">
        <v>3579</v>
      </c>
      <c r="V552" s="15" t="s">
        <v>15639</v>
      </c>
      <c r="W552" s="15" t="s">
        <v>15640</v>
      </c>
      <c r="X552" s="15">
        <v>88.0</v>
      </c>
      <c r="Y552" s="15" t="s">
        <v>2795</v>
      </c>
      <c r="Z552" s="15">
        <v>8.8</v>
      </c>
      <c r="AA552" s="15">
        <v>9.19</v>
      </c>
      <c r="AB552" s="15" t="s">
        <v>2796</v>
      </c>
      <c r="AC552" s="15" t="s">
        <v>2796</v>
      </c>
      <c r="AD552" s="15" t="s">
        <v>2796</v>
      </c>
      <c r="AE552" s="15" t="s">
        <v>2796</v>
      </c>
      <c r="AF552" s="15">
        <v>8.0</v>
      </c>
      <c r="AG552" s="15">
        <v>8.79</v>
      </c>
      <c r="AH552" s="15">
        <v>72.0</v>
      </c>
      <c r="AI552" s="18"/>
      <c r="AJ552" s="15" t="s">
        <v>2787</v>
      </c>
      <c r="AK552" s="15" t="s">
        <v>2787</v>
      </c>
      <c r="AL552" s="15">
        <v>615.0</v>
      </c>
      <c r="AM552" s="15">
        <v>660.0</v>
      </c>
      <c r="AN552" s="15" t="s">
        <v>2797</v>
      </c>
      <c r="AO552" s="15" t="s">
        <v>2797</v>
      </c>
      <c r="AP552" s="15" t="s">
        <v>2797</v>
      </c>
      <c r="AQ552" s="15" t="s">
        <v>5356</v>
      </c>
      <c r="AR552" s="18"/>
      <c r="AS552" s="15"/>
      <c r="AT552" s="15" t="s">
        <v>2797</v>
      </c>
      <c r="AU552" s="15" t="s">
        <v>15641</v>
      </c>
      <c r="AV552" s="15" t="s">
        <v>15642</v>
      </c>
      <c r="AW552" s="15" t="s">
        <v>14163</v>
      </c>
      <c r="AX552" s="18"/>
      <c r="AY552" s="15" t="s">
        <v>15643</v>
      </c>
      <c r="AZ552" s="15" t="s">
        <v>5335</v>
      </c>
      <c r="BA552" s="15" t="s">
        <v>2839</v>
      </c>
      <c r="BB552" s="15" t="s">
        <v>3109</v>
      </c>
      <c r="BC552" s="15" t="s">
        <v>15644</v>
      </c>
      <c r="BD552" s="15" t="s">
        <v>2807</v>
      </c>
      <c r="BE552" s="15" t="s">
        <v>15645</v>
      </c>
      <c r="BF552" s="15" t="s">
        <v>2797</v>
      </c>
      <c r="BG552" s="15" t="s">
        <v>2797</v>
      </c>
      <c r="BH552" s="18"/>
      <c r="BI552" s="15" t="s">
        <v>15646</v>
      </c>
      <c r="BJ552" s="19" t="s">
        <v>15647</v>
      </c>
      <c r="BK552" s="19" t="s">
        <v>15648</v>
      </c>
      <c r="BL552" s="18"/>
      <c r="BM552" s="18"/>
      <c r="BN552" s="18"/>
      <c r="BO552" s="19" t="s">
        <v>15649</v>
      </c>
      <c r="BP552" s="19" t="s">
        <v>15650</v>
      </c>
      <c r="BQ552" s="15" t="s">
        <v>1321</v>
      </c>
      <c r="BR552" s="26"/>
      <c r="BS552" s="26"/>
      <c r="BT552" s="26"/>
      <c r="BU552" s="26"/>
      <c r="BV552" s="26"/>
      <c r="BW552" s="15" t="s">
        <v>2796</v>
      </c>
      <c r="BX552" s="26"/>
      <c r="BY552" s="18" t="str">
        <f t="shared" si="107"/>
        <v>MECH</v>
      </c>
      <c r="BZ552" s="18" t="str">
        <f t="shared" si="100"/>
        <v/>
      </c>
      <c r="CA552" s="18" t="str">
        <f t="shared" si="101"/>
        <v/>
      </c>
      <c r="CB552" s="15" t="s">
        <v>2908</v>
      </c>
      <c r="CC552" s="15" t="s">
        <v>2908</v>
      </c>
      <c r="CD552" s="25" t="s">
        <v>2797</v>
      </c>
      <c r="CE552" s="18"/>
      <c r="CF552" s="18"/>
      <c r="CG552" s="18"/>
    </row>
    <row r="553" ht="18.75" hidden="1" customHeight="1">
      <c r="A553" s="14">
        <v>44742.544446932865</v>
      </c>
      <c r="B553" s="15" t="s">
        <v>1326</v>
      </c>
      <c r="C553" s="16" t="s">
        <v>15651</v>
      </c>
      <c r="D553" s="15" t="str">
        <f>IFERROR(__xludf.DUMMYFUNCTION("QUERY(TY_ALL_2023_Batch!$A$1:$E$824, ""SELECT E WHERE C='""&amp;B553&amp;""'"", 0)"),"MECH")</f>
        <v>MECH</v>
      </c>
      <c r="E553" s="15" t="s">
        <v>8374</v>
      </c>
      <c r="F553" s="15" t="s">
        <v>12092</v>
      </c>
      <c r="G553" s="15" t="s">
        <v>15652</v>
      </c>
      <c r="H553" s="15" t="s">
        <v>2785</v>
      </c>
      <c r="I553" s="17">
        <v>36967.0</v>
      </c>
      <c r="J553" s="15">
        <v>2020.0</v>
      </c>
      <c r="K553" s="15" t="s">
        <v>2941</v>
      </c>
      <c r="L553" s="15" t="s">
        <v>2787</v>
      </c>
      <c r="M553" s="18"/>
      <c r="N553" s="15" t="s">
        <v>15653</v>
      </c>
      <c r="O553" s="15" t="s">
        <v>1326</v>
      </c>
      <c r="P553" s="19" t="s">
        <v>15654</v>
      </c>
      <c r="Q553" s="15">
        <v>9.689938595E9</v>
      </c>
      <c r="R553" s="15">
        <v>9.689938595E9</v>
      </c>
      <c r="S553" s="15">
        <v>9.370163826E9</v>
      </c>
      <c r="T553" s="15" t="s">
        <v>15655</v>
      </c>
      <c r="U553" s="15" t="s">
        <v>3409</v>
      </c>
      <c r="V553" s="15" t="s">
        <v>15656</v>
      </c>
      <c r="W553" s="15" t="s">
        <v>15657</v>
      </c>
      <c r="X553" s="15">
        <v>74.8</v>
      </c>
      <c r="Y553" s="15" t="s">
        <v>2948</v>
      </c>
      <c r="Z553" s="15">
        <v>7.67</v>
      </c>
      <c r="AA553" s="15">
        <v>7.67</v>
      </c>
      <c r="AB553" s="15" t="s">
        <v>2796</v>
      </c>
      <c r="AC553" s="15" t="s">
        <v>2796</v>
      </c>
      <c r="AD553" s="15" t="s">
        <v>2796</v>
      </c>
      <c r="AE553" s="15" t="s">
        <v>2796</v>
      </c>
      <c r="AF553" s="18"/>
      <c r="AG553" s="18"/>
      <c r="AH553" s="18"/>
      <c r="AI553" s="15">
        <v>87.49</v>
      </c>
      <c r="AJ553" s="15" t="s">
        <v>2787</v>
      </c>
      <c r="AK553" s="15" t="s">
        <v>2787</v>
      </c>
      <c r="AL553" s="15">
        <v>89.33</v>
      </c>
      <c r="AM553" s="15">
        <v>71.33</v>
      </c>
      <c r="AN553" s="15" t="s">
        <v>2797</v>
      </c>
      <c r="AO553" s="15" t="s">
        <v>2796</v>
      </c>
      <c r="AP553" s="15" t="s">
        <v>2796</v>
      </c>
      <c r="AQ553" s="15" t="s">
        <v>2796</v>
      </c>
      <c r="AR553" s="15" t="s">
        <v>2796</v>
      </c>
      <c r="AS553" s="15" t="s">
        <v>2870</v>
      </c>
      <c r="AT553" s="15" t="s">
        <v>2796</v>
      </c>
      <c r="AU553" s="15" t="s">
        <v>2796</v>
      </c>
      <c r="AV553" s="15" t="s">
        <v>15658</v>
      </c>
      <c r="AW553" s="15" t="s">
        <v>15659</v>
      </c>
      <c r="AX553" s="15" t="s">
        <v>2796</v>
      </c>
      <c r="AY553" s="15" t="s">
        <v>15660</v>
      </c>
      <c r="AZ553" s="15" t="s">
        <v>8440</v>
      </c>
      <c r="BA553" s="15" t="s">
        <v>2870</v>
      </c>
      <c r="BB553" s="15" t="s">
        <v>2807</v>
      </c>
      <c r="BC553" s="15" t="s">
        <v>2808</v>
      </c>
      <c r="BD553" s="15" t="s">
        <v>2807</v>
      </c>
      <c r="BE553" s="15" t="s">
        <v>2796</v>
      </c>
      <c r="BF553" s="15" t="s">
        <v>2796</v>
      </c>
      <c r="BG553" s="15" t="s">
        <v>2796</v>
      </c>
      <c r="BH553" s="15" t="s">
        <v>2796</v>
      </c>
      <c r="BI553" s="15" t="s">
        <v>2796</v>
      </c>
      <c r="BJ553" s="19" t="s">
        <v>15661</v>
      </c>
      <c r="BK553" s="19" t="s">
        <v>15662</v>
      </c>
      <c r="BL553" s="19" t="s">
        <v>15663</v>
      </c>
      <c r="BM553" s="19" t="s">
        <v>15664</v>
      </c>
      <c r="BN553" s="18"/>
      <c r="BO553" s="19" t="s">
        <v>15665</v>
      </c>
      <c r="BP553" s="18"/>
      <c r="BQ553" s="15" t="s">
        <v>1321</v>
      </c>
      <c r="BR553" s="26"/>
      <c r="BS553" s="19" t="s">
        <v>15666</v>
      </c>
      <c r="BT553" s="19" t="s">
        <v>15667</v>
      </c>
      <c r="BU553" s="19" t="s">
        <v>15668</v>
      </c>
      <c r="BV553" s="19" t="s">
        <v>15669</v>
      </c>
      <c r="BW553" s="15" t="s">
        <v>15670</v>
      </c>
      <c r="BX553" s="26"/>
      <c r="BY553" s="18" t="str">
        <f t="shared" si="107"/>
        <v>MECH</v>
      </c>
      <c r="BZ553" s="24" t="str">
        <f t="shared" si="100"/>
        <v>https://drive.google.com/open?id=1fmCVby7zhjRroVFRjEh6OgxacNDrm9ak</v>
      </c>
      <c r="CA553" s="24" t="str">
        <f t="shared" si="101"/>
        <v>https://drive.google.com/open?id=1HDFxYHFxro3i_jIkDcrhR5J4vRWHhVAa</v>
      </c>
      <c r="CB553" s="15" t="s">
        <v>2821</v>
      </c>
      <c r="CC553" s="15" t="s">
        <v>2821</v>
      </c>
      <c r="CD553" s="25" t="s">
        <v>2787</v>
      </c>
      <c r="CE553" s="18"/>
      <c r="CF553" s="18"/>
      <c r="CG553" s="18"/>
    </row>
    <row r="554" ht="18.75" hidden="1" customHeight="1">
      <c r="A554" s="14">
        <v>44742.72949886574</v>
      </c>
      <c r="B554" s="15" t="s">
        <v>2406</v>
      </c>
      <c r="C554" s="16" t="s">
        <v>15671</v>
      </c>
      <c r="D554" s="15" t="str">
        <f>IFERROR(__xludf.DUMMYFUNCTION("QUERY(TY_ALL_2023_Batch!$A$1:$E$824, ""SELECT E WHERE C='""&amp;B554&amp;""'"", 0)"),"MECH")</f>
        <v>MECH</v>
      </c>
      <c r="E554" s="15" t="s">
        <v>4298</v>
      </c>
      <c r="F554" s="15" t="s">
        <v>15672</v>
      </c>
      <c r="G554" s="15" t="s">
        <v>6743</v>
      </c>
      <c r="H554" s="15" t="s">
        <v>2785</v>
      </c>
      <c r="I554" s="17">
        <v>36931.0</v>
      </c>
      <c r="J554" s="15">
        <v>2019.0</v>
      </c>
      <c r="K554" s="15" t="s">
        <v>2786</v>
      </c>
      <c r="L554" s="15" t="s">
        <v>2787</v>
      </c>
      <c r="M554" s="18"/>
      <c r="N554" s="15" t="s">
        <v>15673</v>
      </c>
      <c r="O554" s="15" t="s">
        <v>15674</v>
      </c>
      <c r="P554" s="19" t="s">
        <v>15675</v>
      </c>
      <c r="Q554" s="15">
        <v>9.511899727E9</v>
      </c>
      <c r="R554" s="15">
        <v>9.511899727E9</v>
      </c>
      <c r="S554" s="18"/>
      <c r="T554" s="15" t="s">
        <v>15672</v>
      </c>
      <c r="U554" s="15" t="s">
        <v>15676</v>
      </c>
      <c r="V554" s="15" t="s">
        <v>15677</v>
      </c>
      <c r="W554" s="15" t="s">
        <v>15678</v>
      </c>
      <c r="X554" s="15">
        <v>86.6</v>
      </c>
      <c r="Y554" s="15" t="s">
        <v>2795</v>
      </c>
      <c r="Z554" s="15">
        <v>7.71</v>
      </c>
      <c r="AA554" s="15">
        <v>8.33</v>
      </c>
      <c r="AB554" s="15" t="s">
        <v>7277</v>
      </c>
      <c r="AC554" s="15" t="s">
        <v>7277</v>
      </c>
      <c r="AD554" s="15" t="s">
        <v>7277</v>
      </c>
      <c r="AE554" s="15" t="s">
        <v>7277</v>
      </c>
      <c r="AF554" s="15">
        <v>7.25</v>
      </c>
      <c r="AG554" s="15">
        <v>7.05</v>
      </c>
      <c r="AH554" s="15">
        <v>70.46</v>
      </c>
      <c r="AI554" s="18"/>
      <c r="AJ554" s="15" t="s">
        <v>2787</v>
      </c>
      <c r="AK554" s="15" t="s">
        <v>2787</v>
      </c>
      <c r="AL554" s="15">
        <v>546.6667</v>
      </c>
      <c r="AM554" s="15">
        <v>596.6667</v>
      </c>
      <c r="AN554" s="15" t="s">
        <v>2787</v>
      </c>
      <c r="AO554" s="15" t="s">
        <v>15679</v>
      </c>
      <c r="AP554" s="15" t="s">
        <v>15680</v>
      </c>
      <c r="AQ554" s="15" t="s">
        <v>15681</v>
      </c>
      <c r="AR554" s="15" t="s">
        <v>15682</v>
      </c>
      <c r="AS554" s="18"/>
      <c r="AT554" s="15" t="s">
        <v>15683</v>
      </c>
      <c r="AU554" s="15" t="s">
        <v>15684</v>
      </c>
      <c r="AV554" s="15" t="s">
        <v>15685</v>
      </c>
      <c r="AW554" s="15" t="s">
        <v>15686</v>
      </c>
      <c r="AX554" s="18"/>
      <c r="AY554" s="15" t="s">
        <v>15687</v>
      </c>
      <c r="AZ554" s="15" t="s">
        <v>9648</v>
      </c>
      <c r="BA554" s="15" t="s">
        <v>2899</v>
      </c>
      <c r="BB554" s="15" t="s">
        <v>2807</v>
      </c>
      <c r="BC554" s="15" t="s">
        <v>13107</v>
      </c>
      <c r="BD554" s="15" t="s">
        <v>2807</v>
      </c>
      <c r="BE554" s="15" t="s">
        <v>7277</v>
      </c>
      <c r="BF554" s="15" t="s">
        <v>7277</v>
      </c>
      <c r="BG554" s="15" t="s">
        <v>7277</v>
      </c>
      <c r="BH554" s="15" t="s">
        <v>15688</v>
      </c>
      <c r="BI554" s="15" t="s">
        <v>7277</v>
      </c>
      <c r="BJ554" s="19" t="s">
        <v>15689</v>
      </c>
      <c r="BK554" s="19" t="s">
        <v>15690</v>
      </c>
      <c r="BL554" s="18"/>
      <c r="BM554" s="18"/>
      <c r="BN554" s="19" t="s">
        <v>15691</v>
      </c>
      <c r="BO554" s="19" t="s">
        <v>15692</v>
      </c>
      <c r="BP554" s="19" t="s">
        <v>15693</v>
      </c>
      <c r="BQ554" s="15" t="s">
        <v>1321</v>
      </c>
      <c r="BR554" s="26"/>
      <c r="BS554" s="26"/>
      <c r="BT554" s="19" t="s">
        <v>15694</v>
      </c>
      <c r="BU554" s="26"/>
      <c r="BV554" s="26"/>
      <c r="BW554" s="15" t="s">
        <v>15695</v>
      </c>
      <c r="BX554" s="26"/>
      <c r="BY554" s="18" t="str">
        <f t="shared" si="107"/>
        <v>MECH</v>
      </c>
      <c r="BZ554" s="18" t="str">
        <f t="shared" si="100"/>
        <v/>
      </c>
      <c r="CA554" s="18" t="str">
        <f t="shared" si="101"/>
        <v/>
      </c>
      <c r="CB554" s="15" t="s">
        <v>2908</v>
      </c>
      <c r="CC554" s="15" t="s">
        <v>2908</v>
      </c>
      <c r="CD554" s="25" t="s">
        <v>2787</v>
      </c>
      <c r="CE554" s="18"/>
      <c r="CF554" s="18"/>
      <c r="CG554" s="18"/>
    </row>
    <row r="555" ht="18.75" hidden="1" customHeight="1">
      <c r="A555" s="14">
        <v>44741.489202592595</v>
      </c>
      <c r="B555" s="15" t="s">
        <v>2505</v>
      </c>
      <c r="C555" s="16" t="s">
        <v>15696</v>
      </c>
      <c r="D555" s="15" t="str">
        <f>IFERROR(__xludf.DUMMYFUNCTION("QUERY(TY_ALL_2023_Batch!$A$1:$E$824, ""SELECT E WHERE C='""&amp;B555&amp;""'"", 0)"),"MECH")</f>
        <v>MECH</v>
      </c>
      <c r="E555" s="15" t="s">
        <v>7517</v>
      </c>
      <c r="F555" s="15" t="s">
        <v>9724</v>
      </c>
      <c r="G555" s="15" t="s">
        <v>15438</v>
      </c>
      <c r="H555" s="15" t="s">
        <v>2826</v>
      </c>
      <c r="I555" s="17">
        <v>37031.0</v>
      </c>
      <c r="J555" s="15">
        <v>2019.0</v>
      </c>
      <c r="K555" s="15" t="s">
        <v>2786</v>
      </c>
      <c r="L555" s="15" t="s">
        <v>2787</v>
      </c>
      <c r="M555" s="18"/>
      <c r="N555" s="15" t="s">
        <v>15697</v>
      </c>
      <c r="O555" s="15" t="s">
        <v>15698</v>
      </c>
      <c r="P555" s="19" t="s">
        <v>15699</v>
      </c>
      <c r="Q555" s="15">
        <v>7.385459121E9</v>
      </c>
      <c r="R555" s="15">
        <v>7.385459121E9</v>
      </c>
      <c r="S555" s="15">
        <v>7.666886062E9</v>
      </c>
      <c r="T555" s="15" t="s">
        <v>9724</v>
      </c>
      <c r="U555" s="15" t="s">
        <v>15700</v>
      </c>
      <c r="V555" s="15" t="s">
        <v>15701</v>
      </c>
      <c r="W555" s="15" t="s">
        <v>15702</v>
      </c>
      <c r="X555" s="15">
        <v>88.8</v>
      </c>
      <c r="Y555" s="15" t="s">
        <v>2795</v>
      </c>
      <c r="Z555" s="15">
        <v>8.62</v>
      </c>
      <c r="AA555" s="15">
        <v>6.52</v>
      </c>
      <c r="AB555" s="15" t="s">
        <v>2796</v>
      </c>
      <c r="AC555" s="15" t="s">
        <v>2796</v>
      </c>
      <c r="AD555" s="15">
        <v>7.47</v>
      </c>
      <c r="AE555" s="15">
        <v>8.19</v>
      </c>
      <c r="AF555" s="15">
        <v>7.47</v>
      </c>
      <c r="AG555" s="15">
        <v>8.19</v>
      </c>
      <c r="AH555" s="15">
        <v>56.77</v>
      </c>
      <c r="AI555" s="18"/>
      <c r="AJ555" s="15" t="s">
        <v>2797</v>
      </c>
      <c r="AK555" s="15" t="s">
        <v>2787</v>
      </c>
      <c r="AL555" s="15"/>
      <c r="AM555" s="15" t="s">
        <v>15703</v>
      </c>
      <c r="AN555" s="15" t="s">
        <v>2787</v>
      </c>
      <c r="AO555" s="15" t="s">
        <v>15704</v>
      </c>
      <c r="AP555" s="15" t="s">
        <v>15705</v>
      </c>
      <c r="AQ555" s="15" t="s">
        <v>15706</v>
      </c>
      <c r="AR555" s="15" t="s">
        <v>15707</v>
      </c>
      <c r="AS555" s="15" t="s">
        <v>15708</v>
      </c>
      <c r="AT555" s="15"/>
      <c r="AU555" s="15" t="s">
        <v>15709</v>
      </c>
      <c r="AV555" s="15" t="s">
        <v>15710</v>
      </c>
      <c r="AW555" s="15" t="s">
        <v>15711</v>
      </c>
      <c r="AX555" s="15"/>
      <c r="AY555" s="15" t="s">
        <v>15712</v>
      </c>
      <c r="AZ555" s="15" t="s">
        <v>9648</v>
      </c>
      <c r="BA555" s="15" t="s">
        <v>2899</v>
      </c>
      <c r="BB555" s="15" t="s">
        <v>2807</v>
      </c>
      <c r="BC555" s="15" t="s">
        <v>13107</v>
      </c>
      <c r="BD555" s="15" t="s">
        <v>2807</v>
      </c>
      <c r="BE555" s="15" t="s">
        <v>2796</v>
      </c>
      <c r="BF555" s="15" t="s">
        <v>2796</v>
      </c>
      <c r="BG555" s="15" t="s">
        <v>2796</v>
      </c>
      <c r="BH555" s="15" t="s">
        <v>2796</v>
      </c>
      <c r="BI555" s="15" t="s">
        <v>15713</v>
      </c>
      <c r="BJ555" s="19" t="s">
        <v>15714</v>
      </c>
      <c r="BK555" s="19" t="s">
        <v>15715</v>
      </c>
      <c r="BL555" s="18"/>
      <c r="BM555" s="19" t="s">
        <v>15716</v>
      </c>
      <c r="BN555" s="19" t="s">
        <v>15717</v>
      </c>
      <c r="BO555" s="19" t="s">
        <v>15718</v>
      </c>
      <c r="BP555" s="19" t="s">
        <v>15719</v>
      </c>
      <c r="BQ555" s="15" t="s">
        <v>1321</v>
      </c>
      <c r="BR555" s="19" t="s">
        <v>15720</v>
      </c>
      <c r="BS555" s="26"/>
      <c r="BT555" s="26"/>
      <c r="BU555" s="26"/>
      <c r="BV555" s="26"/>
      <c r="BW555" s="15" t="s">
        <v>15721</v>
      </c>
      <c r="BX555" s="26"/>
      <c r="BY555" s="18" t="str">
        <f t="shared" si="107"/>
        <v>MECH</v>
      </c>
      <c r="BZ555" s="18" t="str">
        <f t="shared" si="100"/>
        <v/>
      </c>
      <c r="CA555" s="24" t="str">
        <f t="shared" si="101"/>
        <v>https://drive.google.com/open?id=1uJa1yII5MMc79qlXpZe6I3NtefVGP5a1</v>
      </c>
      <c r="CB555" s="15" t="s">
        <v>2908</v>
      </c>
      <c r="CC555" s="15" t="s">
        <v>2821</v>
      </c>
      <c r="CD555" s="25" t="s">
        <v>2797</v>
      </c>
      <c r="CE555" s="18"/>
      <c r="CF555" s="18"/>
      <c r="CG555" s="18"/>
    </row>
    <row r="556" ht="18.75" hidden="1" customHeight="1">
      <c r="A556" s="14">
        <v>44736.48309384259</v>
      </c>
      <c r="B556" s="15" t="s">
        <v>1566</v>
      </c>
      <c r="C556" s="15">
        <v>2.20200059E8</v>
      </c>
      <c r="D556" s="15" t="str">
        <f>IFERROR(__xludf.DUMMYFUNCTION("QUERY(TY_ALL_2023_Batch!$A$1:$E$824, ""SELECT E WHERE C='""&amp;B556&amp;""'"", 0)"),"MECH")</f>
        <v>MECH</v>
      </c>
      <c r="E556" s="15" t="s">
        <v>5378</v>
      </c>
      <c r="F556" s="15" t="s">
        <v>8952</v>
      </c>
      <c r="G556" s="15" t="s">
        <v>15722</v>
      </c>
      <c r="H556" s="15" t="s">
        <v>2785</v>
      </c>
      <c r="I556" s="17">
        <v>36934.0</v>
      </c>
      <c r="J556" s="15">
        <v>2020.0</v>
      </c>
      <c r="K556" s="15" t="s">
        <v>2941</v>
      </c>
      <c r="L556" s="15" t="s">
        <v>2787</v>
      </c>
      <c r="M556" s="18"/>
      <c r="N556" s="15" t="s">
        <v>15723</v>
      </c>
      <c r="O556" s="15" t="s">
        <v>1566</v>
      </c>
      <c r="P556" s="19" t="s">
        <v>15724</v>
      </c>
      <c r="Q556" s="15">
        <v>8.779626259E9</v>
      </c>
      <c r="R556" s="15">
        <v>8.779626259E9</v>
      </c>
      <c r="S556" s="15">
        <v>9.930090057E9</v>
      </c>
      <c r="T556" s="15" t="s">
        <v>15725</v>
      </c>
      <c r="U556" s="15" t="s">
        <v>15726</v>
      </c>
      <c r="V556" s="15" t="s">
        <v>15727</v>
      </c>
      <c r="W556" s="15" t="s">
        <v>15728</v>
      </c>
      <c r="X556" s="15">
        <v>89.9</v>
      </c>
      <c r="Y556" s="15" t="s">
        <v>2948</v>
      </c>
      <c r="Z556" s="15">
        <v>9.71</v>
      </c>
      <c r="AA556" s="15">
        <v>9.57</v>
      </c>
      <c r="AB556" s="15">
        <v>9.52</v>
      </c>
      <c r="AC556" s="15" t="s">
        <v>2796</v>
      </c>
      <c r="AD556" s="15" t="s">
        <v>2796</v>
      </c>
      <c r="AE556" s="15" t="s">
        <v>2796</v>
      </c>
      <c r="AF556" s="18"/>
      <c r="AG556" s="18"/>
      <c r="AH556" s="18"/>
      <c r="AI556" s="15">
        <v>90.63</v>
      </c>
      <c r="AJ556" s="15" t="s">
        <v>2787</v>
      </c>
      <c r="AK556" s="15" t="s">
        <v>2787</v>
      </c>
      <c r="AL556" s="15">
        <v>577.5</v>
      </c>
      <c r="AM556" s="15">
        <v>636.667</v>
      </c>
      <c r="AN556" s="15" t="s">
        <v>2797</v>
      </c>
      <c r="AO556" s="15" t="s">
        <v>2796</v>
      </c>
      <c r="AP556" s="15" t="s">
        <v>2796</v>
      </c>
      <c r="AQ556" s="15" t="s">
        <v>15729</v>
      </c>
      <c r="AR556" s="15" t="s">
        <v>15730</v>
      </c>
      <c r="AS556" s="15" t="s">
        <v>15731</v>
      </c>
      <c r="AT556" s="18"/>
      <c r="AU556" s="15" t="s">
        <v>15732</v>
      </c>
      <c r="AV556" s="15" t="s">
        <v>15733</v>
      </c>
      <c r="AW556" s="15" t="s">
        <v>15734</v>
      </c>
      <c r="AX556" s="15" t="s">
        <v>15735</v>
      </c>
      <c r="AY556" s="15" t="s">
        <v>15736</v>
      </c>
      <c r="AZ556" s="15" t="s">
        <v>3960</v>
      </c>
      <c r="BA556" s="15" t="s">
        <v>2870</v>
      </c>
      <c r="BB556" s="15" t="s">
        <v>2807</v>
      </c>
      <c r="BC556" s="15" t="s">
        <v>15737</v>
      </c>
      <c r="BD556" s="15" t="s">
        <v>11358</v>
      </c>
      <c r="BE556" s="15" t="s">
        <v>15738</v>
      </c>
      <c r="BF556" s="15" t="s">
        <v>15739</v>
      </c>
      <c r="BG556" s="15" t="s">
        <v>2796</v>
      </c>
      <c r="BH556" s="15" t="s">
        <v>15740</v>
      </c>
      <c r="BI556" s="15" t="s">
        <v>15741</v>
      </c>
      <c r="BJ556" s="19" t="s">
        <v>15742</v>
      </c>
      <c r="BK556" s="19" t="s">
        <v>15743</v>
      </c>
      <c r="BL556" s="19" t="s">
        <v>15744</v>
      </c>
      <c r="BM556" s="19" t="s">
        <v>15745</v>
      </c>
      <c r="BN556" s="19" t="s">
        <v>15746</v>
      </c>
      <c r="BO556" s="19" t="s">
        <v>15747</v>
      </c>
      <c r="BP556" s="19" t="s">
        <v>15748</v>
      </c>
      <c r="BQ556" s="15" t="s">
        <v>1321</v>
      </c>
      <c r="BR556" s="26"/>
      <c r="BS556" s="26"/>
      <c r="BT556" s="26"/>
      <c r="BU556" s="26"/>
      <c r="BV556" s="26"/>
      <c r="BW556" s="26"/>
      <c r="BX556" s="26"/>
      <c r="BY556" s="18" t="str">
        <f t="shared" si="107"/>
        <v>MECH</v>
      </c>
      <c r="BZ556" s="24" t="str">
        <f t="shared" si="100"/>
        <v>https://drive.google.com/open?id=1gUDMpyVoCWzi4NyFiLQC0M9f3ZoKgxQT</v>
      </c>
      <c r="CA556" s="24" t="str">
        <f t="shared" si="101"/>
        <v>https://drive.google.com/open?id=1ANrHuAaHPG2Zcg1Sf1BXmArd59KouKOF</v>
      </c>
      <c r="CB556" s="15" t="s">
        <v>2821</v>
      </c>
      <c r="CC556" s="15" t="s">
        <v>2821</v>
      </c>
      <c r="CD556" s="25" t="s">
        <v>2797</v>
      </c>
      <c r="CE556" s="18"/>
      <c r="CF556" s="18"/>
      <c r="CG556" s="18"/>
    </row>
    <row r="557" ht="18.75" hidden="1" customHeight="1">
      <c r="A557" s="14">
        <v>44744.76579767361</v>
      </c>
      <c r="B557" s="15" t="s">
        <v>2454</v>
      </c>
      <c r="C557" s="16" t="s">
        <v>15749</v>
      </c>
      <c r="D557" s="15" t="str">
        <f>IFERROR(__xludf.DUMMYFUNCTION("QUERY(TY_ALL_2023_Batch!$A$1:$E$824, ""SELECT E WHERE C='""&amp;B557&amp;""'"", 0)"),"MECH")</f>
        <v>MECH</v>
      </c>
      <c r="E557" s="15" t="s">
        <v>6135</v>
      </c>
      <c r="F557" s="15" t="s">
        <v>15750</v>
      </c>
      <c r="G557" s="15" t="s">
        <v>15751</v>
      </c>
      <c r="H557" s="15" t="s">
        <v>2785</v>
      </c>
      <c r="I557" s="17">
        <v>36898.0</v>
      </c>
      <c r="J557" s="15">
        <v>2019.0</v>
      </c>
      <c r="K557" s="15" t="s">
        <v>2786</v>
      </c>
      <c r="L557" s="15" t="s">
        <v>2787</v>
      </c>
      <c r="M557" s="18"/>
      <c r="N557" s="15" t="s">
        <v>15752</v>
      </c>
      <c r="O557" s="15" t="s">
        <v>2454</v>
      </c>
      <c r="P557" s="19" t="s">
        <v>15753</v>
      </c>
      <c r="Q557" s="15">
        <v>9.307683407E9</v>
      </c>
      <c r="R557" s="15">
        <v>9.307683407E9</v>
      </c>
      <c r="S557" s="15">
        <v>9.822175899E9</v>
      </c>
      <c r="T557" s="15" t="s">
        <v>15754</v>
      </c>
      <c r="U557" s="15" t="s">
        <v>15755</v>
      </c>
      <c r="V557" s="15" t="s">
        <v>15756</v>
      </c>
      <c r="W557" s="15" t="s">
        <v>15757</v>
      </c>
      <c r="X557" s="15">
        <v>91.0</v>
      </c>
      <c r="Y557" s="15" t="s">
        <v>2795</v>
      </c>
      <c r="Z557" s="15">
        <v>9.52</v>
      </c>
      <c r="AA557" s="15">
        <v>8.9</v>
      </c>
      <c r="AB557" s="15" t="s">
        <v>2796</v>
      </c>
      <c r="AC557" s="15" t="s">
        <v>2796</v>
      </c>
      <c r="AD557" s="15" t="s">
        <v>2796</v>
      </c>
      <c r="AE557" s="15" t="s">
        <v>2796</v>
      </c>
      <c r="AF557" s="15">
        <v>8.95</v>
      </c>
      <c r="AG557" s="15">
        <v>8.9</v>
      </c>
      <c r="AH557" s="15">
        <v>76.62</v>
      </c>
      <c r="AI557" s="18"/>
      <c r="AJ557" s="15" t="s">
        <v>2787</v>
      </c>
      <c r="AK557" s="15" t="s">
        <v>2787</v>
      </c>
      <c r="AL557" s="15">
        <v>661.667</v>
      </c>
      <c r="AM557" s="15">
        <v>726.667</v>
      </c>
      <c r="AN557" s="15" t="s">
        <v>2797</v>
      </c>
      <c r="AO557" s="15" t="s">
        <v>2796</v>
      </c>
      <c r="AP557" s="15" t="s">
        <v>2796</v>
      </c>
      <c r="AQ557" s="15" t="s">
        <v>15758</v>
      </c>
      <c r="AR557" s="15" t="s">
        <v>15759</v>
      </c>
      <c r="AS557" s="15" t="s">
        <v>5356</v>
      </c>
      <c r="AT557" s="18"/>
      <c r="AU557" s="15" t="s">
        <v>2796</v>
      </c>
      <c r="AV557" s="15" t="s">
        <v>15760</v>
      </c>
      <c r="AW557" s="15" t="s">
        <v>15761</v>
      </c>
      <c r="AX557" s="15" t="s">
        <v>15762</v>
      </c>
      <c r="AY557" s="15" t="s">
        <v>15763</v>
      </c>
      <c r="AZ557" s="15" t="s">
        <v>5287</v>
      </c>
      <c r="BA557" s="15" t="s">
        <v>8546</v>
      </c>
      <c r="BB557" s="15" t="s">
        <v>5673</v>
      </c>
      <c r="BC557" s="15" t="s">
        <v>2808</v>
      </c>
      <c r="BD557" s="15" t="s">
        <v>3393</v>
      </c>
      <c r="BE557" s="15" t="s">
        <v>15764</v>
      </c>
      <c r="BF557" s="15" t="s">
        <v>15765</v>
      </c>
      <c r="BG557" s="18"/>
      <c r="BH557" s="15" t="s">
        <v>15766</v>
      </c>
      <c r="BI557" s="15" t="s">
        <v>15767</v>
      </c>
      <c r="BJ557" s="19" t="s">
        <v>15768</v>
      </c>
      <c r="BK557" s="19" t="s">
        <v>15769</v>
      </c>
      <c r="BL557" s="19" t="s">
        <v>15770</v>
      </c>
      <c r="BM557" s="19" t="s">
        <v>15771</v>
      </c>
      <c r="BN557" s="19" t="s">
        <v>15772</v>
      </c>
      <c r="BO557" s="19" t="s">
        <v>15773</v>
      </c>
      <c r="BP557" s="19" t="s">
        <v>15774</v>
      </c>
      <c r="BQ557" s="15" t="s">
        <v>1321</v>
      </c>
      <c r="BR557" s="19" t="s">
        <v>15775</v>
      </c>
      <c r="BS557" s="19" t="s">
        <v>15776</v>
      </c>
      <c r="BT557" s="19" t="s">
        <v>15777</v>
      </c>
      <c r="BU557" s="19" t="s">
        <v>15778</v>
      </c>
      <c r="BV557" s="19" t="s">
        <v>15779</v>
      </c>
      <c r="BW557" s="15" t="s">
        <v>15780</v>
      </c>
      <c r="BX557" s="26"/>
      <c r="BY557" s="18" t="str">
        <f t="shared" si="107"/>
        <v>MECH</v>
      </c>
      <c r="BZ557" s="24" t="str">
        <f t="shared" si="100"/>
        <v>https://drive.google.com/open?id=1aLodq5GVNEfYS6qmLz_q1-RH70SsxQR4</v>
      </c>
      <c r="CA557" s="24" t="str">
        <f t="shared" si="101"/>
        <v>https://drive.google.com/open?id=1O2NT1sGkk9ttMUjvV7sfva2dfZFLeFka</v>
      </c>
      <c r="CB557" s="15" t="s">
        <v>2821</v>
      </c>
      <c r="CC557" s="15" t="s">
        <v>2821</v>
      </c>
      <c r="CD557" s="25" t="s">
        <v>2787</v>
      </c>
      <c r="CE557" s="18"/>
      <c r="CF557" s="18"/>
      <c r="CG557" s="18"/>
    </row>
    <row r="558" ht="18.75" hidden="1" customHeight="1">
      <c r="A558" s="14">
        <v>44743.0215974537</v>
      </c>
      <c r="B558" s="15" t="s">
        <v>2646</v>
      </c>
      <c r="C558" s="16" t="s">
        <v>15781</v>
      </c>
      <c r="D558" s="15" t="str">
        <f>IFERROR(__xludf.DUMMYFUNCTION("QUERY(TY_ALL_2023_Batch!$A$1:$E$824, ""SELECT E WHERE C='""&amp;B558&amp;""'"", 0)"),"MECH")</f>
        <v>MECH</v>
      </c>
      <c r="E558" s="15" t="s">
        <v>15782</v>
      </c>
      <c r="F558" s="15" t="s">
        <v>15783</v>
      </c>
      <c r="G558" s="15" t="s">
        <v>15784</v>
      </c>
      <c r="H558" s="15" t="s">
        <v>2785</v>
      </c>
      <c r="I558" s="17">
        <v>36971.0</v>
      </c>
      <c r="J558" s="15">
        <v>2019.0</v>
      </c>
      <c r="K558" s="15" t="s">
        <v>2786</v>
      </c>
      <c r="L558" s="15" t="s">
        <v>2787</v>
      </c>
      <c r="M558" s="18"/>
      <c r="N558" s="15" t="s">
        <v>15785</v>
      </c>
      <c r="O558" s="15" t="s">
        <v>2646</v>
      </c>
      <c r="P558" s="19" t="s">
        <v>15786</v>
      </c>
      <c r="Q558" s="15">
        <v>9.673737188E9</v>
      </c>
      <c r="R558" s="15">
        <v>9.673737188E9</v>
      </c>
      <c r="S558" s="15">
        <v>9.021753837E9</v>
      </c>
      <c r="T558" s="15" t="s">
        <v>15787</v>
      </c>
      <c r="U558" s="15" t="s">
        <v>15788</v>
      </c>
      <c r="V558" s="15" t="s">
        <v>15789</v>
      </c>
      <c r="W558" s="15" t="s">
        <v>15790</v>
      </c>
      <c r="X558" s="15">
        <v>76.2</v>
      </c>
      <c r="Y558" s="15" t="s">
        <v>2795</v>
      </c>
      <c r="Z558" s="15">
        <v>9.48</v>
      </c>
      <c r="AA558" s="15">
        <v>8.24</v>
      </c>
      <c r="AB558" s="15" t="s">
        <v>2796</v>
      </c>
      <c r="AC558" s="15" t="s">
        <v>2796</v>
      </c>
      <c r="AD558" s="15" t="s">
        <v>2796</v>
      </c>
      <c r="AE558" s="15" t="s">
        <v>2796</v>
      </c>
      <c r="AF558" s="15">
        <v>8.52</v>
      </c>
      <c r="AG558" s="15">
        <v>8.63</v>
      </c>
      <c r="AH558" s="15">
        <v>60.92</v>
      </c>
      <c r="AI558" s="18"/>
      <c r="AJ558" s="15" t="s">
        <v>2787</v>
      </c>
      <c r="AK558" s="15" t="s">
        <v>2787</v>
      </c>
      <c r="AL558" s="15" t="s">
        <v>15791</v>
      </c>
      <c r="AM558" s="15" t="s">
        <v>15792</v>
      </c>
      <c r="AN558" s="15" t="s">
        <v>2797</v>
      </c>
      <c r="AO558" s="15" t="s">
        <v>2796</v>
      </c>
      <c r="AP558" s="15" t="s">
        <v>2796</v>
      </c>
      <c r="AQ558" s="15" t="s">
        <v>15793</v>
      </c>
      <c r="AR558" s="15" t="s">
        <v>15794</v>
      </c>
      <c r="AS558" s="18"/>
      <c r="AT558" s="18"/>
      <c r="AU558" s="15" t="s">
        <v>2796</v>
      </c>
      <c r="AV558" s="15" t="s">
        <v>2796</v>
      </c>
      <c r="AW558" s="15" t="s">
        <v>15795</v>
      </c>
      <c r="AX558" s="15" t="s">
        <v>15796</v>
      </c>
      <c r="AY558" s="15" t="s">
        <v>15797</v>
      </c>
      <c r="AZ558" s="15" t="s">
        <v>3960</v>
      </c>
      <c r="BA558" s="15" t="s">
        <v>3613</v>
      </c>
      <c r="BB558" s="15" t="s">
        <v>4484</v>
      </c>
      <c r="BC558" s="15" t="s">
        <v>15798</v>
      </c>
      <c r="BD558" s="15" t="s">
        <v>15799</v>
      </c>
      <c r="BE558" s="15" t="s">
        <v>15800</v>
      </c>
      <c r="BF558" s="18"/>
      <c r="BG558" s="18"/>
      <c r="BH558" s="15" t="s">
        <v>15801</v>
      </c>
      <c r="BI558" s="15" t="s">
        <v>15802</v>
      </c>
      <c r="BJ558" s="19" t="s">
        <v>15803</v>
      </c>
      <c r="BK558" s="19" t="s">
        <v>15804</v>
      </c>
      <c r="BL558" s="19" t="s">
        <v>15805</v>
      </c>
      <c r="BM558" s="19" t="s">
        <v>15806</v>
      </c>
      <c r="BN558" s="19" t="s">
        <v>15807</v>
      </c>
      <c r="BO558" s="19" t="s">
        <v>15808</v>
      </c>
      <c r="BP558" s="19" t="s">
        <v>15809</v>
      </c>
      <c r="BQ558" s="15" t="s">
        <v>1321</v>
      </c>
      <c r="BR558" s="19" t="s">
        <v>15810</v>
      </c>
      <c r="BS558" s="19" t="s">
        <v>15811</v>
      </c>
      <c r="BT558" s="19" t="s">
        <v>15812</v>
      </c>
      <c r="BU558" s="19" t="s">
        <v>15813</v>
      </c>
      <c r="BV558" s="19" t="s">
        <v>15814</v>
      </c>
      <c r="BW558" s="15" t="s">
        <v>15815</v>
      </c>
      <c r="BX558" s="18"/>
      <c r="BY558" s="18" t="str">
        <f t="shared" si="107"/>
        <v>MECH</v>
      </c>
      <c r="BZ558" s="24" t="str">
        <f t="shared" si="100"/>
        <v>https://drive.google.com/open?id=1O5CeQ1vzjngrbxwei3PePg_o_y3J3PBZ</v>
      </c>
      <c r="CA558" s="24" t="str">
        <f t="shared" si="101"/>
        <v>https://drive.google.com/open?id=18Ldh_-KyohwsxF3KFbew98fRT8oAo5fa</v>
      </c>
      <c r="CB558" s="15" t="s">
        <v>2821</v>
      </c>
      <c r="CC558" s="15" t="s">
        <v>2821</v>
      </c>
      <c r="CD558" s="25" t="s">
        <v>2787</v>
      </c>
      <c r="CE558" s="18"/>
      <c r="CF558" s="18"/>
      <c r="CG558" s="18"/>
    </row>
    <row r="559" ht="18.75" hidden="1" customHeight="1">
      <c r="A559" s="14">
        <v>44744.87849827546</v>
      </c>
      <c r="B559" s="15" t="s">
        <v>2415</v>
      </c>
      <c r="C559" s="16" t="s">
        <v>15816</v>
      </c>
      <c r="D559" s="15" t="str">
        <f>IFERROR(__xludf.DUMMYFUNCTION("QUERY(TY_ALL_2023_Batch!$A$1:$E$824, ""SELECT E WHERE C='""&amp;B559&amp;""'"", 0)"),"MECH")</f>
        <v>MECH</v>
      </c>
      <c r="E559" s="15" t="s">
        <v>15817</v>
      </c>
      <c r="F559" s="15" t="s">
        <v>4470</v>
      </c>
      <c r="G559" s="15" t="s">
        <v>12937</v>
      </c>
      <c r="H559" s="15" t="s">
        <v>2785</v>
      </c>
      <c r="I559" s="17">
        <v>37222.0</v>
      </c>
      <c r="J559" s="15">
        <v>2019.0</v>
      </c>
      <c r="K559" s="15" t="s">
        <v>2786</v>
      </c>
      <c r="L559" s="15" t="s">
        <v>2787</v>
      </c>
      <c r="M559" s="18"/>
      <c r="N559" s="15" t="s">
        <v>15818</v>
      </c>
      <c r="O559" s="15" t="s">
        <v>2415</v>
      </c>
      <c r="P559" s="19" t="s">
        <v>15819</v>
      </c>
      <c r="Q559" s="15">
        <v>9.561687618E9</v>
      </c>
      <c r="R559" s="15">
        <v>9.561687618E9</v>
      </c>
      <c r="S559" s="18"/>
      <c r="T559" s="15" t="s">
        <v>15820</v>
      </c>
      <c r="U559" s="15" t="s">
        <v>15821</v>
      </c>
      <c r="V559" s="15" t="s">
        <v>15822</v>
      </c>
      <c r="W559" s="15" t="s">
        <v>15823</v>
      </c>
      <c r="X559" s="15">
        <v>81.2</v>
      </c>
      <c r="Y559" s="15" t="s">
        <v>2795</v>
      </c>
      <c r="Z559" s="15">
        <v>9.29</v>
      </c>
      <c r="AA559" s="15">
        <v>8.9</v>
      </c>
      <c r="AB559" s="15" t="s">
        <v>2796</v>
      </c>
      <c r="AC559" s="15" t="s">
        <v>2796</v>
      </c>
      <c r="AD559" s="15" t="s">
        <v>3006</v>
      </c>
      <c r="AE559" s="15" t="s">
        <v>2796</v>
      </c>
      <c r="AF559" s="15">
        <v>7.16</v>
      </c>
      <c r="AG559" s="15">
        <v>7.62</v>
      </c>
      <c r="AH559" s="15">
        <v>73.23</v>
      </c>
      <c r="AI559" s="18"/>
      <c r="AJ559" s="15" t="s">
        <v>2787</v>
      </c>
      <c r="AK559" s="15" t="s">
        <v>2787</v>
      </c>
      <c r="AL559" s="15">
        <v>561.66</v>
      </c>
      <c r="AM559" s="15">
        <v>643.33</v>
      </c>
      <c r="AN559" s="15" t="s">
        <v>2787</v>
      </c>
      <c r="AO559" s="15">
        <v>0.0</v>
      </c>
      <c r="AP559" s="15" t="s">
        <v>15824</v>
      </c>
      <c r="AQ559" s="15" t="s">
        <v>15825</v>
      </c>
      <c r="AR559" s="15" t="s">
        <v>15328</v>
      </c>
      <c r="AS559" s="18"/>
      <c r="AT559" s="18"/>
      <c r="AU559" s="15" t="s">
        <v>15329</v>
      </c>
      <c r="AV559" s="15" t="s">
        <v>15826</v>
      </c>
      <c r="AW559" s="15" t="s">
        <v>15827</v>
      </c>
      <c r="AX559" s="18"/>
      <c r="AY559" s="15" t="s">
        <v>15828</v>
      </c>
      <c r="AZ559" s="15" t="s">
        <v>9648</v>
      </c>
      <c r="BA559" s="15" t="s">
        <v>2806</v>
      </c>
      <c r="BB559" s="15" t="s">
        <v>15829</v>
      </c>
      <c r="BC559" s="15" t="s">
        <v>2808</v>
      </c>
      <c r="BD559" s="15" t="s">
        <v>2807</v>
      </c>
      <c r="BE559" s="15" t="s">
        <v>2796</v>
      </c>
      <c r="BF559" s="18"/>
      <c r="BG559" s="18"/>
      <c r="BH559" s="15" t="s">
        <v>15830</v>
      </c>
      <c r="BI559" s="18"/>
      <c r="BJ559" s="19" t="s">
        <v>15831</v>
      </c>
      <c r="BK559" s="19" t="s">
        <v>15832</v>
      </c>
      <c r="BL559" s="19" t="s">
        <v>15833</v>
      </c>
      <c r="BM559" s="19" t="s">
        <v>15834</v>
      </c>
      <c r="BN559" s="19" t="s">
        <v>15835</v>
      </c>
      <c r="BO559" s="19" t="s">
        <v>15836</v>
      </c>
      <c r="BP559" s="19" t="s">
        <v>15837</v>
      </c>
      <c r="BQ559" s="15" t="s">
        <v>1321</v>
      </c>
      <c r="BR559" s="26"/>
      <c r="BS559" s="26"/>
      <c r="BT559" s="26"/>
      <c r="BU559" s="26"/>
      <c r="BV559" s="26"/>
      <c r="BW559" s="15" t="s">
        <v>2796</v>
      </c>
      <c r="BX559" s="26"/>
      <c r="BY559" s="18" t="str">
        <f t="shared" si="107"/>
        <v>MECH</v>
      </c>
      <c r="BZ559" s="24" t="str">
        <f t="shared" si="100"/>
        <v>https://drive.google.com/open?id=1yWm6wrYwPXOSEIzACGMVUjvOHWQg1ODq</v>
      </c>
      <c r="CA559" s="24" t="str">
        <f t="shared" si="101"/>
        <v>https://drive.google.com/open?id=1grq5jhUf7eulbEXnWZk3af3jFsfyZqsQ</v>
      </c>
      <c r="CB559" s="15" t="s">
        <v>2821</v>
      </c>
      <c r="CC559" s="15" t="s">
        <v>2821</v>
      </c>
      <c r="CD559" s="25" t="s">
        <v>2797</v>
      </c>
      <c r="CE559" s="18"/>
      <c r="CF559" s="18"/>
      <c r="CG559" s="18"/>
    </row>
    <row r="560" ht="18.75" hidden="1" customHeight="1">
      <c r="A560" s="14">
        <v>44735.46147434028</v>
      </c>
      <c r="B560" s="15" t="s">
        <v>15838</v>
      </c>
      <c r="C560" s="16" t="s">
        <v>15839</v>
      </c>
      <c r="D560" s="15" t="str">
        <f>IFERROR(__xludf.DUMMYFUNCTION("QUERY(TY_ALL_2023_Batch!$A$1:$E$824, ""SELECT E WHERE C='""&amp;B560&amp;""'"", 0)"),"#N/A")</f>
        <v>#N/A</v>
      </c>
      <c r="E560" s="15" t="s">
        <v>15840</v>
      </c>
      <c r="F560" s="15" t="s">
        <v>15841</v>
      </c>
      <c r="G560" s="15" t="s">
        <v>2973</v>
      </c>
      <c r="H560" s="15" t="s">
        <v>2785</v>
      </c>
      <c r="I560" s="17">
        <v>37240.0</v>
      </c>
      <c r="J560" s="15">
        <v>2020.0</v>
      </c>
      <c r="K560" s="15" t="s">
        <v>2941</v>
      </c>
      <c r="L560" s="15" t="s">
        <v>2787</v>
      </c>
      <c r="M560" s="18"/>
      <c r="N560" s="15" t="s">
        <v>15842</v>
      </c>
      <c r="O560" s="15" t="s">
        <v>15838</v>
      </c>
      <c r="P560" s="19" t="s">
        <v>15843</v>
      </c>
      <c r="Q560" s="15">
        <v>8.41191737E9</v>
      </c>
      <c r="R560" s="15">
        <v>8.41191737E9</v>
      </c>
      <c r="S560" s="15">
        <v>7.775891794E9</v>
      </c>
      <c r="T560" s="15" t="s">
        <v>15844</v>
      </c>
      <c r="U560" s="15" t="s">
        <v>15845</v>
      </c>
      <c r="V560" s="15" t="s">
        <v>15846</v>
      </c>
      <c r="W560" s="15" t="s">
        <v>15847</v>
      </c>
      <c r="X560" s="15">
        <v>81.8</v>
      </c>
      <c r="Y560" s="15" t="s">
        <v>2948</v>
      </c>
      <c r="Z560" s="15">
        <v>9.14</v>
      </c>
      <c r="AA560" s="15">
        <v>8.81</v>
      </c>
      <c r="AB560" s="15" t="s">
        <v>2796</v>
      </c>
      <c r="AC560" s="15" t="s">
        <v>2796</v>
      </c>
      <c r="AD560" s="15" t="s">
        <v>2796</v>
      </c>
      <c r="AE560" s="15" t="s">
        <v>2796</v>
      </c>
      <c r="AF560" s="18"/>
      <c r="AG560" s="18"/>
      <c r="AH560" s="18"/>
      <c r="AI560" s="15">
        <v>90.21</v>
      </c>
      <c r="AJ560" s="15" t="s">
        <v>2787</v>
      </c>
      <c r="AK560" s="15" t="s">
        <v>2787</v>
      </c>
      <c r="AL560" s="15">
        <v>417.0</v>
      </c>
      <c r="AM560" s="15">
        <v>543.0</v>
      </c>
      <c r="AN560" s="15" t="s">
        <v>2797</v>
      </c>
      <c r="AO560" s="18"/>
      <c r="AP560" s="18"/>
      <c r="AQ560" s="15" t="s">
        <v>15848</v>
      </c>
      <c r="AR560" s="15" t="s">
        <v>15849</v>
      </c>
      <c r="AS560" s="18"/>
      <c r="AT560" s="18"/>
      <c r="AU560" s="18"/>
      <c r="AV560" s="15" t="s">
        <v>15850</v>
      </c>
      <c r="AW560" s="15" t="s">
        <v>15851</v>
      </c>
      <c r="AX560" s="18"/>
      <c r="AY560" s="15" t="s">
        <v>15852</v>
      </c>
      <c r="AZ560" s="15" t="s">
        <v>8440</v>
      </c>
      <c r="BA560" s="15" t="s">
        <v>2899</v>
      </c>
      <c r="BB560" s="15" t="s">
        <v>2807</v>
      </c>
      <c r="BC560" s="15" t="s">
        <v>13150</v>
      </c>
      <c r="BD560" s="15" t="s">
        <v>2807</v>
      </c>
      <c r="BE560" s="15" t="s">
        <v>15853</v>
      </c>
      <c r="BF560" s="15" t="s">
        <v>15854</v>
      </c>
      <c r="BG560" s="18"/>
      <c r="BH560" s="18"/>
      <c r="BI560" s="15" t="s">
        <v>15855</v>
      </c>
      <c r="BJ560" s="19" t="s">
        <v>15856</v>
      </c>
      <c r="BK560" s="19" t="s">
        <v>15857</v>
      </c>
      <c r="BL560" s="19" t="s">
        <v>15858</v>
      </c>
      <c r="BM560" s="19" t="s">
        <v>15859</v>
      </c>
      <c r="BN560" s="19" t="s">
        <v>15860</v>
      </c>
      <c r="BO560" s="19" t="s">
        <v>15861</v>
      </c>
      <c r="BP560" s="19" t="s">
        <v>15862</v>
      </c>
      <c r="BQ560" s="15" t="s">
        <v>1321</v>
      </c>
      <c r="BR560" s="26"/>
      <c r="BS560" s="26"/>
      <c r="BT560" s="26"/>
      <c r="BU560" s="26"/>
      <c r="BV560" s="26"/>
      <c r="BW560" s="26"/>
      <c r="BX560" s="26"/>
      <c r="BY560" s="18" t="str">
        <f t="shared" si="107"/>
        <v>MECH</v>
      </c>
      <c r="BZ560" s="24" t="str">
        <f t="shared" si="100"/>
        <v>https://drive.google.com/open?id=1Ei-Qw6uVpk0I_b3E3ugLyNncfV_DXxqR</v>
      </c>
      <c r="CA560" s="24" t="str">
        <f t="shared" si="101"/>
        <v>https://drive.google.com/open?id=1Z5SsvIquzOet2cEu_8lZeMbyfUauI2X3</v>
      </c>
      <c r="CB560" s="15" t="s">
        <v>2821</v>
      </c>
      <c r="CC560" s="15" t="s">
        <v>2821</v>
      </c>
      <c r="CD560" s="25" t="s">
        <v>2797</v>
      </c>
      <c r="CE560" s="18"/>
      <c r="CF560" s="18"/>
      <c r="CG560" s="18"/>
    </row>
    <row r="561" ht="18.75" hidden="1" customHeight="1">
      <c r="A561" s="14">
        <v>44735.96807778935</v>
      </c>
      <c r="B561" s="15" t="s">
        <v>15863</v>
      </c>
      <c r="C561" s="16" t="s">
        <v>15864</v>
      </c>
      <c r="D561" s="15" t="str">
        <f>IFERROR(__xludf.DUMMYFUNCTION("QUERY(TY_ALL_2023_Batch!$A$1:$E$824, ""SELECT E WHERE C='""&amp;B561&amp;""'"", 0)"),"#N/A")</f>
        <v>#N/A</v>
      </c>
      <c r="E561" s="15" t="s">
        <v>7627</v>
      </c>
      <c r="F561" s="15" t="s">
        <v>15865</v>
      </c>
      <c r="G561" s="15" t="s">
        <v>15866</v>
      </c>
      <c r="H561" s="15" t="s">
        <v>2785</v>
      </c>
      <c r="I561" s="17">
        <v>36701.0</v>
      </c>
      <c r="J561" s="15">
        <v>2020.0</v>
      </c>
      <c r="K561" s="15" t="s">
        <v>2941</v>
      </c>
      <c r="L561" s="15" t="s">
        <v>2787</v>
      </c>
      <c r="M561" s="18"/>
      <c r="N561" s="15" t="s">
        <v>1602</v>
      </c>
      <c r="O561" s="15" t="s">
        <v>15867</v>
      </c>
      <c r="P561" s="19" t="s">
        <v>15868</v>
      </c>
      <c r="Q561" s="15">
        <v>9.403915499E9</v>
      </c>
      <c r="R561" s="15">
        <v>9.403915499E9</v>
      </c>
      <c r="S561" s="18"/>
      <c r="T561" s="15" t="s">
        <v>15869</v>
      </c>
      <c r="U561" s="15" t="s">
        <v>15870</v>
      </c>
      <c r="V561" s="15" t="s">
        <v>15871</v>
      </c>
      <c r="W561" s="18"/>
      <c r="X561" s="15">
        <v>94.8</v>
      </c>
      <c r="Y561" s="15" t="s">
        <v>2948</v>
      </c>
      <c r="Z561" s="15">
        <v>8.67</v>
      </c>
      <c r="AA561" s="15">
        <v>8.76</v>
      </c>
      <c r="AB561" s="15" t="s">
        <v>2796</v>
      </c>
      <c r="AC561" s="15" t="s">
        <v>2796</v>
      </c>
      <c r="AD561" s="15" t="s">
        <v>2796</v>
      </c>
      <c r="AE561" s="15" t="s">
        <v>2796</v>
      </c>
      <c r="AF561" s="18"/>
      <c r="AG561" s="18"/>
      <c r="AH561" s="18"/>
      <c r="AI561" s="15">
        <v>93.54</v>
      </c>
      <c r="AJ561" s="15" t="s">
        <v>2787</v>
      </c>
      <c r="AK561" s="15" t="s">
        <v>2787</v>
      </c>
      <c r="AL561" s="15">
        <v>561.6667</v>
      </c>
      <c r="AM561" s="15">
        <v>566.6667</v>
      </c>
      <c r="AN561" s="15" t="s">
        <v>2797</v>
      </c>
      <c r="AO561" s="18"/>
      <c r="AP561" s="18"/>
      <c r="AQ561" s="15" t="s">
        <v>15872</v>
      </c>
      <c r="AR561" s="15" t="s">
        <v>15873</v>
      </c>
      <c r="AS561" s="18"/>
      <c r="AT561" s="18"/>
      <c r="AU561" s="18"/>
      <c r="AV561" s="15" t="s">
        <v>15874</v>
      </c>
      <c r="AW561" s="15" t="s">
        <v>15875</v>
      </c>
      <c r="AX561" s="18"/>
      <c r="AY561" s="15" t="s">
        <v>15876</v>
      </c>
      <c r="AZ561" s="15" t="s">
        <v>5287</v>
      </c>
      <c r="BA561" s="15" t="s">
        <v>2899</v>
      </c>
      <c r="BB561" s="15" t="s">
        <v>2807</v>
      </c>
      <c r="BC561" s="15" t="s">
        <v>15877</v>
      </c>
      <c r="BD561" s="15" t="s">
        <v>3464</v>
      </c>
      <c r="BE561" s="15" t="s">
        <v>15878</v>
      </c>
      <c r="BF561" s="15" t="s">
        <v>15879</v>
      </c>
      <c r="BG561" s="18"/>
      <c r="BH561" s="15" t="s">
        <v>15880</v>
      </c>
      <c r="BI561" s="15" t="s">
        <v>15881</v>
      </c>
      <c r="BJ561" s="15" t="s">
        <v>15882</v>
      </c>
      <c r="BK561" s="19" t="s">
        <v>15883</v>
      </c>
      <c r="BL561" s="19" t="s">
        <v>15884</v>
      </c>
      <c r="BM561" s="19" t="s">
        <v>15885</v>
      </c>
      <c r="BN561" s="19" t="s">
        <v>15886</v>
      </c>
      <c r="BO561" s="19" t="s">
        <v>15887</v>
      </c>
      <c r="BP561" s="19" t="s">
        <v>15888</v>
      </c>
      <c r="BQ561" s="15" t="s">
        <v>1321</v>
      </c>
      <c r="BR561" s="26"/>
      <c r="BS561" s="26"/>
      <c r="BT561" s="26"/>
      <c r="BU561" s="26"/>
      <c r="BV561" s="26"/>
      <c r="BW561" s="26"/>
      <c r="BX561" s="26"/>
      <c r="BY561" s="18" t="str">
        <f t="shared" si="107"/>
        <v>MECH</v>
      </c>
      <c r="BZ561" s="24" t="str">
        <f t="shared" si="100"/>
        <v>https://drive.google.com/open?id=1uotcfHYMXewo9AiZ690HbUI-nx53nMIc</v>
      </c>
      <c r="CA561" s="24" t="str">
        <f t="shared" si="101"/>
        <v>https://drive.google.com/open?id=1SHTFMvIanEwZ8mrfN8g65qJmYKkPVL93</v>
      </c>
      <c r="CB561" s="15" t="s">
        <v>2821</v>
      </c>
      <c r="CC561" s="15" t="s">
        <v>2821</v>
      </c>
      <c r="CD561" s="25" t="s">
        <v>2797</v>
      </c>
      <c r="CE561" s="18"/>
      <c r="CF561" s="18"/>
      <c r="CG561" s="18"/>
    </row>
    <row r="562" ht="18.75" hidden="1" customHeight="1">
      <c r="A562" s="14">
        <v>44735.97768377315</v>
      </c>
      <c r="B562" s="15" t="s">
        <v>15889</v>
      </c>
      <c r="C562" s="16" t="s">
        <v>15890</v>
      </c>
      <c r="D562" s="15" t="str">
        <f>IFERROR(__xludf.DUMMYFUNCTION("QUERY(TY_ALL_2023_Batch!$A$1:$E$824, ""SELECT E WHERE C='""&amp;B562&amp;""'"", 0)"),"#N/A")</f>
        <v>#N/A</v>
      </c>
      <c r="E562" s="15" t="s">
        <v>15891</v>
      </c>
      <c r="F562" s="15" t="s">
        <v>12575</v>
      </c>
      <c r="G562" s="15" t="s">
        <v>15892</v>
      </c>
      <c r="H562" s="15" t="s">
        <v>2785</v>
      </c>
      <c r="I562" s="17">
        <v>37238.0</v>
      </c>
      <c r="J562" s="15">
        <v>2020.0</v>
      </c>
      <c r="K562" s="15" t="s">
        <v>2941</v>
      </c>
      <c r="L562" s="15" t="s">
        <v>2787</v>
      </c>
      <c r="M562" s="18"/>
      <c r="N562" s="15" t="s">
        <v>1542</v>
      </c>
      <c r="O562" s="15" t="s">
        <v>15889</v>
      </c>
      <c r="P562" s="19" t="s">
        <v>15893</v>
      </c>
      <c r="Q562" s="15">
        <v>7.219479933E9</v>
      </c>
      <c r="R562" s="15">
        <v>7.219479933E9</v>
      </c>
      <c r="S562" s="15">
        <v>7.387503086E9</v>
      </c>
      <c r="T562" s="15" t="s">
        <v>15894</v>
      </c>
      <c r="U562" s="15" t="s">
        <v>15895</v>
      </c>
      <c r="V562" s="15" t="s">
        <v>15896</v>
      </c>
      <c r="W562" s="15" t="s">
        <v>15897</v>
      </c>
      <c r="X562" s="15">
        <v>84.0</v>
      </c>
      <c r="Y562" s="15" t="s">
        <v>2948</v>
      </c>
      <c r="Z562" s="15">
        <v>8.05</v>
      </c>
      <c r="AA562" s="15">
        <v>7.19</v>
      </c>
      <c r="AB562" s="15">
        <v>7.03</v>
      </c>
      <c r="AC562" s="15">
        <v>8.76</v>
      </c>
      <c r="AD562" s="15" t="s">
        <v>2796</v>
      </c>
      <c r="AE562" s="15" t="s">
        <v>2796</v>
      </c>
      <c r="AF562" s="18"/>
      <c r="AG562" s="18"/>
      <c r="AH562" s="18"/>
      <c r="AI562" s="15">
        <v>89.69</v>
      </c>
      <c r="AJ562" s="15" t="s">
        <v>2787</v>
      </c>
      <c r="AK562" s="15" t="s">
        <v>2787</v>
      </c>
      <c r="AL562" s="15">
        <v>504.0</v>
      </c>
      <c r="AM562" s="15">
        <v>559.0</v>
      </c>
      <c r="AN562" s="15" t="s">
        <v>2797</v>
      </c>
      <c r="AO562" s="15" t="s">
        <v>2796</v>
      </c>
      <c r="AP562" s="15" t="s">
        <v>2796</v>
      </c>
      <c r="AQ562" s="15" t="s">
        <v>15898</v>
      </c>
      <c r="AR562" s="15" t="s">
        <v>15899</v>
      </c>
      <c r="AS562" s="15" t="s">
        <v>15900</v>
      </c>
      <c r="AT562" s="15" t="s">
        <v>2796</v>
      </c>
      <c r="AU562" s="15" t="s">
        <v>2796</v>
      </c>
      <c r="AV562" s="15" t="s">
        <v>15901</v>
      </c>
      <c r="AW562" s="15" t="s">
        <v>15902</v>
      </c>
      <c r="AX562" s="15" t="s">
        <v>2796</v>
      </c>
      <c r="AY562" s="15" t="s">
        <v>15903</v>
      </c>
      <c r="AZ562" s="15" t="s">
        <v>9648</v>
      </c>
      <c r="BA562" s="15" t="s">
        <v>2899</v>
      </c>
      <c r="BB562" s="15" t="s">
        <v>12859</v>
      </c>
      <c r="BC562" s="15" t="s">
        <v>15904</v>
      </c>
      <c r="BD562" s="15" t="s">
        <v>2807</v>
      </c>
      <c r="BE562" s="15" t="s">
        <v>2796</v>
      </c>
      <c r="BF562" s="15" t="s">
        <v>15905</v>
      </c>
      <c r="BG562" s="15" t="s">
        <v>2796</v>
      </c>
      <c r="BH562" s="15" t="s">
        <v>3006</v>
      </c>
      <c r="BI562" s="15" t="s">
        <v>15906</v>
      </c>
      <c r="BJ562" s="19" t="s">
        <v>15907</v>
      </c>
      <c r="BK562" s="19" t="s">
        <v>15908</v>
      </c>
      <c r="BL562" s="19" t="s">
        <v>15909</v>
      </c>
      <c r="BM562" s="19" t="s">
        <v>15910</v>
      </c>
      <c r="BN562" s="19" t="s">
        <v>15911</v>
      </c>
      <c r="BO562" s="19" t="s">
        <v>15912</v>
      </c>
      <c r="BP562" s="19" t="s">
        <v>15913</v>
      </c>
      <c r="BQ562" s="15" t="s">
        <v>1321</v>
      </c>
      <c r="BR562" s="26"/>
      <c r="BS562" s="26"/>
      <c r="BT562" s="26"/>
      <c r="BU562" s="26"/>
      <c r="BV562" s="26"/>
      <c r="BW562" s="26"/>
      <c r="BX562" s="26"/>
      <c r="BY562" s="18" t="str">
        <f t="shared" si="107"/>
        <v>MECH</v>
      </c>
      <c r="BZ562" s="24" t="str">
        <f t="shared" si="100"/>
        <v>https://drive.google.com/open?id=1zAez75ZlZTaGkw8Jg2fHWwoapV7BmVT2</v>
      </c>
      <c r="CA562" s="24" t="str">
        <f t="shared" si="101"/>
        <v>https://drive.google.com/open?id=1gLJiHY9ERavh_SD0vuUQFrrDPi-p903r</v>
      </c>
      <c r="CB562" s="15" t="s">
        <v>2821</v>
      </c>
      <c r="CC562" s="15" t="s">
        <v>2821</v>
      </c>
      <c r="CD562" s="25" t="s">
        <v>2797</v>
      </c>
      <c r="CE562" s="18"/>
      <c r="CF562" s="18"/>
      <c r="CG562" s="18"/>
    </row>
    <row r="563" ht="18.75" hidden="1" customHeight="1">
      <c r="A563" s="14">
        <v>44772.64435403935</v>
      </c>
      <c r="B563" s="15" t="s">
        <v>15914</v>
      </c>
      <c r="C563" s="16" t="s">
        <v>15915</v>
      </c>
      <c r="D563" s="15" t="str">
        <f>IFERROR(__xludf.DUMMYFUNCTION("QUERY(TY_ALL_2023_Batch!$A$1:$E$824, ""SELECT E WHERE C='""&amp;B563&amp;""'"", 0)"),"#N/A")</f>
        <v>#N/A</v>
      </c>
      <c r="E563" s="15" t="s">
        <v>9632</v>
      </c>
      <c r="F563" s="15" t="s">
        <v>3977</v>
      </c>
      <c r="G563" s="15" t="s">
        <v>15916</v>
      </c>
      <c r="H563" s="15" t="s">
        <v>2785</v>
      </c>
      <c r="I563" s="17">
        <v>37102.0</v>
      </c>
      <c r="J563" s="15">
        <v>2020.0</v>
      </c>
      <c r="K563" s="15" t="s">
        <v>2941</v>
      </c>
      <c r="L563" s="15" t="s">
        <v>2787</v>
      </c>
      <c r="M563" s="18"/>
      <c r="N563" s="15" t="s">
        <v>1425</v>
      </c>
      <c r="O563" s="15" t="s">
        <v>15914</v>
      </c>
      <c r="P563" s="19" t="s">
        <v>15917</v>
      </c>
      <c r="Q563" s="15">
        <v>9.021973683E9</v>
      </c>
      <c r="R563" s="15">
        <v>9.021973683E9</v>
      </c>
      <c r="S563" s="15">
        <v>9.021973683E9</v>
      </c>
      <c r="T563" s="15" t="s">
        <v>15918</v>
      </c>
      <c r="U563" s="15" t="s">
        <v>15919</v>
      </c>
      <c r="V563" s="15" t="s">
        <v>15920</v>
      </c>
      <c r="W563" s="15" t="s">
        <v>15920</v>
      </c>
      <c r="X563" s="15">
        <v>80.2</v>
      </c>
      <c r="Y563" s="15" t="s">
        <v>2948</v>
      </c>
      <c r="Z563" s="15">
        <v>9.0</v>
      </c>
      <c r="AA563" s="15">
        <v>9.0</v>
      </c>
      <c r="AB563" s="15">
        <v>8.98</v>
      </c>
      <c r="AC563" s="15">
        <v>8.78</v>
      </c>
      <c r="AD563" s="15" t="s">
        <v>2796</v>
      </c>
      <c r="AE563" s="15" t="s">
        <v>2796</v>
      </c>
      <c r="AF563" s="18"/>
      <c r="AG563" s="18"/>
      <c r="AH563" s="18"/>
      <c r="AI563" s="15">
        <v>89.9</v>
      </c>
      <c r="AJ563" s="15" t="s">
        <v>2787</v>
      </c>
      <c r="AK563" s="15" t="s">
        <v>2787</v>
      </c>
      <c r="AL563" s="15">
        <v>475.0</v>
      </c>
      <c r="AM563" s="15">
        <v>550.0</v>
      </c>
      <c r="AN563" s="15" t="s">
        <v>2797</v>
      </c>
      <c r="AO563" s="18"/>
      <c r="AP563" s="18"/>
      <c r="AQ563" s="15" t="s">
        <v>15921</v>
      </c>
      <c r="AR563" s="15"/>
      <c r="AS563" s="18"/>
      <c r="AT563" s="18"/>
      <c r="AU563" s="15" t="s">
        <v>2796</v>
      </c>
      <c r="AV563" s="15" t="s">
        <v>15922</v>
      </c>
      <c r="AW563" s="15" t="s">
        <v>15923</v>
      </c>
      <c r="AX563" s="18"/>
      <c r="AY563" s="15" t="s">
        <v>15924</v>
      </c>
      <c r="AZ563" s="15" t="s">
        <v>4377</v>
      </c>
      <c r="BA563" s="15" t="s">
        <v>4727</v>
      </c>
      <c r="BB563" s="15" t="s">
        <v>2807</v>
      </c>
      <c r="BC563" s="15" t="s">
        <v>15925</v>
      </c>
      <c r="BD563" s="15" t="s">
        <v>2807</v>
      </c>
      <c r="BE563" s="15" t="s">
        <v>15926</v>
      </c>
      <c r="BF563" s="18"/>
      <c r="BG563" s="18"/>
      <c r="BH563" s="18"/>
      <c r="BI563" s="15" t="s">
        <v>15927</v>
      </c>
      <c r="BJ563" s="15" t="s">
        <v>15928</v>
      </c>
      <c r="BK563" s="19" t="s">
        <v>15929</v>
      </c>
      <c r="BL563" s="19" t="s">
        <v>15930</v>
      </c>
      <c r="BM563" s="19" t="s">
        <v>15931</v>
      </c>
      <c r="BN563" s="19" t="s">
        <v>15932</v>
      </c>
      <c r="BO563" s="19" t="s">
        <v>15933</v>
      </c>
      <c r="BP563" s="19" t="s">
        <v>15934</v>
      </c>
      <c r="BQ563" s="15" t="s">
        <v>1321</v>
      </c>
      <c r="BR563" s="26"/>
      <c r="BS563" s="19" t="s">
        <v>15935</v>
      </c>
      <c r="BT563" s="19" t="s">
        <v>15936</v>
      </c>
      <c r="BU563" s="26"/>
      <c r="BV563" s="26"/>
      <c r="BW563" s="15" t="s">
        <v>15937</v>
      </c>
      <c r="BX563" s="26"/>
      <c r="BY563" s="18" t="str">
        <f t="shared" si="107"/>
        <v>MECH</v>
      </c>
      <c r="BZ563" s="24" t="str">
        <f t="shared" si="100"/>
        <v>https://drive.google.com/open?id=1Zl5_OWPLS9kB8i3fvZoUY5DPr81uCUxq</v>
      </c>
      <c r="CA563" s="24" t="str">
        <f t="shared" si="101"/>
        <v>https://drive.google.com/open?id=1t44V8A_nj5sHyOEnrNSxBUmdwJjL_MKn</v>
      </c>
      <c r="CB563" s="15" t="s">
        <v>2821</v>
      </c>
      <c r="CC563" s="15" t="s">
        <v>2821</v>
      </c>
      <c r="CD563" s="25" t="s">
        <v>2797</v>
      </c>
      <c r="CE563" s="18"/>
      <c r="CF563" s="18"/>
      <c r="CG563" s="18"/>
    </row>
    <row r="564" ht="18.75" hidden="1" customHeight="1">
      <c r="A564" s="14">
        <v>44736.49092519676</v>
      </c>
      <c r="B564" s="15" t="s">
        <v>15938</v>
      </c>
      <c r="C564" s="16" t="s">
        <v>15939</v>
      </c>
      <c r="D564" s="15" t="str">
        <f>IFERROR(__xludf.DUMMYFUNCTION("QUERY(TY_ALL_2023_Batch!$A$1:$E$824, ""SELECT E WHERE C='""&amp;B564&amp;""'"", 0)"),"#N/A")</f>
        <v>#N/A</v>
      </c>
      <c r="E564" s="15" t="s">
        <v>4133</v>
      </c>
      <c r="F564" s="15" t="s">
        <v>15940</v>
      </c>
      <c r="G564" s="15" t="s">
        <v>5084</v>
      </c>
      <c r="H564" s="15" t="s">
        <v>2785</v>
      </c>
      <c r="I564" s="17">
        <v>35956.0</v>
      </c>
      <c r="J564" s="15">
        <v>2019.0</v>
      </c>
      <c r="K564" s="15" t="s">
        <v>2941</v>
      </c>
      <c r="L564" s="15" t="s">
        <v>2787</v>
      </c>
      <c r="M564" s="18"/>
      <c r="N564" s="15" t="s">
        <v>15941</v>
      </c>
      <c r="O564" s="15" t="s">
        <v>15938</v>
      </c>
      <c r="P564" s="19" t="s">
        <v>15942</v>
      </c>
      <c r="Q564" s="15">
        <v>8.379804116E9</v>
      </c>
      <c r="R564" s="15">
        <v>8.379804116E9</v>
      </c>
      <c r="S564" s="15">
        <v>7.498872592E9</v>
      </c>
      <c r="T564" s="15" t="s">
        <v>15943</v>
      </c>
      <c r="U564" s="15" t="s">
        <v>15944</v>
      </c>
      <c r="V564" s="15" t="s">
        <v>15945</v>
      </c>
      <c r="W564" s="15" t="s">
        <v>15946</v>
      </c>
      <c r="X564" s="15">
        <v>77.6</v>
      </c>
      <c r="Y564" s="15" t="s">
        <v>2948</v>
      </c>
      <c r="Z564" s="15">
        <v>7.49</v>
      </c>
      <c r="AA564" s="15">
        <v>7.81</v>
      </c>
      <c r="AB564" s="15" t="s">
        <v>2796</v>
      </c>
      <c r="AC564" s="15" t="s">
        <v>2796</v>
      </c>
      <c r="AD564" s="15" t="s">
        <v>2796</v>
      </c>
      <c r="AE564" s="15" t="s">
        <v>2796</v>
      </c>
      <c r="AF564" s="18"/>
      <c r="AG564" s="18"/>
      <c r="AH564" s="18"/>
      <c r="AI564" s="15">
        <v>85.12</v>
      </c>
      <c r="AJ564" s="15" t="s">
        <v>2797</v>
      </c>
      <c r="AK564" s="15" t="s">
        <v>2787</v>
      </c>
      <c r="AL564" s="18"/>
      <c r="AM564" s="15">
        <v>647.0</v>
      </c>
      <c r="AN564" s="15" t="s">
        <v>2787</v>
      </c>
      <c r="AO564" s="18"/>
      <c r="AP564" s="15" t="s">
        <v>15947</v>
      </c>
      <c r="AQ564" s="15" t="s">
        <v>15948</v>
      </c>
      <c r="AR564" s="15" t="s">
        <v>15949</v>
      </c>
      <c r="AS564" s="15" t="s">
        <v>15950</v>
      </c>
      <c r="AT564" s="18"/>
      <c r="AU564" s="15" t="s">
        <v>2796</v>
      </c>
      <c r="AV564" s="15" t="s">
        <v>15951</v>
      </c>
      <c r="AW564" s="15" t="s">
        <v>15952</v>
      </c>
      <c r="AX564" s="15" t="s">
        <v>2796</v>
      </c>
      <c r="AY564" s="15" t="s">
        <v>15953</v>
      </c>
      <c r="AZ564" s="15" t="s">
        <v>9648</v>
      </c>
      <c r="BA564" s="15" t="s">
        <v>10710</v>
      </c>
      <c r="BB564" s="15" t="s">
        <v>2807</v>
      </c>
      <c r="BC564" s="15" t="s">
        <v>3110</v>
      </c>
      <c r="BD564" s="15" t="s">
        <v>2807</v>
      </c>
      <c r="BE564" s="15" t="s">
        <v>2796</v>
      </c>
      <c r="BF564" s="15" t="s">
        <v>2796</v>
      </c>
      <c r="BG564" s="15" t="s">
        <v>2796</v>
      </c>
      <c r="BH564" s="15" t="s">
        <v>15954</v>
      </c>
      <c r="BI564" s="15" t="s">
        <v>15955</v>
      </c>
      <c r="BJ564" s="19" t="s">
        <v>15956</v>
      </c>
      <c r="BK564" s="19" t="s">
        <v>15957</v>
      </c>
      <c r="BL564" s="18"/>
      <c r="BM564" s="19" t="s">
        <v>15958</v>
      </c>
      <c r="BN564" s="19" t="s">
        <v>15959</v>
      </c>
      <c r="BO564" s="19" t="s">
        <v>15960</v>
      </c>
      <c r="BP564" s="19" t="s">
        <v>15961</v>
      </c>
      <c r="BQ564" s="15" t="s">
        <v>1321</v>
      </c>
      <c r="BR564" s="26"/>
      <c r="BS564" s="26"/>
      <c r="BT564" s="26"/>
      <c r="BU564" s="26"/>
      <c r="BV564" s="26"/>
      <c r="BW564" s="26"/>
      <c r="BX564" s="26"/>
      <c r="BY564" s="18" t="str">
        <f t="shared" si="107"/>
        <v>MECH</v>
      </c>
      <c r="BZ564" s="18" t="str">
        <f t="shared" si="100"/>
        <v/>
      </c>
      <c r="CA564" s="24" t="str">
        <f t="shared" si="101"/>
        <v>https://drive.google.com/open?id=1je_aJQR_HTBle7Mj7DoQ91Zu4TUHLQlu</v>
      </c>
      <c r="CB564" s="15" t="s">
        <v>2908</v>
      </c>
      <c r="CC564" s="15" t="s">
        <v>2821</v>
      </c>
      <c r="CD564" s="25" t="s">
        <v>2797</v>
      </c>
      <c r="CE564" s="18"/>
      <c r="CF564" s="18"/>
      <c r="CG564" s="18"/>
    </row>
    <row r="565" ht="18.75" hidden="1" customHeight="1">
      <c r="A565" s="14">
        <v>44741.647818680554</v>
      </c>
      <c r="B565" s="15" t="s">
        <v>15962</v>
      </c>
      <c r="C565" s="16" t="s">
        <v>15963</v>
      </c>
      <c r="D565" s="15" t="str">
        <f>IFERROR(__xludf.DUMMYFUNCTION("QUERY(TY_ALL_2023_Batch!$A$1:$E$824, ""SELECT E WHERE C='""&amp;B565&amp;""'"", 0)"),"#N/A")</f>
        <v>#N/A</v>
      </c>
      <c r="E565" s="15" t="s">
        <v>15964</v>
      </c>
      <c r="F565" s="15" t="s">
        <v>6815</v>
      </c>
      <c r="G565" s="15" t="s">
        <v>15965</v>
      </c>
      <c r="H565" s="15" t="s">
        <v>2785</v>
      </c>
      <c r="I565" s="17">
        <v>37156.0</v>
      </c>
      <c r="J565" s="15">
        <v>2020.0</v>
      </c>
      <c r="K565" s="15" t="s">
        <v>2941</v>
      </c>
      <c r="L565" s="15" t="s">
        <v>2787</v>
      </c>
      <c r="M565" s="18"/>
      <c r="N565" s="15" t="s">
        <v>1428</v>
      </c>
      <c r="O565" s="15" t="s">
        <v>15966</v>
      </c>
      <c r="P565" s="19" t="s">
        <v>15967</v>
      </c>
      <c r="Q565" s="15">
        <v>9.834010553E9</v>
      </c>
      <c r="R565" s="15">
        <v>9.834010553E9</v>
      </c>
      <c r="S565" s="15">
        <v>7.262955649E9</v>
      </c>
      <c r="T565" s="15" t="s">
        <v>15968</v>
      </c>
      <c r="U565" s="15" t="s">
        <v>15969</v>
      </c>
      <c r="V565" s="15" t="s">
        <v>15970</v>
      </c>
      <c r="W565" s="15" t="s">
        <v>15971</v>
      </c>
      <c r="X565" s="15">
        <v>86.6</v>
      </c>
      <c r="Y565" s="15" t="s">
        <v>2948</v>
      </c>
      <c r="Z565" s="15">
        <v>8.52</v>
      </c>
      <c r="AA565" s="15">
        <v>8.76</v>
      </c>
      <c r="AB565" s="15" t="s">
        <v>2796</v>
      </c>
      <c r="AC565" s="15" t="s">
        <v>2796</v>
      </c>
      <c r="AD565" s="15" t="s">
        <v>2796</v>
      </c>
      <c r="AE565" s="15" t="s">
        <v>2796</v>
      </c>
      <c r="AF565" s="18"/>
      <c r="AG565" s="18"/>
      <c r="AH565" s="18"/>
      <c r="AI565" s="15">
        <v>90.31</v>
      </c>
      <c r="AJ565" s="15" t="s">
        <v>2787</v>
      </c>
      <c r="AK565" s="15" t="s">
        <v>2787</v>
      </c>
      <c r="AL565" s="15">
        <v>450.0</v>
      </c>
      <c r="AM565" s="15">
        <v>650.0</v>
      </c>
      <c r="AN565" s="15" t="s">
        <v>2797</v>
      </c>
      <c r="AO565" s="15" t="s">
        <v>2796</v>
      </c>
      <c r="AP565" s="15" t="s">
        <v>2796</v>
      </c>
      <c r="AQ565" s="15" t="s">
        <v>15972</v>
      </c>
      <c r="AR565" s="15" t="s">
        <v>15973</v>
      </c>
      <c r="AS565" s="15" t="s">
        <v>15974</v>
      </c>
      <c r="AT565" s="15" t="s">
        <v>2796</v>
      </c>
      <c r="AU565" s="15" t="s">
        <v>2796</v>
      </c>
      <c r="AV565" s="15" t="s">
        <v>2796</v>
      </c>
      <c r="AW565" s="15" t="s">
        <v>15975</v>
      </c>
      <c r="AX565" s="15" t="s">
        <v>2796</v>
      </c>
      <c r="AY565" s="15" t="s">
        <v>15976</v>
      </c>
      <c r="AZ565" s="15" t="s">
        <v>9648</v>
      </c>
      <c r="BA565" s="15" t="s">
        <v>2899</v>
      </c>
      <c r="BB565" s="15" t="s">
        <v>2807</v>
      </c>
      <c r="BC565" s="15" t="s">
        <v>15977</v>
      </c>
      <c r="BD565" s="15" t="s">
        <v>2807</v>
      </c>
      <c r="BE565" s="15" t="s">
        <v>15978</v>
      </c>
      <c r="BF565" s="18"/>
      <c r="BG565" s="18"/>
      <c r="BH565" s="18"/>
      <c r="BI565" s="18"/>
      <c r="BJ565" s="19" t="s">
        <v>15979</v>
      </c>
      <c r="BK565" s="19" t="s">
        <v>15980</v>
      </c>
      <c r="BL565" s="19" t="s">
        <v>15981</v>
      </c>
      <c r="BM565" s="19" t="s">
        <v>15982</v>
      </c>
      <c r="BN565" s="18"/>
      <c r="BO565" s="19" t="s">
        <v>15983</v>
      </c>
      <c r="BP565" s="18"/>
      <c r="BQ565" s="15" t="s">
        <v>1321</v>
      </c>
      <c r="BR565" s="19" t="s">
        <v>15984</v>
      </c>
      <c r="BS565" s="26"/>
      <c r="BT565" s="26"/>
      <c r="BU565" s="19" t="s">
        <v>15985</v>
      </c>
      <c r="BV565" s="19" t="s">
        <v>15986</v>
      </c>
      <c r="BW565" s="15" t="s">
        <v>15987</v>
      </c>
      <c r="BX565" s="26"/>
      <c r="BY565" s="18" t="str">
        <f t="shared" si="107"/>
        <v>MECH</v>
      </c>
      <c r="BZ565" s="24" t="str">
        <f t="shared" si="100"/>
        <v>https://drive.google.com/open?id=1VftSjqqu2rdLymLNEvCuJ9MeI7eT0ASS</v>
      </c>
      <c r="CA565" s="24" t="str">
        <f t="shared" si="101"/>
        <v>https://drive.google.com/open?id=1zSflCnMoTJMWp5qEmiDMWh8yDG4dka0b</v>
      </c>
      <c r="CB565" s="15" t="s">
        <v>2821</v>
      </c>
      <c r="CC565" s="15" t="s">
        <v>2821</v>
      </c>
      <c r="CD565" s="25" t="s">
        <v>2797</v>
      </c>
      <c r="CE565" s="18"/>
      <c r="CF565" s="18"/>
      <c r="CG565" s="18"/>
    </row>
    <row r="566" ht="18.75" hidden="1" customHeight="1">
      <c r="A566" s="14">
        <v>44742.989703969906</v>
      </c>
      <c r="B566" s="15" t="s">
        <v>15988</v>
      </c>
      <c r="C566" s="16" t="s">
        <v>15989</v>
      </c>
      <c r="D566" s="15" t="str">
        <f>IFERROR(__xludf.DUMMYFUNCTION("QUERY(TY_ALL_2023_Batch!$A$1:$E$824, ""SELECT E WHERE C='""&amp;B566&amp;""'"", 0)"),"#N/A")</f>
        <v>#N/A</v>
      </c>
      <c r="E566" s="15" t="s">
        <v>15990</v>
      </c>
      <c r="F566" s="15" t="s">
        <v>3763</v>
      </c>
      <c r="G566" s="15" t="s">
        <v>15991</v>
      </c>
      <c r="H566" s="15" t="s">
        <v>2785</v>
      </c>
      <c r="I566" s="17">
        <v>37206.0</v>
      </c>
      <c r="J566" s="15">
        <v>2020.0</v>
      </c>
      <c r="K566" s="15" t="s">
        <v>2941</v>
      </c>
      <c r="L566" s="15" t="s">
        <v>2787</v>
      </c>
      <c r="M566" s="18"/>
      <c r="N566" s="15" t="s">
        <v>1437</v>
      </c>
      <c r="O566" s="15" t="s">
        <v>15988</v>
      </c>
      <c r="P566" s="19" t="s">
        <v>15992</v>
      </c>
      <c r="Q566" s="15">
        <v>9.404331043E9</v>
      </c>
      <c r="R566" s="15">
        <v>9.404331043E9</v>
      </c>
      <c r="S566" s="15">
        <v>9.860602029E9</v>
      </c>
      <c r="T566" s="15" t="s">
        <v>15993</v>
      </c>
      <c r="U566" s="15" t="s">
        <v>15994</v>
      </c>
      <c r="V566" s="15" t="s">
        <v>15995</v>
      </c>
      <c r="W566" s="15" t="s">
        <v>15996</v>
      </c>
      <c r="X566" s="15">
        <v>86.6</v>
      </c>
      <c r="Y566" s="15" t="s">
        <v>2948</v>
      </c>
      <c r="Z566" s="15">
        <v>8.7</v>
      </c>
      <c r="AA566" s="15">
        <v>8.25</v>
      </c>
      <c r="AB566" s="15" t="s">
        <v>2796</v>
      </c>
      <c r="AC566" s="15" t="s">
        <v>2796</v>
      </c>
      <c r="AD566" s="15" t="s">
        <v>2796</v>
      </c>
      <c r="AE566" s="15" t="s">
        <v>2796</v>
      </c>
      <c r="AF566" s="18"/>
      <c r="AG566" s="18"/>
      <c r="AH566" s="18"/>
      <c r="AI566" s="15">
        <v>87.18</v>
      </c>
      <c r="AJ566" s="15" t="s">
        <v>2787</v>
      </c>
      <c r="AK566" s="15" t="s">
        <v>2787</v>
      </c>
      <c r="AL566" s="15">
        <v>36.33</v>
      </c>
      <c r="AM566" s="15" t="s">
        <v>2796</v>
      </c>
      <c r="AN566" s="15" t="s">
        <v>2797</v>
      </c>
      <c r="AO566" s="18"/>
      <c r="AP566" s="18"/>
      <c r="AQ566" s="15" t="s">
        <v>15997</v>
      </c>
      <c r="AR566" s="18"/>
      <c r="AS566" s="18"/>
      <c r="AT566" s="18"/>
      <c r="AU566" s="18"/>
      <c r="AV566" s="15" t="s">
        <v>15998</v>
      </c>
      <c r="AW566" s="15" t="s">
        <v>15999</v>
      </c>
      <c r="AX566" s="18"/>
      <c r="AY566" s="15" t="s">
        <v>16000</v>
      </c>
      <c r="AZ566" s="15" t="s">
        <v>9648</v>
      </c>
      <c r="BA566" s="15" t="s">
        <v>2870</v>
      </c>
      <c r="BB566" s="15" t="s">
        <v>2807</v>
      </c>
      <c r="BC566" s="15" t="s">
        <v>16001</v>
      </c>
      <c r="BD566" s="15" t="s">
        <v>3393</v>
      </c>
      <c r="BE566" s="15" t="s">
        <v>16002</v>
      </c>
      <c r="BF566" s="18"/>
      <c r="BG566" s="18"/>
      <c r="BH566" s="18"/>
      <c r="BI566" s="15" t="s">
        <v>16003</v>
      </c>
      <c r="BJ566" s="19" t="s">
        <v>16004</v>
      </c>
      <c r="BK566" s="19" t="s">
        <v>16005</v>
      </c>
      <c r="BL566" s="19" t="s">
        <v>16006</v>
      </c>
      <c r="BM566" s="18"/>
      <c r="BN566" s="19" t="s">
        <v>16007</v>
      </c>
      <c r="BO566" s="19" t="s">
        <v>16008</v>
      </c>
      <c r="BP566" s="19" t="s">
        <v>16009</v>
      </c>
      <c r="BQ566" s="15" t="s">
        <v>1321</v>
      </c>
      <c r="BR566" s="19" t="s">
        <v>16010</v>
      </c>
      <c r="BS566" s="19" t="s">
        <v>16011</v>
      </c>
      <c r="BT566" s="19" t="s">
        <v>16012</v>
      </c>
      <c r="BU566" s="19" t="s">
        <v>16013</v>
      </c>
      <c r="BV566" s="26"/>
      <c r="BW566" s="15" t="s">
        <v>16014</v>
      </c>
      <c r="BX566" s="26"/>
      <c r="BY566" s="18" t="str">
        <f t="shared" si="107"/>
        <v>MECH</v>
      </c>
      <c r="BZ566" s="24" t="str">
        <f t="shared" si="100"/>
        <v>https://drive.google.com/open?id=1Xn5bpMBplnAbGAOYpzrbOqWHAW5k6uv4</v>
      </c>
      <c r="CA566" s="18" t="str">
        <f t="shared" si="101"/>
        <v/>
      </c>
      <c r="CB566" s="15" t="s">
        <v>2821</v>
      </c>
      <c r="CC566" s="15" t="s">
        <v>2908</v>
      </c>
      <c r="CD566" s="25" t="s">
        <v>2909</v>
      </c>
      <c r="CE566" s="18"/>
      <c r="CF566" s="18"/>
      <c r="CG566" s="18"/>
    </row>
    <row r="567" ht="18.75" hidden="1" customHeight="1">
      <c r="A567" s="14">
        <v>44736.57460664352</v>
      </c>
      <c r="B567" s="15" t="s">
        <v>16015</v>
      </c>
      <c r="C567" s="16" t="s">
        <v>16016</v>
      </c>
      <c r="D567" s="15" t="str">
        <f>IFERROR(__xludf.DUMMYFUNCTION("QUERY(TY_ALL_2023_Batch!$A$1:$E$824, ""SELECT E WHERE C='""&amp;B567&amp;""'"", 0)"),"#N/A")</f>
        <v>#N/A</v>
      </c>
      <c r="E567" s="15" t="s">
        <v>2911</v>
      </c>
      <c r="F567" s="15" t="s">
        <v>2939</v>
      </c>
      <c r="G567" s="15" t="s">
        <v>16017</v>
      </c>
      <c r="H567" s="15" t="s">
        <v>2785</v>
      </c>
      <c r="I567" s="17">
        <v>37146.0</v>
      </c>
      <c r="J567" s="15">
        <v>2020.0</v>
      </c>
      <c r="K567" s="15" t="s">
        <v>2941</v>
      </c>
      <c r="L567" s="15" t="s">
        <v>2787</v>
      </c>
      <c r="M567" s="18"/>
      <c r="N567" s="15" t="s">
        <v>1386</v>
      </c>
      <c r="O567" s="15" t="s">
        <v>16015</v>
      </c>
      <c r="P567" s="19" t="s">
        <v>16018</v>
      </c>
      <c r="Q567" s="15">
        <v>8.657010114E9</v>
      </c>
      <c r="R567" s="15">
        <v>8.657010114E9</v>
      </c>
      <c r="S567" s="15">
        <v>7.887380678E9</v>
      </c>
      <c r="T567" s="15" t="s">
        <v>16019</v>
      </c>
      <c r="U567" s="15" t="s">
        <v>16020</v>
      </c>
      <c r="V567" s="15" t="s">
        <v>16021</v>
      </c>
      <c r="W567" s="15" t="s">
        <v>16022</v>
      </c>
      <c r="X567" s="15">
        <v>81.4</v>
      </c>
      <c r="Y567" s="15" t="s">
        <v>2948</v>
      </c>
      <c r="Z567" s="15">
        <v>9.05</v>
      </c>
      <c r="AA567" s="15">
        <v>8.95</v>
      </c>
      <c r="AB567" s="15">
        <v>8.95</v>
      </c>
      <c r="AC567" s="15">
        <v>9.13</v>
      </c>
      <c r="AD567" s="15" t="s">
        <v>2796</v>
      </c>
      <c r="AE567" s="15" t="s">
        <v>2796</v>
      </c>
      <c r="AF567" s="18"/>
      <c r="AG567" s="18"/>
      <c r="AH567" s="18"/>
      <c r="AI567" s="15">
        <v>92.05</v>
      </c>
      <c r="AJ567" s="15" t="s">
        <v>2787</v>
      </c>
      <c r="AK567" s="15" t="s">
        <v>2787</v>
      </c>
      <c r="AL567" s="18"/>
      <c r="AM567" s="18"/>
      <c r="AN567" s="15" t="s">
        <v>2797</v>
      </c>
      <c r="AO567" s="18"/>
      <c r="AP567" s="18"/>
      <c r="AQ567" s="15" t="s">
        <v>16023</v>
      </c>
      <c r="AR567" s="15" t="s">
        <v>16024</v>
      </c>
      <c r="AS567" s="15" t="s">
        <v>16025</v>
      </c>
      <c r="AT567" s="18"/>
      <c r="AU567" s="18"/>
      <c r="AV567" s="18"/>
      <c r="AW567" s="15" t="s">
        <v>16026</v>
      </c>
      <c r="AX567" s="18"/>
      <c r="AY567" s="15" t="s">
        <v>16027</v>
      </c>
      <c r="AZ567" s="15" t="s">
        <v>9648</v>
      </c>
      <c r="BA567" s="15" t="s">
        <v>2870</v>
      </c>
      <c r="BB567" s="15" t="s">
        <v>2807</v>
      </c>
      <c r="BC567" s="15" t="s">
        <v>13774</v>
      </c>
      <c r="BD567" s="15" t="s">
        <v>2807</v>
      </c>
      <c r="BE567" s="15" t="s">
        <v>16028</v>
      </c>
      <c r="BF567" s="18"/>
      <c r="BG567" s="18"/>
      <c r="BH567" s="18"/>
      <c r="BI567" s="18"/>
      <c r="BJ567" s="19" t="s">
        <v>16029</v>
      </c>
      <c r="BK567" s="19" t="s">
        <v>16030</v>
      </c>
      <c r="BL567" s="19" t="s">
        <v>16031</v>
      </c>
      <c r="BM567" s="19" t="s">
        <v>16032</v>
      </c>
      <c r="BN567" s="19" t="s">
        <v>16033</v>
      </c>
      <c r="BO567" s="19" t="s">
        <v>16034</v>
      </c>
      <c r="BP567" s="19" t="s">
        <v>16035</v>
      </c>
      <c r="BQ567" s="15" t="s">
        <v>1321</v>
      </c>
      <c r="BR567" s="26"/>
      <c r="BS567" s="26"/>
      <c r="BT567" s="26"/>
      <c r="BU567" s="26"/>
      <c r="BV567" s="26"/>
      <c r="BW567" s="26"/>
      <c r="BX567" s="26"/>
      <c r="BY567" s="18" t="str">
        <f t="shared" si="107"/>
        <v>MECH</v>
      </c>
      <c r="BZ567" s="24" t="str">
        <f t="shared" si="100"/>
        <v>https://drive.google.com/open?id=1oliAaxvh-bhVr2HGqxFNzdRoLVO-oM2E</v>
      </c>
      <c r="CA567" s="24" t="str">
        <f t="shared" si="101"/>
        <v>https://drive.google.com/open?id=1zPXHD8_c6Ic-4fwX4NvKjEuwd4Pqj8QP</v>
      </c>
      <c r="CB567" s="15" t="s">
        <v>2821</v>
      </c>
      <c r="CC567" s="15" t="s">
        <v>2821</v>
      </c>
      <c r="CD567" s="25" t="s">
        <v>2797</v>
      </c>
      <c r="CE567" s="18"/>
      <c r="CF567" s="18"/>
      <c r="CG567" s="18"/>
    </row>
    <row r="568" ht="18.75" hidden="1" customHeight="1">
      <c r="A568" s="14">
        <v>44742.97751917824</v>
      </c>
      <c r="B568" s="15" t="s">
        <v>16036</v>
      </c>
      <c r="C568" s="15">
        <v>2.20200178E8</v>
      </c>
      <c r="D568" s="15" t="str">
        <f>IFERROR(__xludf.DUMMYFUNCTION("QUERY(TY_ALL_2023_Batch!$A$1:$E$824, ""SELECT E WHERE C='""&amp;B568&amp;""'"", 0)"),"#N/A")</f>
        <v>#N/A</v>
      </c>
      <c r="E568" s="15" t="s">
        <v>14550</v>
      </c>
      <c r="F568" s="15" t="s">
        <v>12403</v>
      </c>
      <c r="G568" s="15" t="s">
        <v>16037</v>
      </c>
      <c r="H568" s="15" t="s">
        <v>2826</v>
      </c>
      <c r="I568" s="17">
        <v>37212.0</v>
      </c>
      <c r="J568" s="15">
        <v>2020.0</v>
      </c>
      <c r="K568" s="15" t="s">
        <v>2941</v>
      </c>
      <c r="L568" s="15" t="s">
        <v>2787</v>
      </c>
      <c r="M568" s="18"/>
      <c r="N568" s="15" t="s">
        <v>1446</v>
      </c>
      <c r="O568" s="15" t="s">
        <v>16038</v>
      </c>
      <c r="P568" s="19" t="s">
        <v>16039</v>
      </c>
      <c r="Q568" s="15">
        <v>7.559478272E9</v>
      </c>
      <c r="R568" s="15">
        <v>9.637967064E9</v>
      </c>
      <c r="S568" s="18"/>
      <c r="T568" s="15" t="s">
        <v>16040</v>
      </c>
      <c r="U568" s="15" t="s">
        <v>16041</v>
      </c>
      <c r="V568" s="15" t="s">
        <v>16042</v>
      </c>
      <c r="W568" s="15" t="s">
        <v>16043</v>
      </c>
      <c r="X568" s="15">
        <v>92.6</v>
      </c>
      <c r="Y568" s="15" t="s">
        <v>2948</v>
      </c>
      <c r="Z568" s="15">
        <v>8.38</v>
      </c>
      <c r="AA568" s="15">
        <v>8.34</v>
      </c>
      <c r="AB568" s="15" t="s">
        <v>2796</v>
      </c>
      <c r="AC568" s="15" t="s">
        <v>2796</v>
      </c>
      <c r="AD568" s="15" t="s">
        <v>2796</v>
      </c>
      <c r="AE568" s="15" t="s">
        <v>2796</v>
      </c>
      <c r="AF568" s="18"/>
      <c r="AG568" s="18"/>
      <c r="AH568" s="18"/>
      <c r="AI568" s="15">
        <v>92.05</v>
      </c>
      <c r="AJ568" s="15" t="s">
        <v>2787</v>
      </c>
      <c r="AK568" s="15" t="s">
        <v>2787</v>
      </c>
      <c r="AL568" s="15">
        <v>452.5</v>
      </c>
      <c r="AM568" s="15">
        <v>511.66</v>
      </c>
      <c r="AN568" s="15" t="s">
        <v>2797</v>
      </c>
      <c r="AO568" s="15" t="s">
        <v>2796</v>
      </c>
      <c r="AP568" s="15" t="s">
        <v>2796</v>
      </c>
      <c r="AQ568" s="15" t="s">
        <v>16044</v>
      </c>
      <c r="AR568" s="15" t="s">
        <v>16045</v>
      </c>
      <c r="AS568" s="15" t="s">
        <v>16046</v>
      </c>
      <c r="AT568" s="18"/>
      <c r="AU568" s="15" t="s">
        <v>2796</v>
      </c>
      <c r="AV568" s="15" t="s">
        <v>16047</v>
      </c>
      <c r="AW568" s="15" t="s">
        <v>16048</v>
      </c>
      <c r="AX568" s="18"/>
      <c r="AY568" s="15" t="s">
        <v>16049</v>
      </c>
      <c r="AZ568" s="15" t="s">
        <v>9648</v>
      </c>
      <c r="BA568" s="15" t="s">
        <v>2899</v>
      </c>
      <c r="BB568" s="15" t="s">
        <v>2807</v>
      </c>
      <c r="BC568" s="15" t="s">
        <v>16050</v>
      </c>
      <c r="BD568" s="15" t="s">
        <v>2807</v>
      </c>
      <c r="BE568" s="15" t="s">
        <v>2796</v>
      </c>
      <c r="BF568" s="15" t="s">
        <v>16051</v>
      </c>
      <c r="BG568" s="15" t="s">
        <v>16052</v>
      </c>
      <c r="BH568" s="15" t="s">
        <v>16053</v>
      </c>
      <c r="BI568" s="18"/>
      <c r="BJ568" s="19" t="s">
        <v>16054</v>
      </c>
      <c r="BK568" s="19" t="s">
        <v>16055</v>
      </c>
      <c r="BL568" s="19" t="s">
        <v>16056</v>
      </c>
      <c r="BM568" s="19" t="s">
        <v>16057</v>
      </c>
      <c r="BN568" s="19" t="s">
        <v>16058</v>
      </c>
      <c r="BO568" s="19" t="s">
        <v>16059</v>
      </c>
      <c r="BP568" s="19" t="s">
        <v>16060</v>
      </c>
      <c r="BQ568" s="15" t="s">
        <v>1321</v>
      </c>
      <c r="BR568" s="26"/>
      <c r="BS568" s="26"/>
      <c r="BT568" s="26"/>
      <c r="BU568" s="26"/>
      <c r="BV568" s="26"/>
      <c r="BW568" s="15" t="s">
        <v>16061</v>
      </c>
      <c r="BX568" s="26"/>
      <c r="BY568" s="18" t="str">
        <f t="shared" si="107"/>
        <v>MECH</v>
      </c>
      <c r="BZ568" s="24" t="str">
        <f t="shared" si="100"/>
        <v>https://drive.google.com/open?id=1AQUigvGbzO-Zo6nJOvATzZy8QwwkF54I</v>
      </c>
      <c r="CA568" s="24" t="str">
        <f t="shared" si="101"/>
        <v>https://drive.google.com/open?id=1EiTp3x-rX26oypY6ZSDsva4kbc-Xyt9h</v>
      </c>
      <c r="CB568" s="15" t="s">
        <v>2821</v>
      </c>
      <c r="CC568" s="15" t="s">
        <v>2821</v>
      </c>
      <c r="CD568" s="25" t="s">
        <v>2797</v>
      </c>
      <c r="CE568" s="18"/>
      <c r="CF568" s="18"/>
      <c r="CG568" s="18"/>
    </row>
    <row r="569" ht="18.75" hidden="1" customHeight="1">
      <c r="A569" s="14">
        <v>44735.9383571875</v>
      </c>
      <c r="B569" s="15" t="s">
        <v>16062</v>
      </c>
      <c r="C569" s="25">
        <v>2.20200132E8</v>
      </c>
      <c r="D569" s="15" t="str">
        <f>IFERROR(__xludf.DUMMYFUNCTION("QUERY(TY_ALL_2023_Batch!$A$1:$E$824, ""SELECT E WHERE C='""&amp;B569&amp;""'"", 0)"),"#N/A")</f>
        <v>#N/A</v>
      </c>
      <c r="E569" s="15" t="s">
        <v>4564</v>
      </c>
      <c r="F569" s="15" t="s">
        <v>16063</v>
      </c>
      <c r="G569" s="15" t="s">
        <v>16064</v>
      </c>
      <c r="H569" s="15" t="s">
        <v>2785</v>
      </c>
      <c r="I569" s="17">
        <v>37095.0</v>
      </c>
      <c r="J569" s="15">
        <v>2020.0</v>
      </c>
      <c r="K569" s="15" t="s">
        <v>2941</v>
      </c>
      <c r="L569" s="15" t="s">
        <v>2787</v>
      </c>
      <c r="M569" s="18"/>
      <c r="N569" s="15" t="s">
        <v>1521</v>
      </c>
      <c r="O569" s="15" t="s">
        <v>16062</v>
      </c>
      <c r="P569" s="19" t="s">
        <v>16065</v>
      </c>
      <c r="Q569" s="15">
        <v>9.834516703E9</v>
      </c>
      <c r="R569" s="15">
        <v>9.834516703E9</v>
      </c>
      <c r="S569" s="15">
        <v>9.834516703E9</v>
      </c>
      <c r="T569" s="15" t="s">
        <v>16066</v>
      </c>
      <c r="U569" s="15" t="s">
        <v>16067</v>
      </c>
      <c r="V569" s="15" t="s">
        <v>16068</v>
      </c>
      <c r="W569" s="15" t="s">
        <v>16069</v>
      </c>
      <c r="X569" s="15">
        <v>90.4</v>
      </c>
      <c r="Y569" s="15" t="s">
        <v>2948</v>
      </c>
      <c r="Z569" s="15">
        <v>8.29</v>
      </c>
      <c r="AA569" s="15">
        <v>8.48</v>
      </c>
      <c r="AB569" s="15" t="s">
        <v>2796</v>
      </c>
      <c r="AC569" s="15" t="s">
        <v>2796</v>
      </c>
      <c r="AD569" s="15" t="s">
        <v>2796</v>
      </c>
      <c r="AE569" s="15" t="s">
        <v>2796</v>
      </c>
      <c r="AF569" s="18"/>
      <c r="AG569" s="18"/>
      <c r="AH569" s="18"/>
      <c r="AI569" s="15">
        <v>94.36</v>
      </c>
      <c r="AJ569" s="15" t="s">
        <v>2787</v>
      </c>
      <c r="AK569" s="15" t="s">
        <v>2787</v>
      </c>
      <c r="AL569" s="15">
        <v>565.0</v>
      </c>
      <c r="AM569" s="15">
        <v>622.0</v>
      </c>
      <c r="AN569" s="15" t="s">
        <v>2797</v>
      </c>
      <c r="AO569" s="18"/>
      <c r="AP569" s="18"/>
      <c r="AQ569" s="15" t="s">
        <v>16070</v>
      </c>
      <c r="AR569" s="15" t="s">
        <v>16071</v>
      </c>
      <c r="AS569" s="18"/>
      <c r="AT569" s="18"/>
      <c r="AU569" s="18"/>
      <c r="AV569" s="15" t="s">
        <v>16072</v>
      </c>
      <c r="AW569" s="15" t="s">
        <v>16073</v>
      </c>
      <c r="AX569" s="18"/>
      <c r="AY569" s="15" t="s">
        <v>16074</v>
      </c>
      <c r="AZ569" s="15" t="s">
        <v>3960</v>
      </c>
      <c r="BA569" s="15" t="s">
        <v>2870</v>
      </c>
      <c r="BB569" s="15" t="s">
        <v>2807</v>
      </c>
      <c r="BC569" s="15" t="s">
        <v>2808</v>
      </c>
      <c r="BD569" s="15" t="s">
        <v>2842</v>
      </c>
      <c r="BE569" s="15" t="s">
        <v>16075</v>
      </c>
      <c r="BF569" s="15" t="s">
        <v>16076</v>
      </c>
      <c r="BG569" s="18"/>
      <c r="BH569" s="15" t="s">
        <v>16077</v>
      </c>
      <c r="BI569" s="15" t="s">
        <v>16078</v>
      </c>
      <c r="BJ569" s="15" t="s">
        <v>16079</v>
      </c>
      <c r="BK569" s="19" t="s">
        <v>16080</v>
      </c>
      <c r="BL569" s="19" t="s">
        <v>16081</v>
      </c>
      <c r="BM569" s="19" t="s">
        <v>16082</v>
      </c>
      <c r="BN569" s="19" t="s">
        <v>16083</v>
      </c>
      <c r="BO569" s="19" t="s">
        <v>16084</v>
      </c>
      <c r="BP569" s="19" t="s">
        <v>16085</v>
      </c>
      <c r="BQ569" s="15" t="s">
        <v>1321</v>
      </c>
      <c r="BR569" s="26"/>
      <c r="BS569" s="26"/>
      <c r="BT569" s="26"/>
      <c r="BU569" s="26"/>
      <c r="BV569" s="26"/>
      <c r="BW569" s="26"/>
      <c r="BX569" s="26"/>
      <c r="BY569" s="18" t="str">
        <f t="shared" si="107"/>
        <v>MECH</v>
      </c>
      <c r="BZ569" s="24" t="str">
        <f t="shared" si="100"/>
        <v>https://drive.google.com/open?id=1Ltlo9ajubtmN9thzru4_OLk5KwZlYWm8</v>
      </c>
      <c r="CA569" s="24" t="str">
        <f t="shared" si="101"/>
        <v>https://drive.google.com/open?id=1UBuhaBPkOVmZx3tPwvqhGjbY_8zX8Xwi</v>
      </c>
      <c r="CB569" s="15" t="s">
        <v>2821</v>
      </c>
      <c r="CC569" s="15" t="s">
        <v>2821</v>
      </c>
      <c r="CD569" s="25" t="s">
        <v>2797</v>
      </c>
      <c r="CE569" s="18"/>
      <c r="CF569" s="18"/>
      <c r="CG569" s="18"/>
    </row>
    <row r="570" ht="18.75" hidden="1" customHeight="1">
      <c r="A570" s="14">
        <v>44772.32448601852</v>
      </c>
      <c r="B570" s="15" t="s">
        <v>16086</v>
      </c>
      <c r="C570" s="16" t="s">
        <v>16087</v>
      </c>
      <c r="D570" s="15" t="str">
        <f>IFERROR(__xludf.DUMMYFUNCTION("QUERY(TY_ALL_2023_Batch!$A$1:$E$824, ""SELECT E WHERE C='""&amp;B570&amp;""'"", 0)"),"#N/A")</f>
        <v>#N/A</v>
      </c>
      <c r="E570" s="15" t="s">
        <v>16088</v>
      </c>
      <c r="F570" s="15" t="s">
        <v>4366</v>
      </c>
      <c r="G570" s="15" t="s">
        <v>16089</v>
      </c>
      <c r="H570" s="15" t="s">
        <v>2785</v>
      </c>
      <c r="I570" s="17">
        <v>36947.0</v>
      </c>
      <c r="J570" s="15">
        <v>2020.0</v>
      </c>
      <c r="K570" s="15" t="s">
        <v>2941</v>
      </c>
      <c r="L570" s="15" t="s">
        <v>2787</v>
      </c>
      <c r="M570" s="18"/>
      <c r="N570" s="15" t="s">
        <v>1368</v>
      </c>
      <c r="O570" s="15" t="s">
        <v>16086</v>
      </c>
      <c r="P570" s="19" t="s">
        <v>16090</v>
      </c>
      <c r="Q570" s="15">
        <v>9.922525764E9</v>
      </c>
      <c r="R570" s="15">
        <v>7.264834176E9</v>
      </c>
      <c r="S570" s="15">
        <v>9.922525764E9</v>
      </c>
      <c r="T570" s="15" t="s">
        <v>16091</v>
      </c>
      <c r="U570" s="15" t="s">
        <v>16092</v>
      </c>
      <c r="V570" s="15" t="s">
        <v>16093</v>
      </c>
      <c r="W570" s="15" t="s">
        <v>16094</v>
      </c>
      <c r="X570" s="15">
        <v>98.4</v>
      </c>
      <c r="Y570" s="15" t="s">
        <v>2948</v>
      </c>
      <c r="Z570" s="15">
        <v>9.25</v>
      </c>
      <c r="AA570" s="15">
        <v>8.95</v>
      </c>
      <c r="AB570" s="15">
        <v>9.0</v>
      </c>
      <c r="AC570" s="15">
        <v>8.57</v>
      </c>
      <c r="AD570" s="15" t="s">
        <v>2796</v>
      </c>
      <c r="AE570" s="15" t="s">
        <v>2796</v>
      </c>
      <c r="AF570" s="18"/>
      <c r="AG570" s="18"/>
      <c r="AH570" s="18"/>
      <c r="AI570" s="15">
        <v>92.38</v>
      </c>
      <c r="AJ570" s="15" t="s">
        <v>2787</v>
      </c>
      <c r="AK570" s="15" t="s">
        <v>2787</v>
      </c>
      <c r="AL570" s="15">
        <v>666.67</v>
      </c>
      <c r="AM570" s="15">
        <v>605.0</v>
      </c>
      <c r="AN570" s="15" t="s">
        <v>2797</v>
      </c>
      <c r="AO570" s="18"/>
      <c r="AP570" s="18"/>
      <c r="AQ570" s="15" t="s">
        <v>16095</v>
      </c>
      <c r="AR570" s="18"/>
      <c r="AS570" s="18"/>
      <c r="AT570" s="18"/>
      <c r="AU570" s="18"/>
      <c r="AV570" s="15" t="s">
        <v>16096</v>
      </c>
      <c r="AW570" s="15" t="s">
        <v>16097</v>
      </c>
      <c r="AX570" s="18"/>
      <c r="AY570" s="15" t="s">
        <v>16098</v>
      </c>
      <c r="AZ570" s="15" t="s">
        <v>3960</v>
      </c>
      <c r="BA570" s="15" t="s">
        <v>2870</v>
      </c>
      <c r="BB570" s="15" t="s">
        <v>2807</v>
      </c>
      <c r="BC570" s="15" t="s">
        <v>16099</v>
      </c>
      <c r="BD570" s="15" t="s">
        <v>2842</v>
      </c>
      <c r="BE570" s="15" t="s">
        <v>16100</v>
      </c>
      <c r="BF570" s="18"/>
      <c r="BG570" s="18"/>
      <c r="BH570" s="18"/>
      <c r="BI570" s="15" t="s">
        <v>16101</v>
      </c>
      <c r="BJ570" s="19" t="s">
        <v>16102</v>
      </c>
      <c r="BK570" s="19" t="s">
        <v>16103</v>
      </c>
      <c r="BL570" s="19" t="s">
        <v>16104</v>
      </c>
      <c r="BM570" s="19" t="s">
        <v>16105</v>
      </c>
      <c r="BN570" s="19" t="s">
        <v>16106</v>
      </c>
      <c r="BO570" s="19" t="s">
        <v>16107</v>
      </c>
      <c r="BP570" s="19" t="s">
        <v>16108</v>
      </c>
      <c r="BQ570" s="15" t="s">
        <v>1321</v>
      </c>
      <c r="BR570" s="19" t="s">
        <v>16109</v>
      </c>
      <c r="BS570" s="19" t="s">
        <v>16110</v>
      </c>
      <c r="BT570" s="19" t="s">
        <v>16111</v>
      </c>
      <c r="BU570" s="19" t="s">
        <v>16112</v>
      </c>
      <c r="BV570" s="19" t="s">
        <v>16113</v>
      </c>
      <c r="BW570" s="15" t="s">
        <v>16114</v>
      </c>
      <c r="BX570" s="26"/>
      <c r="BY570" s="18" t="str">
        <f t="shared" si="107"/>
        <v>MECH</v>
      </c>
      <c r="BZ570" s="24" t="str">
        <f t="shared" si="100"/>
        <v>https://drive.google.com/open?id=1isvRRfxSxiFWJemPOlxyTdnnbCWfmLRP</v>
      </c>
      <c r="CA570" s="24" t="str">
        <f t="shared" si="101"/>
        <v>https://drive.google.com/open?id=1Vcw6X5MbIng3CnL7fb0XGM3UcmBLMLW4</v>
      </c>
      <c r="CB570" s="15" t="s">
        <v>2821</v>
      </c>
      <c r="CC570" s="15" t="s">
        <v>2821</v>
      </c>
      <c r="CD570" s="25" t="s">
        <v>2909</v>
      </c>
      <c r="CE570" s="18"/>
      <c r="CF570" s="18"/>
      <c r="CG570" s="18"/>
    </row>
    <row r="571" ht="18.75" hidden="1" customHeight="1">
      <c r="A571" s="14">
        <v>44775.339619907405</v>
      </c>
      <c r="B571" s="15" t="s">
        <v>16115</v>
      </c>
      <c r="C571" s="16" t="s">
        <v>16116</v>
      </c>
      <c r="D571" s="15" t="str">
        <f>IFERROR(__xludf.DUMMYFUNCTION("QUERY(TY_ALL_2023_Batch!$A$1:$E$824, ""SELECT E WHERE C='""&amp;B571&amp;""'"", 0)"),"#N/A")</f>
        <v>#N/A</v>
      </c>
      <c r="E571" s="15" t="s">
        <v>2824</v>
      </c>
      <c r="F571" s="15" t="s">
        <v>2939</v>
      </c>
      <c r="G571" s="15" t="s">
        <v>16117</v>
      </c>
      <c r="H571" s="15" t="s">
        <v>2785</v>
      </c>
      <c r="I571" s="17">
        <v>37097.0</v>
      </c>
      <c r="J571" s="15">
        <v>2020.0</v>
      </c>
      <c r="K571" s="15" t="s">
        <v>2941</v>
      </c>
      <c r="L571" s="15" t="s">
        <v>2787</v>
      </c>
      <c r="M571" s="18"/>
      <c r="N571" s="15" t="s">
        <v>1392</v>
      </c>
      <c r="O571" s="15" t="s">
        <v>16115</v>
      </c>
      <c r="P571" s="19" t="s">
        <v>16118</v>
      </c>
      <c r="Q571" s="15">
        <v>8.999657163E9</v>
      </c>
      <c r="R571" s="15">
        <v>8.999657163E9</v>
      </c>
      <c r="S571" s="15">
        <v>9.637992563E9</v>
      </c>
      <c r="T571" s="15" t="s">
        <v>2939</v>
      </c>
      <c r="U571" s="15" t="s">
        <v>16119</v>
      </c>
      <c r="V571" s="15" t="s">
        <v>16120</v>
      </c>
      <c r="W571" s="15" t="s">
        <v>16121</v>
      </c>
      <c r="X571" s="15">
        <v>88.8</v>
      </c>
      <c r="Y571" s="15" t="s">
        <v>2948</v>
      </c>
      <c r="Z571" s="15">
        <v>8.62</v>
      </c>
      <c r="AA571" s="15">
        <v>8.33</v>
      </c>
      <c r="AB571" s="15">
        <v>9.0</v>
      </c>
      <c r="AC571" s="15">
        <v>9.52</v>
      </c>
      <c r="AD571" s="15" t="s">
        <v>2796</v>
      </c>
      <c r="AE571" s="15" t="s">
        <v>2796</v>
      </c>
      <c r="AF571" s="18"/>
      <c r="AG571" s="18"/>
      <c r="AH571" s="18"/>
      <c r="AI571" s="15">
        <v>93.44</v>
      </c>
      <c r="AJ571" s="15" t="s">
        <v>2787</v>
      </c>
      <c r="AK571" s="15" t="s">
        <v>2787</v>
      </c>
      <c r="AL571" s="15">
        <v>450.0</v>
      </c>
      <c r="AM571" s="15">
        <v>620.0</v>
      </c>
      <c r="AN571" s="15" t="s">
        <v>2797</v>
      </c>
      <c r="AO571" s="15">
        <v>0.0</v>
      </c>
      <c r="AP571" s="15">
        <v>0.0</v>
      </c>
      <c r="AQ571" s="15" t="s">
        <v>16122</v>
      </c>
      <c r="AR571" s="15" t="s">
        <v>16123</v>
      </c>
      <c r="AS571" s="15" t="s">
        <v>16124</v>
      </c>
      <c r="AT571" s="18"/>
      <c r="AU571" s="18"/>
      <c r="AV571" s="15" t="s">
        <v>16125</v>
      </c>
      <c r="AW571" s="15" t="s">
        <v>16126</v>
      </c>
      <c r="AX571" s="15" t="s">
        <v>16127</v>
      </c>
      <c r="AY571" s="15" t="s">
        <v>16128</v>
      </c>
      <c r="AZ571" s="15" t="s">
        <v>3960</v>
      </c>
      <c r="BA571" s="15" t="s">
        <v>4085</v>
      </c>
      <c r="BB571" s="15" t="s">
        <v>12859</v>
      </c>
      <c r="BC571" s="15" t="s">
        <v>13774</v>
      </c>
      <c r="BD571" s="15" t="s">
        <v>2842</v>
      </c>
      <c r="BE571" s="15" t="s">
        <v>16129</v>
      </c>
      <c r="BF571" s="15" t="s">
        <v>16130</v>
      </c>
      <c r="BG571" s="18"/>
      <c r="BH571" s="18"/>
      <c r="BI571" s="15" t="s">
        <v>16131</v>
      </c>
      <c r="BJ571" s="19" t="s">
        <v>16132</v>
      </c>
      <c r="BK571" s="19" t="s">
        <v>16133</v>
      </c>
      <c r="BL571" s="19" t="s">
        <v>16134</v>
      </c>
      <c r="BM571" s="19" t="s">
        <v>16135</v>
      </c>
      <c r="BN571" s="19" t="s">
        <v>16136</v>
      </c>
      <c r="BO571" s="19" t="s">
        <v>16137</v>
      </c>
      <c r="BP571" s="19" t="s">
        <v>16138</v>
      </c>
      <c r="BQ571" s="15" t="s">
        <v>1321</v>
      </c>
      <c r="BR571" s="26"/>
      <c r="BS571" s="26"/>
      <c r="BT571" s="19" t="s">
        <v>16139</v>
      </c>
      <c r="BU571" s="19" t="s">
        <v>16140</v>
      </c>
      <c r="BV571" s="19" t="s">
        <v>16141</v>
      </c>
      <c r="BW571" s="15" t="s">
        <v>16142</v>
      </c>
      <c r="BX571" s="26"/>
      <c r="BY571" s="18" t="str">
        <f t="shared" si="107"/>
        <v>MECH</v>
      </c>
      <c r="BZ571" s="24" t="str">
        <f t="shared" si="100"/>
        <v>https://drive.google.com/open?id=1wjAF6Z8s55yTD0LUouNJOMhztSULixYf</v>
      </c>
      <c r="CA571" s="24" t="str">
        <f t="shared" si="101"/>
        <v>https://drive.google.com/open?id=1lKKuELCT5AQmXRGGC9N3m7oTMep7QdI-</v>
      </c>
      <c r="CB571" s="15" t="s">
        <v>2821</v>
      </c>
      <c r="CC571" s="15" t="s">
        <v>2821</v>
      </c>
      <c r="CD571" s="25" t="s">
        <v>2909</v>
      </c>
      <c r="CE571" s="18"/>
      <c r="CF571" s="18"/>
      <c r="CG571" s="18"/>
    </row>
    <row r="572" ht="18.75" hidden="1" customHeight="1">
      <c r="A572" s="14">
        <v>44736.49186592593</v>
      </c>
      <c r="B572" s="15" t="s">
        <v>16143</v>
      </c>
      <c r="C572" s="16" t="s">
        <v>16144</v>
      </c>
      <c r="D572" s="15" t="str">
        <f>IFERROR(__xludf.DUMMYFUNCTION("QUERY(TY_ALL_2023_Batch!$A$1:$E$824, ""SELECT E WHERE C='""&amp;B572&amp;""'"", 0)"),"#N/A")</f>
        <v>#N/A</v>
      </c>
      <c r="E572" s="15" t="s">
        <v>5887</v>
      </c>
      <c r="F572" s="15" t="s">
        <v>16145</v>
      </c>
      <c r="G572" s="15" t="s">
        <v>16146</v>
      </c>
      <c r="H572" s="15" t="s">
        <v>2826</v>
      </c>
      <c r="I572" s="17">
        <v>36432.0</v>
      </c>
      <c r="J572" s="15">
        <v>2020.0</v>
      </c>
      <c r="K572" s="15" t="s">
        <v>2941</v>
      </c>
      <c r="L572" s="15" t="s">
        <v>2787</v>
      </c>
      <c r="M572" s="18"/>
      <c r="N572" s="15" t="s">
        <v>1578</v>
      </c>
      <c r="O572" s="15" t="s">
        <v>16143</v>
      </c>
      <c r="P572" s="19" t="s">
        <v>16147</v>
      </c>
      <c r="Q572" s="15">
        <v>8.788559822E9</v>
      </c>
      <c r="R572" s="15">
        <v>8.788559822E9</v>
      </c>
      <c r="S572" s="15">
        <v>9.370744861E9</v>
      </c>
      <c r="T572" s="15" t="s">
        <v>16145</v>
      </c>
      <c r="U572" s="15" t="s">
        <v>4717</v>
      </c>
      <c r="V572" s="15" t="s">
        <v>16148</v>
      </c>
      <c r="W572" s="15" t="s">
        <v>16149</v>
      </c>
      <c r="X572" s="15">
        <v>83.4</v>
      </c>
      <c r="Y572" s="15" t="s">
        <v>2948</v>
      </c>
      <c r="Z572" s="15">
        <v>8.33</v>
      </c>
      <c r="AA572" s="15">
        <v>8.52</v>
      </c>
      <c r="AB572" s="15" t="s">
        <v>2796</v>
      </c>
      <c r="AC572" s="15" t="s">
        <v>2796</v>
      </c>
      <c r="AD572" s="15" t="s">
        <v>2796</v>
      </c>
      <c r="AE572" s="15" t="s">
        <v>2796</v>
      </c>
      <c r="AF572" s="18"/>
      <c r="AG572" s="18"/>
      <c r="AH572" s="18"/>
      <c r="AI572" s="15">
        <v>72.93</v>
      </c>
      <c r="AJ572" s="15" t="s">
        <v>2787</v>
      </c>
      <c r="AK572" s="15" t="s">
        <v>2787</v>
      </c>
      <c r="AL572" s="18"/>
      <c r="AM572" s="18"/>
      <c r="AN572" s="15" t="s">
        <v>2797</v>
      </c>
      <c r="AO572" s="18"/>
      <c r="AP572" s="18"/>
      <c r="AQ572" s="15" t="s">
        <v>16150</v>
      </c>
      <c r="AR572" s="18"/>
      <c r="AS572" s="18"/>
      <c r="AT572" s="18"/>
      <c r="AU572" s="18"/>
      <c r="AV572" s="18"/>
      <c r="AW572" s="15" t="s">
        <v>16151</v>
      </c>
      <c r="AX572" s="18"/>
      <c r="AY572" s="15" t="s">
        <v>16152</v>
      </c>
      <c r="AZ572" s="15" t="s">
        <v>9648</v>
      </c>
      <c r="BA572" s="15" t="s">
        <v>2870</v>
      </c>
      <c r="BB572" s="15" t="s">
        <v>2807</v>
      </c>
      <c r="BC572" s="15" t="s">
        <v>16153</v>
      </c>
      <c r="BD572" s="15" t="s">
        <v>2807</v>
      </c>
      <c r="BE572" s="15" t="s">
        <v>2796</v>
      </c>
      <c r="BF572" s="18"/>
      <c r="BG572" s="18"/>
      <c r="BH572" s="18"/>
      <c r="BI572" s="18"/>
      <c r="BJ572" s="19" t="s">
        <v>16154</v>
      </c>
      <c r="BK572" s="19" t="s">
        <v>16155</v>
      </c>
      <c r="BL572" s="18"/>
      <c r="BM572" s="19" t="s">
        <v>16156</v>
      </c>
      <c r="BN572" s="19" t="s">
        <v>16157</v>
      </c>
      <c r="BO572" s="19" t="s">
        <v>16158</v>
      </c>
      <c r="BP572" s="18"/>
      <c r="BQ572" s="15" t="s">
        <v>1321</v>
      </c>
      <c r="BR572" s="26"/>
      <c r="BS572" s="26"/>
      <c r="BT572" s="26"/>
      <c r="BU572" s="26"/>
      <c r="BV572" s="26"/>
      <c r="BW572" s="26"/>
      <c r="BX572" s="26"/>
      <c r="BY572" s="18" t="str">
        <f t="shared" si="107"/>
        <v>MECH</v>
      </c>
      <c r="BZ572" s="18" t="str">
        <f t="shared" si="100"/>
        <v/>
      </c>
      <c r="CA572" s="24" t="str">
        <f t="shared" si="101"/>
        <v>https://drive.google.com/open?id=1m-tUfNooUujBLxrSqHNFFQLDKeU0DOiT</v>
      </c>
      <c r="CB572" s="15" t="s">
        <v>2908</v>
      </c>
      <c r="CC572" s="15" t="s">
        <v>2821</v>
      </c>
      <c r="CD572" s="25" t="s">
        <v>2797</v>
      </c>
      <c r="CE572" s="18"/>
      <c r="CF572" s="18"/>
      <c r="CG572" s="18"/>
    </row>
    <row r="573" ht="18.75" hidden="1" customHeight="1">
      <c r="A573" s="14">
        <v>44736.57369773148</v>
      </c>
      <c r="B573" s="15" t="s">
        <v>16159</v>
      </c>
      <c r="C573" s="16" t="s">
        <v>16160</v>
      </c>
      <c r="D573" s="15" t="str">
        <f>IFERROR(__xludf.DUMMYFUNCTION("QUERY(TY_ALL_2023_Batch!$A$1:$E$824, ""SELECT E WHERE C='""&amp;B573&amp;""'"", 0)"),"#N/A")</f>
        <v>#N/A</v>
      </c>
      <c r="E573" s="15" t="s">
        <v>16161</v>
      </c>
      <c r="F573" s="15" t="s">
        <v>6891</v>
      </c>
      <c r="G573" s="15" t="s">
        <v>16162</v>
      </c>
      <c r="H573" s="15" t="s">
        <v>2785</v>
      </c>
      <c r="I573" s="17">
        <v>36979.0</v>
      </c>
      <c r="J573" s="15">
        <v>2020.0</v>
      </c>
      <c r="K573" s="15" t="s">
        <v>2941</v>
      </c>
      <c r="L573" s="15" t="s">
        <v>2787</v>
      </c>
      <c r="M573" s="18"/>
      <c r="N573" s="15" t="s">
        <v>1362</v>
      </c>
      <c r="O573" s="15" t="s">
        <v>16159</v>
      </c>
      <c r="P573" s="19" t="s">
        <v>16163</v>
      </c>
      <c r="Q573" s="15">
        <v>9.309857608E9</v>
      </c>
      <c r="R573" s="15">
        <v>9.309857608E9</v>
      </c>
      <c r="S573" s="15">
        <v>9.922260922E9</v>
      </c>
      <c r="T573" s="15" t="s">
        <v>16164</v>
      </c>
      <c r="U573" s="15" t="s">
        <v>16165</v>
      </c>
      <c r="V573" s="15" t="s">
        <v>16166</v>
      </c>
      <c r="W573" s="15" t="s">
        <v>16167</v>
      </c>
      <c r="X573" s="15">
        <v>91.0</v>
      </c>
      <c r="Y573" s="15" t="s">
        <v>2948</v>
      </c>
      <c r="Z573" s="15">
        <v>9.53</v>
      </c>
      <c r="AA573" s="15">
        <v>8.61</v>
      </c>
      <c r="AB573" s="15" t="s">
        <v>2796</v>
      </c>
      <c r="AC573" s="15" t="s">
        <v>2796</v>
      </c>
      <c r="AD573" s="15" t="s">
        <v>2796</v>
      </c>
      <c r="AE573" s="15" t="s">
        <v>2796</v>
      </c>
      <c r="AF573" s="18"/>
      <c r="AG573" s="18"/>
      <c r="AH573" s="18"/>
      <c r="AI573" s="15">
        <v>92.63</v>
      </c>
      <c r="AJ573" s="15" t="s">
        <v>2787</v>
      </c>
      <c r="AK573" s="15" t="s">
        <v>2787</v>
      </c>
      <c r="AL573" s="15">
        <v>608.0</v>
      </c>
      <c r="AM573" s="15">
        <v>484.0</v>
      </c>
      <c r="AN573" s="15" t="s">
        <v>2797</v>
      </c>
      <c r="AO573" s="15" t="s">
        <v>2796</v>
      </c>
      <c r="AP573" s="15" t="s">
        <v>2796</v>
      </c>
      <c r="AQ573" s="15" t="s">
        <v>16168</v>
      </c>
      <c r="AR573" s="15" t="s">
        <v>16169</v>
      </c>
      <c r="AS573" s="15" t="s">
        <v>2796</v>
      </c>
      <c r="AT573" s="15" t="s">
        <v>2796</v>
      </c>
      <c r="AU573" s="15" t="s">
        <v>2796</v>
      </c>
      <c r="AV573" s="15" t="s">
        <v>2796</v>
      </c>
      <c r="AW573" s="15" t="s">
        <v>16170</v>
      </c>
      <c r="AX573" s="18"/>
      <c r="AY573" s="15" t="s">
        <v>16171</v>
      </c>
      <c r="AZ573" s="15" t="s">
        <v>8440</v>
      </c>
      <c r="BA573" s="15" t="s">
        <v>2870</v>
      </c>
      <c r="BB573" s="15" t="s">
        <v>2807</v>
      </c>
      <c r="BC573" s="15" t="s">
        <v>16172</v>
      </c>
      <c r="BD573" s="15" t="s">
        <v>2807</v>
      </c>
      <c r="BE573" s="15" t="s">
        <v>2796</v>
      </c>
      <c r="BF573" s="15" t="s">
        <v>2796</v>
      </c>
      <c r="BG573" s="15" t="s">
        <v>2796</v>
      </c>
      <c r="BH573" s="18"/>
      <c r="BI573" s="18"/>
      <c r="BJ573" s="19" t="s">
        <v>16173</v>
      </c>
      <c r="BK573" s="19" t="s">
        <v>16174</v>
      </c>
      <c r="BL573" s="19" t="s">
        <v>16175</v>
      </c>
      <c r="BM573" s="19" t="s">
        <v>16176</v>
      </c>
      <c r="BN573" s="19" t="s">
        <v>16177</v>
      </c>
      <c r="BO573" s="19" t="s">
        <v>16178</v>
      </c>
      <c r="BP573" s="18"/>
      <c r="BQ573" s="15" t="s">
        <v>1321</v>
      </c>
      <c r="BR573" s="26"/>
      <c r="BS573" s="26"/>
      <c r="BT573" s="26"/>
      <c r="BU573" s="26"/>
      <c r="BV573" s="26"/>
      <c r="BW573" s="26"/>
      <c r="BX573" s="26"/>
      <c r="BY573" s="18" t="str">
        <f t="shared" si="107"/>
        <v>MECH</v>
      </c>
      <c r="BZ573" s="24" t="str">
        <f t="shared" si="100"/>
        <v>https://drive.google.com/open?id=17F6EGZ6r40hR6MgZB7rlhQV76NrvwrVI</v>
      </c>
      <c r="CA573" s="24" t="str">
        <f t="shared" si="101"/>
        <v>https://drive.google.com/open?id=1LG34t4mQSr3rDy6pDacX89KxcA-AQ4sV</v>
      </c>
      <c r="CB573" s="15" t="s">
        <v>2821</v>
      </c>
      <c r="CC573" s="15" t="s">
        <v>2821</v>
      </c>
      <c r="CD573" s="25" t="s">
        <v>2797</v>
      </c>
      <c r="CE573" s="18"/>
      <c r="CF573" s="18"/>
      <c r="CG573" s="18"/>
    </row>
    <row r="574" ht="18.75" hidden="1" customHeight="1">
      <c r="A574" s="14">
        <v>44736.46500848379</v>
      </c>
      <c r="B574" s="15" t="s">
        <v>16179</v>
      </c>
      <c r="C574" s="16" t="s">
        <v>16180</v>
      </c>
      <c r="D574" s="15" t="str">
        <f>IFERROR(__xludf.DUMMYFUNCTION("QUERY(TY_ALL_2023_Batch!$A$1:$E$824, ""SELECT E WHERE C='""&amp;B574&amp;""'"", 0)"),"#N/A")</f>
        <v>#N/A</v>
      </c>
      <c r="E574" s="15" t="s">
        <v>16181</v>
      </c>
      <c r="F574" s="15" t="s">
        <v>2824</v>
      </c>
      <c r="G574" s="15" t="s">
        <v>16182</v>
      </c>
      <c r="H574" s="15" t="s">
        <v>2785</v>
      </c>
      <c r="I574" s="17">
        <v>37200.0</v>
      </c>
      <c r="J574" s="15">
        <v>2019.0</v>
      </c>
      <c r="K574" s="15" t="s">
        <v>2786</v>
      </c>
      <c r="L574" s="15" t="s">
        <v>2787</v>
      </c>
      <c r="M574" s="18"/>
      <c r="N574" s="15" t="s">
        <v>16183</v>
      </c>
      <c r="O574" s="15" t="s">
        <v>16179</v>
      </c>
      <c r="P574" s="19" t="s">
        <v>16184</v>
      </c>
      <c r="Q574" s="15">
        <v>9.284769501E9</v>
      </c>
      <c r="R574" s="15">
        <v>9.284769501E9</v>
      </c>
      <c r="S574" s="15">
        <v>7.378641436E9</v>
      </c>
      <c r="T574" s="15" t="s">
        <v>16185</v>
      </c>
      <c r="U574" s="15" t="s">
        <v>16186</v>
      </c>
      <c r="V574" s="15" t="s">
        <v>16187</v>
      </c>
      <c r="W574" s="15" t="s">
        <v>16188</v>
      </c>
      <c r="X574" s="15">
        <v>82.4</v>
      </c>
      <c r="Y574" s="15" t="s">
        <v>2795</v>
      </c>
      <c r="Z574" s="15">
        <v>8.48</v>
      </c>
      <c r="AA574" s="15">
        <v>7.62</v>
      </c>
      <c r="AB574" s="15" t="s">
        <v>2796</v>
      </c>
      <c r="AC574" s="15" t="s">
        <v>2796</v>
      </c>
      <c r="AD574" s="15" t="s">
        <v>2796</v>
      </c>
      <c r="AE574" s="15" t="s">
        <v>2796</v>
      </c>
      <c r="AF574" s="15">
        <v>7.79</v>
      </c>
      <c r="AG574" s="15">
        <v>7.14</v>
      </c>
      <c r="AH574" s="15">
        <v>60.0</v>
      </c>
      <c r="AI574" s="18"/>
      <c r="AJ574" s="15" t="s">
        <v>2787</v>
      </c>
      <c r="AK574" s="15" t="s">
        <v>2787</v>
      </c>
      <c r="AL574" s="15">
        <v>613.0</v>
      </c>
      <c r="AM574" s="15">
        <v>673.0</v>
      </c>
      <c r="AN574" s="15" t="s">
        <v>2787</v>
      </c>
      <c r="AO574" s="15" t="s">
        <v>16189</v>
      </c>
      <c r="AP574" s="15" t="s">
        <v>16190</v>
      </c>
      <c r="AQ574" s="15" t="s">
        <v>16191</v>
      </c>
      <c r="AR574" s="15" t="s">
        <v>16192</v>
      </c>
      <c r="AS574" s="15" t="s">
        <v>3005</v>
      </c>
      <c r="AT574" s="15" t="s">
        <v>3005</v>
      </c>
      <c r="AU574" s="15" t="s">
        <v>16193</v>
      </c>
      <c r="AV574" s="15" t="s">
        <v>16194</v>
      </c>
      <c r="AW574" s="15" t="s">
        <v>16195</v>
      </c>
      <c r="AX574" s="15" t="s">
        <v>16196</v>
      </c>
      <c r="AY574" s="15" t="s">
        <v>16196</v>
      </c>
      <c r="AZ574" s="15" t="s">
        <v>8440</v>
      </c>
      <c r="BA574" s="15" t="s">
        <v>2899</v>
      </c>
      <c r="BB574" s="15" t="s">
        <v>2807</v>
      </c>
      <c r="BC574" s="15" t="s">
        <v>13609</v>
      </c>
      <c r="BD574" s="15" t="s">
        <v>2807</v>
      </c>
      <c r="BE574" s="15" t="s">
        <v>2796</v>
      </c>
      <c r="BF574" s="15" t="s">
        <v>16197</v>
      </c>
      <c r="BG574" s="18"/>
      <c r="BH574" s="18"/>
      <c r="BI574" s="15" t="s">
        <v>16198</v>
      </c>
      <c r="BJ574" s="19" t="s">
        <v>16199</v>
      </c>
      <c r="BK574" s="19" t="s">
        <v>16200</v>
      </c>
      <c r="BL574" s="18"/>
      <c r="BM574" s="19" t="s">
        <v>16201</v>
      </c>
      <c r="BN574" s="19" t="s">
        <v>16202</v>
      </c>
      <c r="BO574" s="19" t="s">
        <v>16203</v>
      </c>
      <c r="BP574" s="19" t="s">
        <v>16204</v>
      </c>
      <c r="BQ574" s="15" t="s">
        <v>1321</v>
      </c>
      <c r="BR574" s="26"/>
      <c r="BS574" s="26"/>
      <c r="BT574" s="26"/>
      <c r="BU574" s="26"/>
      <c r="BV574" s="26"/>
      <c r="BW574" s="26"/>
      <c r="BX574" s="26"/>
      <c r="BY574" s="18" t="str">
        <f t="shared" si="107"/>
        <v>MECH</v>
      </c>
      <c r="BZ574" s="18" t="str">
        <f t="shared" si="100"/>
        <v/>
      </c>
      <c r="CA574" s="24" t="str">
        <f t="shared" si="101"/>
        <v>https://drive.google.com/open?id=16HOTnoIEsVkuprG2dqKZVqlF8zE0_9n2</v>
      </c>
      <c r="CB574" s="15" t="s">
        <v>2908</v>
      </c>
      <c r="CC574" s="15" t="s">
        <v>2821</v>
      </c>
      <c r="CD574" s="25" t="s">
        <v>2797</v>
      </c>
      <c r="CE574" s="18"/>
      <c r="CF574" s="18"/>
      <c r="CG574" s="18"/>
    </row>
    <row r="575" ht="18.75" hidden="1" customHeight="1">
      <c r="A575" s="14">
        <v>44773.401121041665</v>
      </c>
      <c r="B575" s="15" t="s">
        <v>16205</v>
      </c>
      <c r="C575" s="16" t="s">
        <v>16206</v>
      </c>
      <c r="D575" s="15" t="str">
        <f>IFERROR(__xludf.DUMMYFUNCTION("QUERY(TY_ALL_2023_Batch!$A$1:$E$824, ""SELECT E WHERE C='""&amp;B575&amp;""'"", 0)"),"#N/A")</f>
        <v>#N/A</v>
      </c>
      <c r="E575" s="15" t="s">
        <v>6294</v>
      </c>
      <c r="F575" s="15" t="s">
        <v>16207</v>
      </c>
      <c r="G575" s="15" t="s">
        <v>16208</v>
      </c>
      <c r="H575" s="15" t="s">
        <v>2785</v>
      </c>
      <c r="I575" s="17">
        <v>36731.0</v>
      </c>
      <c r="J575" s="15">
        <v>2019.0</v>
      </c>
      <c r="K575" s="15" t="s">
        <v>2786</v>
      </c>
      <c r="L575" s="15" t="s">
        <v>2787</v>
      </c>
      <c r="M575" s="18"/>
      <c r="N575" s="15" t="s">
        <v>16209</v>
      </c>
      <c r="O575" s="15" t="s">
        <v>16205</v>
      </c>
      <c r="P575" s="19" t="s">
        <v>16210</v>
      </c>
      <c r="Q575" s="15">
        <v>9.767694445E9</v>
      </c>
      <c r="R575" s="15">
        <v>9.850694445E9</v>
      </c>
      <c r="S575" s="18"/>
      <c r="T575" s="15" t="s">
        <v>16211</v>
      </c>
      <c r="U575" s="15" t="s">
        <v>16212</v>
      </c>
      <c r="V575" s="15" t="s">
        <v>16213</v>
      </c>
      <c r="W575" s="15" t="s">
        <v>16214</v>
      </c>
      <c r="X575" s="15">
        <v>90.0</v>
      </c>
      <c r="Y575" s="15" t="s">
        <v>2795</v>
      </c>
      <c r="Z575" s="15">
        <v>8.52</v>
      </c>
      <c r="AA575" s="15">
        <v>6.48</v>
      </c>
      <c r="AB575" s="15">
        <v>7.71</v>
      </c>
      <c r="AC575" s="15">
        <v>6.67</v>
      </c>
      <c r="AD575" s="15" t="s">
        <v>2796</v>
      </c>
      <c r="AE575" s="15" t="s">
        <v>2796</v>
      </c>
      <c r="AF575" s="15">
        <v>7.53</v>
      </c>
      <c r="AG575" s="15">
        <v>7.24</v>
      </c>
      <c r="AH575" s="15">
        <v>67.38</v>
      </c>
      <c r="AI575" s="18"/>
      <c r="AJ575" s="15" t="s">
        <v>2787</v>
      </c>
      <c r="AK575" s="15" t="s">
        <v>2787</v>
      </c>
      <c r="AL575" s="15">
        <v>60.0</v>
      </c>
      <c r="AM575" s="15">
        <v>95.0</v>
      </c>
      <c r="AN575" s="15" t="s">
        <v>2787</v>
      </c>
      <c r="AO575" s="15" t="s">
        <v>2796</v>
      </c>
      <c r="AP575" s="15" t="s">
        <v>16215</v>
      </c>
      <c r="AQ575" s="15" t="s">
        <v>6143</v>
      </c>
      <c r="AR575" s="18"/>
      <c r="AS575" s="15" t="s">
        <v>16216</v>
      </c>
      <c r="AT575" s="18"/>
      <c r="AU575" s="18"/>
      <c r="AV575" s="15" t="s">
        <v>16217</v>
      </c>
      <c r="AW575" s="15" t="s">
        <v>16218</v>
      </c>
      <c r="AX575" s="18"/>
      <c r="AY575" s="15" t="s">
        <v>16219</v>
      </c>
      <c r="AZ575" s="15" t="s">
        <v>2805</v>
      </c>
      <c r="BA575" s="15" t="s">
        <v>8414</v>
      </c>
      <c r="BB575" s="15" t="s">
        <v>2807</v>
      </c>
      <c r="BC575" s="15" t="s">
        <v>13107</v>
      </c>
      <c r="BD575" s="15" t="s">
        <v>2807</v>
      </c>
      <c r="BE575" s="15" t="s">
        <v>2796</v>
      </c>
      <c r="BF575" s="18"/>
      <c r="BG575" s="18"/>
      <c r="BH575" s="18"/>
      <c r="BI575" s="15" t="s">
        <v>16220</v>
      </c>
      <c r="BJ575" s="19" t="s">
        <v>16221</v>
      </c>
      <c r="BK575" s="19" t="s">
        <v>16222</v>
      </c>
      <c r="BL575" s="19" t="s">
        <v>16223</v>
      </c>
      <c r="BM575" s="19" t="s">
        <v>16224</v>
      </c>
      <c r="BN575" s="18"/>
      <c r="BO575" s="19" t="s">
        <v>16225</v>
      </c>
      <c r="BP575" s="19" t="s">
        <v>16226</v>
      </c>
      <c r="BQ575" s="15" t="s">
        <v>1321</v>
      </c>
      <c r="BR575" s="26"/>
      <c r="BS575" s="26"/>
      <c r="BT575" s="26"/>
      <c r="BU575" s="26"/>
      <c r="BV575" s="26"/>
      <c r="BW575" s="15" t="s">
        <v>16227</v>
      </c>
      <c r="BX575" s="26"/>
      <c r="BY575" s="18" t="str">
        <f t="shared" si="107"/>
        <v>MECH</v>
      </c>
      <c r="BZ575" s="24" t="str">
        <f t="shared" si="100"/>
        <v>https://drive.google.com/open?id=1ywNSZG8ivVo-hcer_CdI39DHbV_DHIRR</v>
      </c>
      <c r="CA575" s="24" t="str">
        <f t="shared" si="101"/>
        <v>https://drive.google.com/open?id=1d9NmXPC1WP-fCzZBBJhUg4EH-bOk0ArG</v>
      </c>
      <c r="CB575" s="15" t="s">
        <v>2821</v>
      </c>
      <c r="CC575" s="15" t="s">
        <v>2821</v>
      </c>
      <c r="CD575" s="25" t="s">
        <v>2797</v>
      </c>
      <c r="CE575" s="18"/>
      <c r="CF575" s="18"/>
      <c r="CG575" s="18"/>
    </row>
    <row r="576" ht="18.75" hidden="1" customHeight="1">
      <c r="A576" s="14">
        <v>44742.67442717592</v>
      </c>
      <c r="B576" s="15" t="s">
        <v>16228</v>
      </c>
      <c r="C576" s="16" t="s">
        <v>16229</v>
      </c>
      <c r="D576" s="15" t="str">
        <f>IFERROR(__xludf.DUMMYFUNCTION("QUERY(TY_ALL_2023_Batch!$A$1:$E$824, ""SELECT E WHERE C='""&amp;B576&amp;""'"", 0)"),"#N/A")</f>
        <v>#N/A</v>
      </c>
      <c r="E576" s="15" t="s">
        <v>13405</v>
      </c>
      <c r="F576" s="15" t="s">
        <v>16230</v>
      </c>
      <c r="G576" s="15" t="s">
        <v>16231</v>
      </c>
      <c r="H576" s="15" t="s">
        <v>2785</v>
      </c>
      <c r="I576" s="17">
        <v>35703.0</v>
      </c>
      <c r="J576" s="15">
        <v>2017.0</v>
      </c>
      <c r="K576" s="15" t="s">
        <v>2786</v>
      </c>
      <c r="L576" s="15" t="s">
        <v>2787</v>
      </c>
      <c r="M576" s="18"/>
      <c r="N576" s="15" t="s">
        <v>16232</v>
      </c>
      <c r="O576" s="15" t="s">
        <v>16228</v>
      </c>
      <c r="P576" s="15" t="s">
        <v>16233</v>
      </c>
      <c r="Q576" s="15">
        <v>8.668375984E9</v>
      </c>
      <c r="R576" s="15">
        <v>9.823662463E9</v>
      </c>
      <c r="S576" s="15">
        <v>8.668375984E9</v>
      </c>
      <c r="T576" s="15" t="s">
        <v>16230</v>
      </c>
      <c r="U576" s="15" t="s">
        <v>16234</v>
      </c>
      <c r="V576" s="15" t="s">
        <v>16235</v>
      </c>
      <c r="W576" s="15" t="s">
        <v>16235</v>
      </c>
      <c r="X576" s="15">
        <v>75.8</v>
      </c>
      <c r="Y576" s="15" t="s">
        <v>2795</v>
      </c>
      <c r="Z576" s="15">
        <v>7.25</v>
      </c>
      <c r="AA576" s="15">
        <v>7.55</v>
      </c>
      <c r="AB576" s="15" t="s">
        <v>2796</v>
      </c>
      <c r="AC576" s="15" t="s">
        <v>2796</v>
      </c>
      <c r="AD576" s="15" t="s">
        <v>2796</v>
      </c>
      <c r="AE576" s="15" t="s">
        <v>3005</v>
      </c>
      <c r="AF576" s="15">
        <v>7.1</v>
      </c>
      <c r="AG576" s="15">
        <v>7.21</v>
      </c>
      <c r="AH576" s="15">
        <v>55.8</v>
      </c>
      <c r="AI576" s="18"/>
      <c r="AJ576" s="15" t="s">
        <v>2797</v>
      </c>
      <c r="AK576" s="15" t="s">
        <v>2787</v>
      </c>
      <c r="AL576" s="18"/>
      <c r="AM576" s="18"/>
      <c r="AN576" s="15" t="s">
        <v>2797</v>
      </c>
      <c r="AO576" s="15" t="s">
        <v>16236</v>
      </c>
      <c r="AP576" s="18"/>
      <c r="AQ576" s="15" t="s">
        <v>2797</v>
      </c>
      <c r="AR576" s="15" t="s">
        <v>2797</v>
      </c>
      <c r="AS576" s="18"/>
      <c r="AT576" s="18"/>
      <c r="AU576" s="18"/>
      <c r="AV576" s="18"/>
      <c r="AW576" s="15" t="s">
        <v>2797</v>
      </c>
      <c r="AX576" s="18"/>
      <c r="AY576" s="15" t="s">
        <v>16237</v>
      </c>
      <c r="AZ576" s="15" t="s">
        <v>5287</v>
      </c>
      <c r="BA576" s="15" t="s">
        <v>10292</v>
      </c>
      <c r="BB576" s="15" t="s">
        <v>5729</v>
      </c>
      <c r="BC576" s="15" t="s">
        <v>16238</v>
      </c>
      <c r="BD576" s="15" t="s">
        <v>2807</v>
      </c>
      <c r="BE576" s="15" t="s">
        <v>3005</v>
      </c>
      <c r="BF576" s="18"/>
      <c r="BG576" s="18"/>
      <c r="BH576" s="18"/>
      <c r="BI576" s="18"/>
      <c r="BJ576" s="19" t="s">
        <v>16239</v>
      </c>
      <c r="BK576" s="19" t="s">
        <v>16240</v>
      </c>
      <c r="BL576" s="18"/>
      <c r="BM576" s="18"/>
      <c r="BN576" s="18"/>
      <c r="BO576" s="19" t="s">
        <v>16241</v>
      </c>
      <c r="BP576" s="18"/>
      <c r="BQ576" s="15" t="s">
        <v>1321</v>
      </c>
      <c r="BR576" s="26"/>
      <c r="BS576" s="26"/>
      <c r="BT576" s="26"/>
      <c r="BU576" s="26"/>
      <c r="BV576" s="26"/>
      <c r="BW576" s="15" t="s">
        <v>16242</v>
      </c>
      <c r="BX576" s="26"/>
      <c r="BY576" s="18" t="str">
        <f t="shared" si="107"/>
        <v>MECH</v>
      </c>
      <c r="BZ576" s="18" t="str">
        <f t="shared" si="100"/>
        <v/>
      </c>
      <c r="CA576" s="18" t="str">
        <f t="shared" si="101"/>
        <v/>
      </c>
      <c r="CB576" s="15" t="s">
        <v>2908</v>
      </c>
      <c r="CC576" s="15" t="s">
        <v>2908</v>
      </c>
      <c r="CD576" s="25" t="s">
        <v>2797</v>
      </c>
      <c r="CE576" s="18"/>
      <c r="CF576" s="18"/>
      <c r="CG576" s="18"/>
    </row>
    <row r="577" ht="18.75" hidden="1" customHeight="1">
      <c r="A577" s="14">
        <v>44735.54679396991</v>
      </c>
      <c r="B577" s="15" t="s">
        <v>16243</v>
      </c>
      <c r="C577" s="16" t="s">
        <v>16244</v>
      </c>
      <c r="D577" s="15" t="str">
        <f>IFERROR(__xludf.DUMMYFUNCTION("QUERY(TY_ALL_2023_Batch!$A$1:$E$824, ""SELECT E WHERE C='""&amp;B577&amp;""'"", 0)"),"#N/A")</f>
        <v>#N/A</v>
      </c>
      <c r="E577" s="15" t="s">
        <v>5378</v>
      </c>
      <c r="F577" s="15" t="s">
        <v>7947</v>
      </c>
      <c r="G577" s="15" t="s">
        <v>6086</v>
      </c>
      <c r="H577" s="15" t="s">
        <v>2785</v>
      </c>
      <c r="I577" s="17">
        <v>37049.0</v>
      </c>
      <c r="J577" s="15">
        <v>2020.0</v>
      </c>
      <c r="K577" s="15" t="s">
        <v>2941</v>
      </c>
      <c r="L577" s="15" t="s">
        <v>2787</v>
      </c>
      <c r="M577" s="18"/>
      <c r="N577" s="15" t="s">
        <v>1563</v>
      </c>
      <c r="O577" s="15" t="s">
        <v>16243</v>
      </c>
      <c r="P577" s="19" t="s">
        <v>16245</v>
      </c>
      <c r="Q577" s="15">
        <v>9.511953947E9</v>
      </c>
      <c r="R577" s="15">
        <v>9.511953947E9</v>
      </c>
      <c r="S577" s="18"/>
      <c r="T577" s="15" t="s">
        <v>7947</v>
      </c>
      <c r="U577" s="15" t="s">
        <v>3503</v>
      </c>
      <c r="V577" s="15" t="s">
        <v>16246</v>
      </c>
      <c r="W577" s="15" t="s">
        <v>16247</v>
      </c>
      <c r="X577" s="15">
        <v>79.0</v>
      </c>
      <c r="Y577" s="15" t="s">
        <v>2948</v>
      </c>
      <c r="Z577" s="15">
        <v>8.3</v>
      </c>
      <c r="AA577" s="15">
        <v>8.9</v>
      </c>
      <c r="AB577" s="15" t="s">
        <v>2796</v>
      </c>
      <c r="AC577" s="15" t="s">
        <v>2796</v>
      </c>
      <c r="AD577" s="15" t="s">
        <v>2796</v>
      </c>
      <c r="AE577" s="15" t="s">
        <v>2796</v>
      </c>
      <c r="AF577" s="18"/>
      <c r="AG577" s="18"/>
      <c r="AH577" s="18"/>
      <c r="AI577" s="15">
        <v>91.44</v>
      </c>
      <c r="AJ577" s="15" t="s">
        <v>2787</v>
      </c>
      <c r="AK577" s="15" t="s">
        <v>2787</v>
      </c>
      <c r="AL577" s="18"/>
      <c r="AM577" s="18"/>
      <c r="AN577" s="15" t="s">
        <v>2797</v>
      </c>
      <c r="AO577" s="18"/>
      <c r="AP577" s="18"/>
      <c r="AQ577" s="15" t="s">
        <v>16248</v>
      </c>
      <c r="AR577" s="18"/>
      <c r="AS577" s="18"/>
      <c r="AT577" s="18"/>
      <c r="AU577" s="18"/>
      <c r="AV577" s="15" t="s">
        <v>16249</v>
      </c>
      <c r="AW577" s="15" t="s">
        <v>16250</v>
      </c>
      <c r="AX577" s="18"/>
      <c r="AY577" s="15" t="s">
        <v>16251</v>
      </c>
      <c r="AZ577" s="15" t="s">
        <v>9648</v>
      </c>
      <c r="BA577" s="15" t="s">
        <v>2899</v>
      </c>
      <c r="BB577" s="15" t="s">
        <v>2807</v>
      </c>
      <c r="BC577" s="15" t="s">
        <v>16252</v>
      </c>
      <c r="BD577" s="15" t="s">
        <v>2807</v>
      </c>
      <c r="BE577" s="15" t="s">
        <v>16253</v>
      </c>
      <c r="BF577" s="18"/>
      <c r="BG577" s="18"/>
      <c r="BH577" s="18"/>
      <c r="BI577" s="18"/>
      <c r="BJ577" s="19" t="s">
        <v>16254</v>
      </c>
      <c r="BK577" s="19" t="s">
        <v>16255</v>
      </c>
      <c r="BL577" s="18"/>
      <c r="BM577" s="18"/>
      <c r="BN577" s="18"/>
      <c r="BO577" s="19" t="s">
        <v>16256</v>
      </c>
      <c r="BP577" s="19" t="s">
        <v>16257</v>
      </c>
      <c r="BQ577" s="15" t="s">
        <v>1321</v>
      </c>
      <c r="BR577" s="26"/>
      <c r="BS577" s="26"/>
      <c r="BT577" s="26"/>
      <c r="BU577" s="26"/>
      <c r="BV577" s="26"/>
      <c r="BW577" s="26"/>
      <c r="BX577" s="26"/>
      <c r="BY577" s="18" t="str">
        <f t="shared" si="107"/>
        <v>MECH</v>
      </c>
      <c r="BZ577" s="18" t="str">
        <f t="shared" si="100"/>
        <v/>
      </c>
      <c r="CA577" s="18" t="str">
        <f t="shared" si="101"/>
        <v/>
      </c>
      <c r="CB577" s="15" t="s">
        <v>2908</v>
      </c>
      <c r="CC577" s="15" t="s">
        <v>2908</v>
      </c>
      <c r="CD577" s="25" t="s">
        <v>2797</v>
      </c>
      <c r="CE577" s="18"/>
      <c r="CF577" s="18"/>
      <c r="CG577" s="18"/>
    </row>
    <row r="578" ht="18.75" hidden="1" customHeight="1">
      <c r="A578" s="14">
        <v>44735.743319050925</v>
      </c>
      <c r="B578" s="15" t="s">
        <v>16258</v>
      </c>
      <c r="C578" s="16" t="s">
        <v>16259</v>
      </c>
      <c r="D578" s="15" t="str">
        <f>IFERROR(__xludf.DUMMYFUNCTION("QUERY(TY_ALL_2023_Batch!$A$1:$E$824, ""SELECT E WHERE C='""&amp;B578&amp;""'"", 0)"),"#N/A")</f>
        <v>#N/A</v>
      </c>
      <c r="E578" s="15" t="s">
        <v>16260</v>
      </c>
      <c r="F578" s="15" t="s">
        <v>16261</v>
      </c>
      <c r="G578" s="15" t="s">
        <v>16262</v>
      </c>
      <c r="H578" s="15" t="s">
        <v>2826</v>
      </c>
      <c r="I578" s="17">
        <v>36968.0</v>
      </c>
      <c r="J578" s="15">
        <v>2020.0</v>
      </c>
      <c r="K578" s="15" t="s">
        <v>2941</v>
      </c>
      <c r="L578" s="15" t="s">
        <v>2787</v>
      </c>
      <c r="M578" s="18"/>
      <c r="N578" s="15" t="s">
        <v>16263</v>
      </c>
      <c r="O578" s="15" t="s">
        <v>16258</v>
      </c>
      <c r="P578" s="19" t="s">
        <v>16264</v>
      </c>
      <c r="Q578" s="15">
        <v>9.579764223E9</v>
      </c>
      <c r="R578" s="15">
        <v>9.579764223E9</v>
      </c>
      <c r="S578" s="15">
        <v>9.096822398E9</v>
      </c>
      <c r="T578" s="15" t="s">
        <v>16265</v>
      </c>
      <c r="U578" s="15" t="s">
        <v>16266</v>
      </c>
      <c r="V578" s="15" t="s">
        <v>16267</v>
      </c>
      <c r="W578" s="15" t="s">
        <v>16268</v>
      </c>
      <c r="X578" s="15">
        <v>84.0</v>
      </c>
      <c r="Y578" s="15" t="s">
        <v>2948</v>
      </c>
      <c r="Z578" s="15">
        <v>8.38</v>
      </c>
      <c r="AA578" s="15">
        <v>7.38</v>
      </c>
      <c r="AB578" s="15" t="s">
        <v>2796</v>
      </c>
      <c r="AC578" s="15">
        <v>7.58</v>
      </c>
      <c r="AD578" s="15" t="s">
        <v>3006</v>
      </c>
      <c r="AE578" s="15" t="s">
        <v>3006</v>
      </c>
      <c r="AF578" s="18"/>
      <c r="AG578" s="18"/>
      <c r="AH578" s="18"/>
      <c r="AI578" s="15">
        <v>85.65</v>
      </c>
      <c r="AJ578" s="15" t="s">
        <v>2787</v>
      </c>
      <c r="AK578" s="15" t="s">
        <v>2787</v>
      </c>
      <c r="AL578" s="15">
        <v>57.0</v>
      </c>
      <c r="AM578" s="15">
        <v>60.0</v>
      </c>
      <c r="AN578" s="15" t="s">
        <v>2787</v>
      </c>
      <c r="AO578" s="15" t="s">
        <v>16269</v>
      </c>
      <c r="AP578" s="15" t="s">
        <v>16189</v>
      </c>
      <c r="AQ578" s="15" t="s">
        <v>16270</v>
      </c>
      <c r="AR578" s="15" t="s">
        <v>16271</v>
      </c>
      <c r="AS578" s="15" t="s">
        <v>6951</v>
      </c>
      <c r="AT578" s="15" t="s">
        <v>16272</v>
      </c>
      <c r="AU578" s="18"/>
      <c r="AV578" s="15" t="s">
        <v>16273</v>
      </c>
      <c r="AW578" s="15" t="s">
        <v>16274</v>
      </c>
      <c r="AX578" s="15" t="s">
        <v>16275</v>
      </c>
      <c r="AY578" s="15" t="s">
        <v>16276</v>
      </c>
      <c r="AZ578" s="15" t="s">
        <v>9648</v>
      </c>
      <c r="BA578" s="15" t="s">
        <v>2899</v>
      </c>
      <c r="BB578" s="15" t="s">
        <v>2807</v>
      </c>
      <c r="BC578" s="15" t="s">
        <v>16277</v>
      </c>
      <c r="BD578" s="15" t="s">
        <v>2807</v>
      </c>
      <c r="BE578" s="15" t="s">
        <v>2796</v>
      </c>
      <c r="BF578" s="15" t="s">
        <v>2796</v>
      </c>
      <c r="BG578" s="15" t="s">
        <v>2796</v>
      </c>
      <c r="BH578" s="15" t="s">
        <v>16278</v>
      </c>
      <c r="BI578" s="15" t="s">
        <v>2797</v>
      </c>
      <c r="BJ578" s="19" t="s">
        <v>16279</v>
      </c>
      <c r="BK578" s="19" t="s">
        <v>16280</v>
      </c>
      <c r="BL578" s="18"/>
      <c r="BM578" s="19" t="s">
        <v>16281</v>
      </c>
      <c r="BN578" s="19" t="s">
        <v>16282</v>
      </c>
      <c r="BO578" s="19" t="s">
        <v>16283</v>
      </c>
      <c r="BP578" s="18"/>
      <c r="BQ578" s="15" t="s">
        <v>1321</v>
      </c>
      <c r="BR578" s="26"/>
      <c r="BS578" s="26"/>
      <c r="BT578" s="26"/>
      <c r="BU578" s="26"/>
      <c r="BV578" s="26"/>
      <c r="BW578" s="26"/>
      <c r="BX578" s="26"/>
      <c r="BY578" s="18" t="str">
        <f t="shared" si="107"/>
        <v>MECH</v>
      </c>
      <c r="BZ578" s="18" t="str">
        <f t="shared" si="100"/>
        <v/>
      </c>
      <c r="CA578" s="24" t="str">
        <f t="shared" si="101"/>
        <v>https://drive.google.com/open?id=1p0r8loyUA__P_m0pFo-TeoVvD0voQJOP</v>
      </c>
      <c r="CB578" s="15" t="s">
        <v>2908</v>
      </c>
      <c r="CC578" s="15" t="s">
        <v>2821</v>
      </c>
      <c r="CD578" s="25" t="s">
        <v>2797</v>
      </c>
      <c r="CE578" s="18"/>
      <c r="CF578" s="18"/>
      <c r="CG578" s="18"/>
    </row>
    <row r="579" ht="18.75" hidden="1" customHeight="1">
      <c r="A579" s="14">
        <v>44736.454553090276</v>
      </c>
      <c r="B579" s="15" t="s">
        <v>16284</v>
      </c>
      <c r="C579" s="16" t="s">
        <v>16285</v>
      </c>
      <c r="D579" s="15" t="str">
        <f>IFERROR(__xludf.DUMMYFUNCTION("QUERY(TY_ALL_2023_Batch!$A$1:$E$824, ""SELECT E WHERE C='""&amp;B579&amp;""'"", 0)"),"#N/A")</f>
        <v>#N/A</v>
      </c>
      <c r="E579" s="15" t="s">
        <v>3526</v>
      </c>
      <c r="F579" s="15" t="s">
        <v>16286</v>
      </c>
      <c r="G579" s="15" t="s">
        <v>4658</v>
      </c>
      <c r="H579" s="15" t="s">
        <v>2785</v>
      </c>
      <c r="I579" s="17">
        <v>36857.0</v>
      </c>
      <c r="J579" s="15">
        <v>2020.0</v>
      </c>
      <c r="K579" s="15" t="s">
        <v>2941</v>
      </c>
      <c r="L579" s="15" t="s">
        <v>2787</v>
      </c>
      <c r="M579" s="18"/>
      <c r="N579" s="15" t="s">
        <v>1485</v>
      </c>
      <c r="O579" s="15" t="s">
        <v>16284</v>
      </c>
      <c r="P579" s="19" t="s">
        <v>16287</v>
      </c>
      <c r="Q579" s="15">
        <v>9.370716248E9</v>
      </c>
      <c r="R579" s="15">
        <v>9.370716248E9</v>
      </c>
      <c r="S579" s="15">
        <v>7.385112995E9</v>
      </c>
      <c r="T579" s="15" t="s">
        <v>16286</v>
      </c>
      <c r="U579" s="15" t="s">
        <v>14902</v>
      </c>
      <c r="V579" s="15" t="s">
        <v>16288</v>
      </c>
      <c r="W579" s="15" t="s">
        <v>16289</v>
      </c>
      <c r="X579" s="15">
        <v>86.6</v>
      </c>
      <c r="Y579" s="15" t="s">
        <v>2948</v>
      </c>
      <c r="Z579" s="15">
        <v>8.14</v>
      </c>
      <c r="AA579" s="15">
        <v>8.38</v>
      </c>
      <c r="AB579" s="15" t="s">
        <v>2796</v>
      </c>
      <c r="AC579" s="15" t="s">
        <v>2796</v>
      </c>
      <c r="AD579" s="15" t="s">
        <v>2796</v>
      </c>
      <c r="AE579" s="15" t="s">
        <v>2796</v>
      </c>
      <c r="AF579" s="18"/>
      <c r="AG579" s="18"/>
      <c r="AH579" s="18"/>
      <c r="AI579" s="15">
        <v>90.97</v>
      </c>
      <c r="AJ579" s="15" t="s">
        <v>2797</v>
      </c>
      <c r="AK579" s="15" t="s">
        <v>2787</v>
      </c>
      <c r="AL579" s="18"/>
      <c r="AM579" s="15">
        <v>595.0</v>
      </c>
      <c r="AN579" s="15" t="s">
        <v>2797</v>
      </c>
      <c r="AO579" s="15" t="s">
        <v>2796</v>
      </c>
      <c r="AP579" s="15" t="s">
        <v>2796</v>
      </c>
      <c r="AQ579" s="15" t="s">
        <v>16290</v>
      </c>
      <c r="AR579" s="15" t="s">
        <v>16291</v>
      </c>
      <c r="AS579" s="15" t="s">
        <v>4912</v>
      </c>
      <c r="AT579" s="18"/>
      <c r="AU579" s="15" t="s">
        <v>2796</v>
      </c>
      <c r="AV579" s="18"/>
      <c r="AW579" s="15" t="s">
        <v>16292</v>
      </c>
      <c r="AX579" s="18"/>
      <c r="AY579" s="15" t="s">
        <v>16293</v>
      </c>
      <c r="AZ579" s="15" t="s">
        <v>9648</v>
      </c>
      <c r="BA579" s="15" t="s">
        <v>4085</v>
      </c>
      <c r="BB579" s="15" t="s">
        <v>16294</v>
      </c>
      <c r="BC579" s="15" t="s">
        <v>16295</v>
      </c>
      <c r="BD579" s="15" t="s">
        <v>2807</v>
      </c>
      <c r="BE579" s="15" t="s">
        <v>2796</v>
      </c>
      <c r="BF579" s="18"/>
      <c r="BG579" s="18"/>
      <c r="BH579" s="18"/>
      <c r="BI579" s="18"/>
      <c r="BJ579" s="19" t="s">
        <v>16296</v>
      </c>
      <c r="BK579" s="19" t="s">
        <v>16297</v>
      </c>
      <c r="BL579" s="18"/>
      <c r="BM579" s="18"/>
      <c r="BN579" s="19" t="s">
        <v>16298</v>
      </c>
      <c r="BO579" s="19" t="s">
        <v>16299</v>
      </c>
      <c r="BP579" s="18"/>
      <c r="BQ579" s="15" t="s">
        <v>1321</v>
      </c>
      <c r="BR579" s="26"/>
      <c r="BS579" s="26"/>
      <c r="BT579" s="26"/>
      <c r="BU579" s="26"/>
      <c r="BV579" s="26"/>
      <c r="BW579" s="26"/>
      <c r="BX579" s="26"/>
      <c r="BY579" s="18" t="str">
        <f t="shared" si="107"/>
        <v>MECH</v>
      </c>
      <c r="BZ579" s="18" t="str">
        <f t="shared" si="100"/>
        <v/>
      </c>
      <c r="CA579" s="18" t="str">
        <f t="shared" si="101"/>
        <v/>
      </c>
      <c r="CB579" s="15" t="s">
        <v>2908</v>
      </c>
      <c r="CC579" s="15" t="s">
        <v>2908</v>
      </c>
      <c r="CD579" s="25" t="s">
        <v>2797</v>
      </c>
      <c r="CE579" s="18"/>
      <c r="CF579" s="18"/>
      <c r="CG579" s="18"/>
    </row>
    <row r="580" ht="18.75" hidden="1" customHeight="1">
      <c r="A580" s="14">
        <v>44737.392555729166</v>
      </c>
      <c r="B580" s="15" t="s">
        <v>16300</v>
      </c>
      <c r="C580" s="16" t="s">
        <v>16301</v>
      </c>
      <c r="D580" s="15" t="str">
        <f>IFERROR(__xludf.DUMMYFUNCTION("QUERY(TY_ALL_2023_Batch!$A$1:$E$824, ""SELECT E WHERE C='""&amp;B580&amp;""'"", 0)"),"#N/A")</f>
        <v>#N/A</v>
      </c>
      <c r="E580" s="15" t="s">
        <v>16302</v>
      </c>
      <c r="F580" s="15" t="s">
        <v>16303</v>
      </c>
      <c r="G580" s="15" t="s">
        <v>16304</v>
      </c>
      <c r="H580" s="15" t="s">
        <v>2826</v>
      </c>
      <c r="I580" s="17">
        <v>37413.0</v>
      </c>
      <c r="J580" s="15">
        <v>2020.0</v>
      </c>
      <c r="K580" s="15" t="s">
        <v>2941</v>
      </c>
      <c r="L580" s="15" t="s">
        <v>2787</v>
      </c>
      <c r="M580" s="18"/>
      <c r="N580" s="15" t="s">
        <v>16305</v>
      </c>
      <c r="O580" s="15" t="s">
        <v>16306</v>
      </c>
      <c r="P580" s="19" t="s">
        <v>16307</v>
      </c>
      <c r="Q580" s="15">
        <v>7.038267906E9</v>
      </c>
      <c r="R580" s="15">
        <v>7.219376619E9</v>
      </c>
      <c r="S580" s="15">
        <v>8.007014091E9</v>
      </c>
      <c r="T580" s="15" t="s">
        <v>16303</v>
      </c>
      <c r="U580" s="15" t="s">
        <v>16308</v>
      </c>
      <c r="V580" s="15" t="s">
        <v>16309</v>
      </c>
      <c r="W580" s="15" t="s">
        <v>16310</v>
      </c>
      <c r="X580" s="15">
        <v>88.4</v>
      </c>
      <c r="Y580" s="15" t="s">
        <v>2948</v>
      </c>
      <c r="Z580" s="15">
        <v>7.8</v>
      </c>
      <c r="AA580" s="15">
        <v>7.9</v>
      </c>
      <c r="AB580" s="15" t="s">
        <v>2796</v>
      </c>
      <c r="AC580" s="15" t="s">
        <v>2796</v>
      </c>
      <c r="AD580" s="15" t="s">
        <v>2796</v>
      </c>
      <c r="AE580" s="15" t="s">
        <v>2796</v>
      </c>
      <c r="AF580" s="18"/>
      <c r="AG580" s="18"/>
      <c r="AH580" s="18"/>
      <c r="AI580" s="15">
        <v>81.34</v>
      </c>
      <c r="AJ580" s="15" t="s">
        <v>2787</v>
      </c>
      <c r="AK580" s="15" t="s">
        <v>2787</v>
      </c>
      <c r="AL580" s="15">
        <v>465.0</v>
      </c>
      <c r="AM580" s="15">
        <v>563.0</v>
      </c>
      <c r="AN580" s="15" t="s">
        <v>2797</v>
      </c>
      <c r="AO580" s="15" t="s">
        <v>2796</v>
      </c>
      <c r="AP580" s="15" t="s">
        <v>2796</v>
      </c>
      <c r="AQ580" s="15" t="s">
        <v>16311</v>
      </c>
      <c r="AR580" s="15" t="s">
        <v>16312</v>
      </c>
      <c r="AS580" s="15" t="s">
        <v>16313</v>
      </c>
      <c r="AT580" s="15" t="s">
        <v>10477</v>
      </c>
      <c r="AU580" s="15" t="s">
        <v>16314</v>
      </c>
      <c r="AV580" s="15" t="s">
        <v>16315</v>
      </c>
      <c r="AW580" s="15" t="s">
        <v>16316</v>
      </c>
      <c r="AX580" s="15" t="s">
        <v>16317</v>
      </c>
      <c r="AY580" s="15" t="s">
        <v>16318</v>
      </c>
      <c r="AZ580" s="15" t="s">
        <v>3960</v>
      </c>
      <c r="BA580" s="15" t="s">
        <v>2899</v>
      </c>
      <c r="BB580" s="15" t="s">
        <v>2840</v>
      </c>
      <c r="BC580" s="15" t="s">
        <v>16319</v>
      </c>
      <c r="BD580" s="15" t="s">
        <v>2807</v>
      </c>
      <c r="BE580" s="15" t="s">
        <v>16320</v>
      </c>
      <c r="BF580" s="15" t="s">
        <v>16321</v>
      </c>
      <c r="BG580" s="15" t="s">
        <v>3005</v>
      </c>
      <c r="BH580" s="15" t="s">
        <v>16322</v>
      </c>
      <c r="BI580" s="15" t="s">
        <v>16323</v>
      </c>
      <c r="BJ580" s="19" t="s">
        <v>16324</v>
      </c>
      <c r="BK580" s="19" t="s">
        <v>16325</v>
      </c>
      <c r="BL580" s="19" t="s">
        <v>16326</v>
      </c>
      <c r="BM580" s="19" t="s">
        <v>16327</v>
      </c>
      <c r="BN580" s="19" t="s">
        <v>16328</v>
      </c>
      <c r="BO580" s="19" t="s">
        <v>16329</v>
      </c>
      <c r="BP580" s="19" t="s">
        <v>16330</v>
      </c>
      <c r="BQ580" s="15" t="s">
        <v>1321</v>
      </c>
      <c r="BR580" s="26"/>
      <c r="BS580" s="26"/>
      <c r="BT580" s="19" t="s">
        <v>16331</v>
      </c>
      <c r="BU580" s="26"/>
      <c r="BV580" s="26"/>
      <c r="BW580" s="15" t="s">
        <v>16332</v>
      </c>
      <c r="BX580" s="26"/>
      <c r="BY580" s="18" t="str">
        <f t="shared" si="107"/>
        <v>MECH</v>
      </c>
      <c r="BZ580" s="24" t="str">
        <f t="shared" si="100"/>
        <v>https://drive.google.com/open?id=1YInSUPptaHsW6osHd_JHhrUW2WGZTqHr</v>
      </c>
      <c r="CA580" s="24" t="str">
        <f t="shared" si="101"/>
        <v>https://drive.google.com/open?id=1XLYDGKR7i50epdN2Hjj1tYprzfND6Jy3</v>
      </c>
      <c r="CB580" s="15" t="s">
        <v>2821</v>
      </c>
      <c r="CC580" s="15" t="s">
        <v>2821</v>
      </c>
      <c r="CD580" s="25" t="s">
        <v>2909</v>
      </c>
      <c r="CE580" s="18"/>
      <c r="CF580" s="18"/>
      <c r="CG580" s="18"/>
    </row>
    <row r="581" ht="18.75" hidden="1" customHeight="1">
      <c r="A581" s="14">
        <v>44742.94637481481</v>
      </c>
      <c r="B581" s="15" t="s">
        <v>16333</v>
      </c>
      <c r="C581" s="16" t="s">
        <v>16334</v>
      </c>
      <c r="D581" s="15" t="str">
        <f>IFERROR(__xludf.DUMMYFUNCTION("QUERY(TY_ALL_2023_Batch!$A$1:$E$824, ""SELECT E WHERE C='""&amp;B581&amp;""'"", 0)"),"#N/A")</f>
        <v>#N/A</v>
      </c>
      <c r="E581" s="15" t="s">
        <v>16335</v>
      </c>
      <c r="F581" s="15" t="s">
        <v>2972</v>
      </c>
      <c r="G581" s="15" t="s">
        <v>16336</v>
      </c>
      <c r="H581" s="15" t="s">
        <v>2826</v>
      </c>
      <c r="I581" s="17">
        <v>37374.0</v>
      </c>
      <c r="J581" s="15">
        <v>2020.0</v>
      </c>
      <c r="K581" s="15" t="s">
        <v>2941</v>
      </c>
      <c r="L581" s="15" t="s">
        <v>2787</v>
      </c>
      <c r="M581" s="18"/>
      <c r="N581" s="15" t="s">
        <v>1470</v>
      </c>
      <c r="O581" s="15" t="s">
        <v>16333</v>
      </c>
      <c r="P581" s="19" t="s">
        <v>16337</v>
      </c>
      <c r="Q581" s="15">
        <v>9.689515461E9</v>
      </c>
      <c r="R581" s="15">
        <v>9.689515461E9</v>
      </c>
      <c r="S581" s="15">
        <v>9.763033609E9</v>
      </c>
      <c r="T581" s="15" t="s">
        <v>16338</v>
      </c>
      <c r="U581" s="15" t="s">
        <v>16339</v>
      </c>
      <c r="V581" s="15" t="s">
        <v>16340</v>
      </c>
      <c r="W581" s="15" t="s">
        <v>16341</v>
      </c>
      <c r="X581" s="15">
        <v>68.8</v>
      </c>
      <c r="Y581" s="15" t="s">
        <v>2948</v>
      </c>
      <c r="Z581" s="15">
        <v>7.76</v>
      </c>
      <c r="AA581" s="15">
        <v>7.74</v>
      </c>
      <c r="AB581" s="15" t="s">
        <v>2796</v>
      </c>
      <c r="AC581" s="15" t="s">
        <v>2796</v>
      </c>
      <c r="AD581" s="15" t="s">
        <v>2796</v>
      </c>
      <c r="AE581" s="15" t="s">
        <v>2796</v>
      </c>
      <c r="AF581" s="18"/>
      <c r="AG581" s="18"/>
      <c r="AH581" s="18"/>
      <c r="AI581" s="15">
        <v>86.77</v>
      </c>
      <c r="AJ581" s="15" t="s">
        <v>2787</v>
      </c>
      <c r="AK581" s="15" t="s">
        <v>2787</v>
      </c>
      <c r="AL581" s="18"/>
      <c r="AM581" s="18"/>
      <c r="AN581" s="15" t="s">
        <v>2797</v>
      </c>
      <c r="AO581" s="15" t="s">
        <v>2797</v>
      </c>
      <c r="AP581" s="15" t="s">
        <v>2797</v>
      </c>
      <c r="AQ581" s="15" t="s">
        <v>4843</v>
      </c>
      <c r="AR581" s="18"/>
      <c r="AS581" s="15"/>
      <c r="AT581" s="18"/>
      <c r="AU581" s="18"/>
      <c r="AV581" s="15" t="s">
        <v>16342</v>
      </c>
      <c r="AW581" s="15" t="s">
        <v>16343</v>
      </c>
      <c r="AX581" s="18"/>
      <c r="AY581" s="15" t="s">
        <v>16344</v>
      </c>
      <c r="AZ581" s="15" t="s">
        <v>9648</v>
      </c>
      <c r="BA581" s="15" t="s">
        <v>2870</v>
      </c>
      <c r="BB581" s="15" t="s">
        <v>2807</v>
      </c>
      <c r="BC581" s="15" t="s">
        <v>16345</v>
      </c>
      <c r="BD581" s="15" t="s">
        <v>2807</v>
      </c>
      <c r="BE581" s="15" t="s">
        <v>2796</v>
      </c>
      <c r="BF581" s="15" t="s">
        <v>2796</v>
      </c>
      <c r="BG581" s="15" t="s">
        <v>16346</v>
      </c>
      <c r="BH581" s="18"/>
      <c r="BI581" s="15" t="s">
        <v>2796</v>
      </c>
      <c r="BJ581" s="19" t="s">
        <v>16347</v>
      </c>
      <c r="BK581" s="19" t="s">
        <v>16348</v>
      </c>
      <c r="BL581" s="18"/>
      <c r="BM581" s="18"/>
      <c r="BN581" s="18"/>
      <c r="BO581" s="19" t="s">
        <v>16349</v>
      </c>
      <c r="BP581" s="19" t="s">
        <v>16350</v>
      </c>
      <c r="BQ581" s="15" t="s">
        <v>1321</v>
      </c>
      <c r="BR581" s="19" t="s">
        <v>16351</v>
      </c>
      <c r="BS581" s="19" t="s">
        <v>16352</v>
      </c>
      <c r="BT581" s="19" t="s">
        <v>16353</v>
      </c>
      <c r="BU581" s="26"/>
      <c r="BV581" s="26"/>
      <c r="BW581" s="15" t="s">
        <v>16354</v>
      </c>
      <c r="BX581" s="26"/>
      <c r="BY581" s="18" t="str">
        <f t="shared" si="107"/>
        <v>MECH</v>
      </c>
      <c r="BZ581" s="18" t="str">
        <f t="shared" si="100"/>
        <v/>
      </c>
      <c r="CA581" s="18" t="str">
        <f t="shared" si="101"/>
        <v/>
      </c>
      <c r="CB581" s="15" t="s">
        <v>2908</v>
      </c>
      <c r="CC581" s="15" t="s">
        <v>2908</v>
      </c>
      <c r="CD581" s="25" t="s">
        <v>2909</v>
      </c>
      <c r="CE581" s="18"/>
      <c r="CF581" s="18"/>
      <c r="CG581" s="18"/>
    </row>
    <row r="582" ht="18.75" hidden="1" customHeight="1">
      <c r="A582" s="14">
        <v>44734.67000935185</v>
      </c>
      <c r="B582" s="15" t="s">
        <v>16355</v>
      </c>
      <c r="C582" s="16" t="s">
        <v>16356</v>
      </c>
      <c r="D582" s="15" t="str">
        <f>IFERROR(__xludf.DUMMYFUNCTION("QUERY(TY_ALL_2023_Batch!$A$1:$E$824, ""SELECT E WHERE C='""&amp;B582&amp;""'"", 0)"),"#N/A")</f>
        <v>#N/A</v>
      </c>
      <c r="E582" s="15" t="s">
        <v>16357</v>
      </c>
      <c r="F582" s="15" t="s">
        <v>7858</v>
      </c>
      <c r="G582" s="15" t="s">
        <v>16358</v>
      </c>
      <c r="H582" s="15" t="s">
        <v>2785</v>
      </c>
      <c r="I582" s="17">
        <v>36303.0</v>
      </c>
      <c r="J582" s="15">
        <v>2020.0</v>
      </c>
      <c r="K582" s="15" t="s">
        <v>2941</v>
      </c>
      <c r="L582" s="15" t="s">
        <v>2787</v>
      </c>
      <c r="M582" s="18"/>
      <c r="N582" s="15" t="s">
        <v>1488</v>
      </c>
      <c r="O582" s="15" t="s">
        <v>16355</v>
      </c>
      <c r="P582" s="19" t="s">
        <v>16359</v>
      </c>
      <c r="Q582" s="15">
        <v>7.666445729E9</v>
      </c>
      <c r="R582" s="15">
        <v>7.666445729E9</v>
      </c>
      <c r="S582" s="15">
        <v>9.604278778E9</v>
      </c>
      <c r="T582" s="15" t="s">
        <v>7858</v>
      </c>
      <c r="U582" s="15" t="s">
        <v>4073</v>
      </c>
      <c r="V582" s="15" t="s">
        <v>16360</v>
      </c>
      <c r="W582" s="15" t="s">
        <v>16361</v>
      </c>
      <c r="X582" s="15">
        <v>88.4</v>
      </c>
      <c r="Y582" s="15" t="s">
        <v>2948</v>
      </c>
      <c r="Z582" s="15">
        <v>7.9</v>
      </c>
      <c r="AA582" s="15">
        <v>7.9</v>
      </c>
      <c r="AB582" s="15">
        <v>8.4</v>
      </c>
      <c r="AC582" s="15" t="s">
        <v>2796</v>
      </c>
      <c r="AD582" s="15" t="s">
        <v>2796</v>
      </c>
      <c r="AE582" s="15" t="s">
        <v>2796</v>
      </c>
      <c r="AF582" s="18"/>
      <c r="AG582" s="18"/>
      <c r="AH582" s="18"/>
      <c r="AI582" s="15">
        <v>93.74</v>
      </c>
      <c r="AJ582" s="15" t="s">
        <v>2787</v>
      </c>
      <c r="AK582" s="15" t="s">
        <v>2787</v>
      </c>
      <c r="AL582" s="18"/>
      <c r="AM582" s="15">
        <v>541.0</v>
      </c>
      <c r="AN582" s="15" t="s">
        <v>2787</v>
      </c>
      <c r="AO582" s="15" t="s">
        <v>2796</v>
      </c>
      <c r="AP582" s="15" t="s">
        <v>16362</v>
      </c>
      <c r="AQ582" s="15" t="s">
        <v>16363</v>
      </c>
      <c r="AR582" s="15" t="s">
        <v>16364</v>
      </c>
      <c r="AS582" s="15" t="s">
        <v>16365</v>
      </c>
      <c r="AT582" s="15" t="s">
        <v>2796</v>
      </c>
      <c r="AU582" s="15" t="s">
        <v>2796</v>
      </c>
      <c r="AV582" s="15" t="s">
        <v>16366</v>
      </c>
      <c r="AW582" s="15" t="s">
        <v>16367</v>
      </c>
      <c r="AX582" s="15" t="s">
        <v>16368</v>
      </c>
      <c r="AY582" s="15" t="s">
        <v>16369</v>
      </c>
      <c r="AZ582" s="15" t="s">
        <v>8440</v>
      </c>
      <c r="BA582" s="15" t="s">
        <v>16370</v>
      </c>
      <c r="BB582" s="15" t="s">
        <v>2807</v>
      </c>
      <c r="BC582" s="15" t="s">
        <v>13609</v>
      </c>
      <c r="BD582" s="15" t="s">
        <v>2842</v>
      </c>
      <c r="BE582" s="15" t="s">
        <v>2796</v>
      </c>
      <c r="BF582" s="15" t="s">
        <v>2796</v>
      </c>
      <c r="BG582" s="15" t="s">
        <v>2796</v>
      </c>
      <c r="BH582" s="15" t="s">
        <v>16371</v>
      </c>
      <c r="BI582" s="15" t="s">
        <v>16372</v>
      </c>
      <c r="BJ582" s="19" t="s">
        <v>16373</v>
      </c>
      <c r="BK582" s="19" t="s">
        <v>16374</v>
      </c>
      <c r="BL582" s="18"/>
      <c r="BM582" s="20" t="s">
        <v>16375</v>
      </c>
      <c r="BN582" s="19" t="s">
        <v>16376</v>
      </c>
      <c r="BO582" s="19" t="s">
        <v>16377</v>
      </c>
      <c r="BP582" s="18"/>
      <c r="BQ582" s="15" t="s">
        <v>1321</v>
      </c>
      <c r="BR582" s="26"/>
      <c r="BS582" s="26"/>
      <c r="BT582" s="26"/>
      <c r="BU582" s="26"/>
      <c r="BV582" s="26"/>
      <c r="BW582" s="26"/>
      <c r="BX582" s="26"/>
      <c r="BY582" s="18" t="str">
        <f t="shared" si="107"/>
        <v>MECH</v>
      </c>
      <c r="BZ582" s="18" t="str">
        <f t="shared" si="100"/>
        <v/>
      </c>
      <c r="CA582" s="24" t="str">
        <f t="shared" si="101"/>
        <v>https://drive.google.com/open?id=1gs0y2KyYRfiOirMeyC6hmd3TdFgs9TOe</v>
      </c>
      <c r="CB582" s="15" t="s">
        <v>2908</v>
      </c>
      <c r="CC582" s="15" t="s">
        <v>2821</v>
      </c>
      <c r="CD582" s="25" t="s">
        <v>2797</v>
      </c>
      <c r="CE582" s="18"/>
      <c r="CF582" s="18"/>
      <c r="CG582" s="18"/>
    </row>
    <row r="583" ht="18.75" hidden="1" customHeight="1">
      <c r="A583" s="14">
        <v>44735.77505804398</v>
      </c>
      <c r="B583" s="15" t="s">
        <v>16378</v>
      </c>
      <c r="C583" s="16" t="s">
        <v>16379</v>
      </c>
      <c r="D583" s="15" t="str">
        <f>IFERROR(__xludf.DUMMYFUNCTION("QUERY(TY_ALL_2023_Batch!$A$1:$E$824, ""SELECT E WHERE C='""&amp;B583&amp;""'"", 0)"),"#N/A")</f>
        <v>#N/A</v>
      </c>
      <c r="E583" s="15" t="s">
        <v>3223</v>
      </c>
      <c r="F583" s="15" t="s">
        <v>16380</v>
      </c>
      <c r="G583" s="15" t="s">
        <v>16381</v>
      </c>
      <c r="H583" s="15" t="s">
        <v>2785</v>
      </c>
      <c r="I583" s="17">
        <v>36512.0</v>
      </c>
      <c r="J583" s="15">
        <v>2019.0</v>
      </c>
      <c r="K583" s="15" t="s">
        <v>2941</v>
      </c>
      <c r="L583" s="15" t="s">
        <v>2787</v>
      </c>
      <c r="M583" s="18"/>
      <c r="N583" s="15" t="s">
        <v>16382</v>
      </c>
      <c r="O583" s="15" t="s">
        <v>16378</v>
      </c>
      <c r="P583" s="19" t="s">
        <v>16383</v>
      </c>
      <c r="Q583" s="15">
        <v>8.38006843E9</v>
      </c>
      <c r="R583" s="15">
        <v>8.38006843E9</v>
      </c>
      <c r="S583" s="15">
        <v>9.763884875E9</v>
      </c>
      <c r="T583" s="15" t="s">
        <v>16380</v>
      </c>
      <c r="U583" s="15" t="s">
        <v>4303</v>
      </c>
      <c r="V583" s="15" t="s">
        <v>16384</v>
      </c>
      <c r="W583" s="18"/>
      <c r="X583" s="15">
        <v>68.8</v>
      </c>
      <c r="Y583" s="15" t="s">
        <v>2948</v>
      </c>
      <c r="Z583" s="15">
        <v>5.67</v>
      </c>
      <c r="AA583" s="15">
        <v>6.38</v>
      </c>
      <c r="AB583" s="15" t="s">
        <v>2796</v>
      </c>
      <c r="AC583" s="15" t="s">
        <v>2796</v>
      </c>
      <c r="AD583" s="15" t="s">
        <v>2796</v>
      </c>
      <c r="AE583" s="15" t="s">
        <v>2796</v>
      </c>
      <c r="AF583" s="18"/>
      <c r="AG583" s="18"/>
      <c r="AH583" s="18"/>
      <c r="AI583" s="15">
        <v>53.88</v>
      </c>
      <c r="AJ583" s="15" t="s">
        <v>2797</v>
      </c>
      <c r="AK583" s="15" t="s">
        <v>2797</v>
      </c>
      <c r="AL583" s="18"/>
      <c r="AM583" s="18"/>
      <c r="AN583" s="15" t="s">
        <v>2787</v>
      </c>
      <c r="AO583" s="18"/>
      <c r="AP583" s="18"/>
      <c r="AQ583" s="15" t="s">
        <v>16385</v>
      </c>
      <c r="AR583" s="18"/>
      <c r="AS583" s="18"/>
      <c r="AT583" s="18"/>
      <c r="AU583" s="18"/>
      <c r="AV583" s="15" t="s">
        <v>16386</v>
      </c>
      <c r="AW583" s="15" t="s">
        <v>16387</v>
      </c>
      <c r="AX583" s="18"/>
      <c r="AY583" s="15" t="s">
        <v>16388</v>
      </c>
      <c r="AZ583" s="15" t="s">
        <v>9648</v>
      </c>
      <c r="BA583" s="15" t="s">
        <v>16389</v>
      </c>
      <c r="BB583" s="15" t="s">
        <v>2807</v>
      </c>
      <c r="BC583" s="15" t="s">
        <v>16172</v>
      </c>
      <c r="BD583" s="15" t="s">
        <v>2807</v>
      </c>
      <c r="BE583" s="15" t="s">
        <v>2796</v>
      </c>
      <c r="BF583" s="15" t="s">
        <v>2796</v>
      </c>
      <c r="BG583" s="18"/>
      <c r="BH583" s="18"/>
      <c r="BI583" s="18"/>
      <c r="BJ583" s="19" t="s">
        <v>16390</v>
      </c>
      <c r="BK583" s="19" t="s">
        <v>16391</v>
      </c>
      <c r="BL583" s="18"/>
      <c r="BM583" s="18"/>
      <c r="BN583" s="18"/>
      <c r="BO583" s="19" t="s">
        <v>16392</v>
      </c>
      <c r="BP583" s="18"/>
      <c r="BQ583" s="15" t="s">
        <v>1321</v>
      </c>
      <c r="BR583" s="26"/>
      <c r="BS583" s="26"/>
      <c r="BT583" s="26"/>
      <c r="BU583" s="26"/>
      <c r="BV583" s="26"/>
      <c r="BW583" s="26"/>
      <c r="BX583" s="26"/>
      <c r="BY583" s="18" t="str">
        <f t="shared" si="107"/>
        <v>MECH</v>
      </c>
      <c r="BZ583" s="18" t="str">
        <f t="shared" si="100"/>
        <v/>
      </c>
      <c r="CA583" s="18" t="str">
        <f t="shared" si="101"/>
        <v/>
      </c>
      <c r="CB583" s="15" t="s">
        <v>2908</v>
      </c>
      <c r="CC583" s="15" t="s">
        <v>2908</v>
      </c>
      <c r="CD583" s="25" t="s">
        <v>2797</v>
      </c>
      <c r="CE583" s="18"/>
      <c r="CF583" s="18"/>
      <c r="CG583" s="18"/>
    </row>
    <row r="584" ht="18.75" hidden="1" customHeight="1">
      <c r="A584" s="14">
        <v>44742.98834329861</v>
      </c>
      <c r="B584" s="15" t="s">
        <v>16393</v>
      </c>
      <c r="C584" s="15">
        <v>2.20200077E8</v>
      </c>
      <c r="D584" s="15" t="str">
        <f>IFERROR(__xludf.DUMMYFUNCTION("QUERY(TY_ALL_2023_Batch!$A$1:$E$824, ""SELECT E WHERE C='""&amp;B584&amp;""'"", 0)"),"#N/A")</f>
        <v>#N/A</v>
      </c>
      <c r="E584" s="15" t="s">
        <v>16394</v>
      </c>
      <c r="F584" s="15" t="s">
        <v>16303</v>
      </c>
      <c r="G584" s="15" t="s">
        <v>2973</v>
      </c>
      <c r="H584" s="15" t="s">
        <v>2785</v>
      </c>
      <c r="I584" s="17">
        <v>37224.0</v>
      </c>
      <c r="J584" s="15">
        <v>2020.0</v>
      </c>
      <c r="K584" s="15" t="s">
        <v>2941</v>
      </c>
      <c r="L584" s="15" t="s">
        <v>2787</v>
      </c>
      <c r="M584" s="18"/>
      <c r="N584" s="15" t="s">
        <v>1599</v>
      </c>
      <c r="O584" s="15" t="s">
        <v>16393</v>
      </c>
      <c r="P584" s="19" t="s">
        <v>16395</v>
      </c>
      <c r="Q584" s="15">
        <v>9.284039401E9</v>
      </c>
      <c r="R584" s="15">
        <v>9.284039401E9</v>
      </c>
      <c r="S584" s="15">
        <v>7.249209051E9</v>
      </c>
      <c r="T584" s="15" t="s">
        <v>16396</v>
      </c>
      <c r="U584" s="15" t="s">
        <v>16397</v>
      </c>
      <c r="V584" s="15" t="s">
        <v>16398</v>
      </c>
      <c r="W584" s="15" t="s">
        <v>16399</v>
      </c>
      <c r="X584" s="15">
        <v>84.8</v>
      </c>
      <c r="Y584" s="15" t="s">
        <v>2948</v>
      </c>
      <c r="Z584" s="15">
        <v>8.33</v>
      </c>
      <c r="AA584" s="15">
        <v>8.71</v>
      </c>
      <c r="AB584" s="15" t="s">
        <v>2796</v>
      </c>
      <c r="AC584" s="15" t="s">
        <v>2796</v>
      </c>
      <c r="AD584" s="15" t="s">
        <v>2796</v>
      </c>
      <c r="AE584" s="15" t="s">
        <v>2796</v>
      </c>
      <c r="AF584" s="18"/>
      <c r="AG584" s="18"/>
      <c r="AH584" s="18"/>
      <c r="AI584" s="15">
        <v>88.97</v>
      </c>
      <c r="AJ584" s="15" t="s">
        <v>2787</v>
      </c>
      <c r="AK584" s="15" t="s">
        <v>2787</v>
      </c>
      <c r="AL584" s="18"/>
      <c r="AM584" s="18"/>
      <c r="AN584" s="15" t="s">
        <v>2797</v>
      </c>
      <c r="AO584" s="15" t="s">
        <v>2796</v>
      </c>
      <c r="AP584" s="15" t="s">
        <v>2796</v>
      </c>
      <c r="AQ584" s="15" t="s">
        <v>16400</v>
      </c>
      <c r="AR584" s="18"/>
      <c r="AS584" s="18"/>
      <c r="AT584" s="18"/>
      <c r="AU584" s="18"/>
      <c r="AV584" s="18"/>
      <c r="AW584" s="15" t="s">
        <v>16401</v>
      </c>
      <c r="AX584" s="18"/>
      <c r="AY584" s="15" t="s">
        <v>16402</v>
      </c>
      <c r="AZ584" s="15" t="s">
        <v>9648</v>
      </c>
      <c r="BA584" s="15" t="s">
        <v>2870</v>
      </c>
      <c r="BB584" s="15" t="s">
        <v>3462</v>
      </c>
      <c r="BC584" s="15" t="s">
        <v>13013</v>
      </c>
      <c r="BD584" s="15" t="s">
        <v>2842</v>
      </c>
      <c r="BE584" s="15" t="s">
        <v>16403</v>
      </c>
      <c r="BF584" s="18"/>
      <c r="BG584" s="18"/>
      <c r="BH584" s="18"/>
      <c r="BI584" s="18"/>
      <c r="BJ584" s="19" t="s">
        <v>16404</v>
      </c>
      <c r="BK584" s="19" t="s">
        <v>16405</v>
      </c>
      <c r="BL584" s="18"/>
      <c r="BM584" s="19" t="s">
        <v>16406</v>
      </c>
      <c r="BN584" s="18"/>
      <c r="BO584" s="19" t="s">
        <v>16407</v>
      </c>
      <c r="BP584" s="18"/>
      <c r="BQ584" s="15" t="s">
        <v>1321</v>
      </c>
      <c r="BR584" s="26"/>
      <c r="BS584" s="26"/>
      <c r="BT584" s="26"/>
      <c r="BU584" s="26"/>
      <c r="BV584" s="26"/>
      <c r="BW584" s="15" t="s">
        <v>9143</v>
      </c>
      <c r="BX584" s="26"/>
      <c r="BY584" s="18" t="str">
        <f t="shared" si="107"/>
        <v>MECH</v>
      </c>
      <c r="BZ584" s="18" t="str">
        <f t="shared" si="100"/>
        <v/>
      </c>
      <c r="CA584" s="24" t="str">
        <f t="shared" si="101"/>
        <v>https://drive.google.com/open?id=1LZkgsPm6YuHQwdMHxgTjXsgHmr-AcxKk</v>
      </c>
      <c r="CB584" s="15" t="s">
        <v>2908</v>
      </c>
      <c r="CC584" s="15" t="s">
        <v>2908</v>
      </c>
      <c r="CD584" s="25" t="s">
        <v>2797</v>
      </c>
      <c r="CE584" s="18"/>
      <c r="CF584" s="18"/>
      <c r="CG584" s="18"/>
    </row>
    <row r="585" ht="18.75" hidden="1" customHeight="1">
      <c r="A585" s="14">
        <v>44742.750574247686</v>
      </c>
      <c r="B585" s="15" t="s">
        <v>16408</v>
      </c>
      <c r="C585" s="16" t="s">
        <v>16409</v>
      </c>
      <c r="D585" s="15" t="str">
        <f>IFERROR(__xludf.DUMMYFUNCTION("QUERY(TY_ALL_2023_Batch!$A$1:$E$824, ""SELECT E WHERE C='""&amp;B585&amp;""'"", 0)"),"#N/A")</f>
        <v>#N/A</v>
      </c>
      <c r="E585" s="15" t="s">
        <v>16410</v>
      </c>
      <c r="F585" s="15" t="s">
        <v>16411</v>
      </c>
      <c r="G585" s="15" t="s">
        <v>5691</v>
      </c>
      <c r="H585" s="15" t="s">
        <v>2785</v>
      </c>
      <c r="I585" s="17">
        <v>36162.0</v>
      </c>
      <c r="J585" s="15">
        <v>2019.0</v>
      </c>
      <c r="K585" s="15" t="s">
        <v>2941</v>
      </c>
      <c r="L585" s="15" t="s">
        <v>2787</v>
      </c>
      <c r="M585" s="18"/>
      <c r="N585" s="15" t="s">
        <v>16412</v>
      </c>
      <c r="O585" s="15" t="s">
        <v>16408</v>
      </c>
      <c r="P585" s="19" t="s">
        <v>16413</v>
      </c>
      <c r="Q585" s="15">
        <v>9.146227601E9</v>
      </c>
      <c r="R585" s="15">
        <v>9.146227601E9</v>
      </c>
      <c r="S585" s="15">
        <v>9.309150917E9</v>
      </c>
      <c r="T585" s="15" t="s">
        <v>16414</v>
      </c>
      <c r="U585" s="15" t="s">
        <v>16415</v>
      </c>
      <c r="V585" s="15" t="s">
        <v>16416</v>
      </c>
      <c r="W585" s="15" t="s">
        <v>16417</v>
      </c>
      <c r="X585" s="15">
        <v>84.2</v>
      </c>
      <c r="Y585" s="15" t="s">
        <v>2948</v>
      </c>
      <c r="Z585" s="15">
        <v>7.52</v>
      </c>
      <c r="AA585" s="15">
        <v>8.62</v>
      </c>
      <c r="AB585" s="15" t="s">
        <v>2796</v>
      </c>
      <c r="AC585" s="15" t="s">
        <v>2796</v>
      </c>
      <c r="AD585" s="15" t="s">
        <v>2796</v>
      </c>
      <c r="AE585" s="15" t="s">
        <v>2796</v>
      </c>
      <c r="AF585" s="18"/>
      <c r="AG585" s="18"/>
      <c r="AH585" s="18"/>
      <c r="AI585" s="15">
        <v>84.0</v>
      </c>
      <c r="AJ585" s="15" t="s">
        <v>2797</v>
      </c>
      <c r="AK585" s="15" t="s">
        <v>2787</v>
      </c>
      <c r="AL585" s="18"/>
      <c r="AM585" s="18"/>
      <c r="AN585" s="15" t="s">
        <v>2787</v>
      </c>
      <c r="AO585" s="15">
        <v>0.0</v>
      </c>
      <c r="AP585" s="15" t="s">
        <v>16418</v>
      </c>
      <c r="AQ585" s="15" t="s">
        <v>16419</v>
      </c>
      <c r="AR585" s="18"/>
      <c r="AS585" s="15" t="s">
        <v>16420</v>
      </c>
      <c r="AT585" s="18"/>
      <c r="AU585" s="18"/>
      <c r="AV585" s="15" t="s">
        <v>16421</v>
      </c>
      <c r="AW585" s="15" t="s">
        <v>16422</v>
      </c>
      <c r="AX585" s="18"/>
      <c r="AY585" s="15" t="s">
        <v>16423</v>
      </c>
      <c r="AZ585" s="15" t="s">
        <v>9648</v>
      </c>
      <c r="BA585" s="15" t="s">
        <v>3773</v>
      </c>
      <c r="BB585" s="15" t="s">
        <v>2807</v>
      </c>
      <c r="BC585" s="15" t="s">
        <v>13107</v>
      </c>
      <c r="BD585" s="15" t="s">
        <v>2807</v>
      </c>
      <c r="BE585" s="15" t="s">
        <v>2796</v>
      </c>
      <c r="BF585" s="18"/>
      <c r="BG585" s="18"/>
      <c r="BH585" s="18"/>
      <c r="BI585" s="15" t="s">
        <v>16424</v>
      </c>
      <c r="BJ585" s="19" t="s">
        <v>16425</v>
      </c>
      <c r="BK585" s="19" t="s">
        <v>16426</v>
      </c>
      <c r="BL585" s="18"/>
      <c r="BM585" s="18"/>
      <c r="BN585" s="19" t="s">
        <v>16427</v>
      </c>
      <c r="BO585" s="19" t="s">
        <v>16428</v>
      </c>
      <c r="BP585" s="19" t="s">
        <v>16429</v>
      </c>
      <c r="BQ585" s="15" t="s">
        <v>1321</v>
      </c>
      <c r="BR585" s="26"/>
      <c r="BS585" s="26"/>
      <c r="BT585" s="26"/>
      <c r="BU585" s="26"/>
      <c r="BV585" s="26"/>
      <c r="BW585" s="15" t="s">
        <v>16430</v>
      </c>
      <c r="BX585" s="26"/>
      <c r="BY585" s="18" t="str">
        <f t="shared" si="107"/>
        <v>MECH</v>
      </c>
      <c r="BZ585" s="18" t="str">
        <f t="shared" si="100"/>
        <v/>
      </c>
      <c r="CA585" s="18" t="str">
        <f t="shared" si="101"/>
        <v/>
      </c>
      <c r="CB585" s="15" t="s">
        <v>2908</v>
      </c>
      <c r="CC585" s="15" t="s">
        <v>2908</v>
      </c>
      <c r="CD585" s="25" t="s">
        <v>2797</v>
      </c>
      <c r="CE585" s="18"/>
      <c r="CF585" s="18"/>
      <c r="CG585" s="18"/>
    </row>
    <row r="586" ht="18.75" hidden="1" customHeight="1">
      <c r="A586" s="14">
        <v>44742.54797478009</v>
      </c>
      <c r="B586" s="15" t="s">
        <v>16431</v>
      </c>
      <c r="C586" s="16" t="s">
        <v>16432</v>
      </c>
      <c r="D586" s="15" t="str">
        <f>IFERROR(__xludf.DUMMYFUNCTION("QUERY(TY_ALL_2023_Batch!$A$1:$E$824, ""SELECT E WHERE C='""&amp;B586&amp;""'"", 0)"),"#N/A")</f>
        <v>#N/A</v>
      </c>
      <c r="E586" s="15" t="s">
        <v>16433</v>
      </c>
      <c r="F586" s="15" t="s">
        <v>12092</v>
      </c>
      <c r="G586" s="15" t="s">
        <v>15916</v>
      </c>
      <c r="H586" s="15" t="s">
        <v>2785</v>
      </c>
      <c r="I586" s="17">
        <v>36731.0</v>
      </c>
      <c r="J586" s="15">
        <v>2020.0</v>
      </c>
      <c r="K586" s="15" t="s">
        <v>2941</v>
      </c>
      <c r="L586" s="15" t="s">
        <v>2787</v>
      </c>
      <c r="M586" s="15" t="s">
        <v>3063</v>
      </c>
      <c r="N586" s="15" t="s">
        <v>16434</v>
      </c>
      <c r="O586" s="15" t="s">
        <v>16431</v>
      </c>
      <c r="P586" s="19" t="s">
        <v>16435</v>
      </c>
      <c r="Q586" s="15">
        <v>9.730304952E9</v>
      </c>
      <c r="R586" s="15">
        <v>9.730304952E9</v>
      </c>
      <c r="S586" s="18"/>
      <c r="T586" s="15" t="s">
        <v>16436</v>
      </c>
      <c r="U586" s="15" t="s">
        <v>16437</v>
      </c>
      <c r="V586" s="15" t="s">
        <v>16438</v>
      </c>
      <c r="W586" s="15" t="s">
        <v>16439</v>
      </c>
      <c r="X586" s="15">
        <v>90.4</v>
      </c>
      <c r="Y586" s="15" t="s">
        <v>2948</v>
      </c>
      <c r="Z586" s="15">
        <v>7.24</v>
      </c>
      <c r="AA586" s="15">
        <v>7.43</v>
      </c>
      <c r="AB586" s="15" t="s">
        <v>2796</v>
      </c>
      <c r="AC586" s="15" t="s">
        <v>2796</v>
      </c>
      <c r="AD586" s="15" t="s">
        <v>2796</v>
      </c>
      <c r="AE586" s="15" t="s">
        <v>2796</v>
      </c>
      <c r="AF586" s="18"/>
      <c r="AG586" s="18"/>
      <c r="AH586" s="18"/>
      <c r="AI586" s="15">
        <v>91.18</v>
      </c>
      <c r="AJ586" s="15" t="s">
        <v>2787</v>
      </c>
      <c r="AK586" s="15" t="s">
        <v>2787</v>
      </c>
      <c r="AL586" s="15">
        <v>596.0</v>
      </c>
      <c r="AM586" s="15">
        <v>596.0</v>
      </c>
      <c r="AN586" s="15" t="s">
        <v>2787</v>
      </c>
      <c r="AO586" s="15" t="s">
        <v>2797</v>
      </c>
      <c r="AP586" s="15" t="s">
        <v>16440</v>
      </c>
      <c r="AQ586" s="15" t="s">
        <v>3255</v>
      </c>
      <c r="AR586" s="15" t="s">
        <v>16441</v>
      </c>
      <c r="AS586" s="15" t="s">
        <v>16441</v>
      </c>
      <c r="AT586" s="15" t="s">
        <v>2797</v>
      </c>
      <c r="AU586" s="15" t="s">
        <v>2797</v>
      </c>
      <c r="AV586" s="15" t="s">
        <v>2797</v>
      </c>
      <c r="AW586" s="15" t="s">
        <v>16442</v>
      </c>
      <c r="AX586" s="18"/>
      <c r="AY586" s="15" t="s">
        <v>16443</v>
      </c>
      <c r="AZ586" s="15" t="s">
        <v>8440</v>
      </c>
      <c r="BA586" s="15" t="s">
        <v>2899</v>
      </c>
      <c r="BB586" s="15" t="s">
        <v>16444</v>
      </c>
      <c r="BC586" s="15" t="s">
        <v>16252</v>
      </c>
      <c r="BD586" s="15" t="s">
        <v>2807</v>
      </c>
      <c r="BE586" s="15" t="s">
        <v>16445</v>
      </c>
      <c r="BF586" s="15" t="s">
        <v>16446</v>
      </c>
      <c r="BG586" s="15" t="s">
        <v>16447</v>
      </c>
      <c r="BH586" s="15" t="s">
        <v>16448</v>
      </c>
      <c r="BI586" s="15" t="s">
        <v>16449</v>
      </c>
      <c r="BJ586" s="19" t="s">
        <v>16450</v>
      </c>
      <c r="BK586" s="19" t="s">
        <v>16451</v>
      </c>
      <c r="BL586" s="19" t="s">
        <v>16452</v>
      </c>
      <c r="BM586" s="18"/>
      <c r="BN586" s="19" t="s">
        <v>16453</v>
      </c>
      <c r="BO586" s="19" t="s">
        <v>16454</v>
      </c>
      <c r="BP586" s="18"/>
      <c r="BQ586" s="15" t="s">
        <v>1321</v>
      </c>
      <c r="BR586" s="26"/>
      <c r="BS586" s="19" t="s">
        <v>16455</v>
      </c>
      <c r="BT586" s="19" t="s">
        <v>16456</v>
      </c>
      <c r="BU586" s="19" t="s">
        <v>16457</v>
      </c>
      <c r="BV586" s="26"/>
      <c r="BW586" s="15" t="s">
        <v>16458</v>
      </c>
      <c r="BX586" s="26"/>
      <c r="BY586" s="18" t="str">
        <f t="shared" si="107"/>
        <v>MECH</v>
      </c>
      <c r="BZ586" s="24" t="str">
        <f t="shared" si="100"/>
        <v>https://drive.google.com/open?id=1OcIbnC_u9RkTRTfSXuOzGWM3YTcNmwxv</v>
      </c>
      <c r="CA586" s="18" t="str">
        <f t="shared" si="101"/>
        <v/>
      </c>
      <c r="CB586" s="15" t="s">
        <v>2821</v>
      </c>
      <c r="CC586" s="15" t="s">
        <v>2908</v>
      </c>
      <c r="CD586" s="25" t="s">
        <v>2909</v>
      </c>
      <c r="CE586" s="18"/>
      <c r="CF586" s="18"/>
      <c r="CG586" s="18"/>
    </row>
    <row r="587" ht="18.75" hidden="1" customHeight="1">
      <c r="A587" s="14">
        <v>44772.51579521991</v>
      </c>
      <c r="B587" s="15" t="s">
        <v>16459</v>
      </c>
      <c r="C587" s="16" t="s">
        <v>16460</v>
      </c>
      <c r="D587" s="15" t="str">
        <f>IFERROR(__xludf.DUMMYFUNCTION("QUERY(TY_ALL_2023_Batch!$A$1:$E$824, ""SELECT E WHERE C='""&amp;B587&amp;""'"", 0)"),"#N/A")</f>
        <v>#N/A</v>
      </c>
      <c r="E587" s="15" t="s">
        <v>8374</v>
      </c>
      <c r="F587" s="15" t="s">
        <v>16461</v>
      </c>
      <c r="G587" s="15" t="s">
        <v>16462</v>
      </c>
      <c r="H587" s="15" t="s">
        <v>2785</v>
      </c>
      <c r="I587" s="17">
        <v>36929.0</v>
      </c>
      <c r="J587" s="15">
        <v>2020.0</v>
      </c>
      <c r="K587" s="15" t="s">
        <v>2941</v>
      </c>
      <c r="L587" s="15" t="s">
        <v>2787</v>
      </c>
      <c r="M587" s="18"/>
      <c r="N587" s="15" t="s">
        <v>1323</v>
      </c>
      <c r="O587" s="15" t="s">
        <v>16459</v>
      </c>
      <c r="P587" s="19" t="s">
        <v>16463</v>
      </c>
      <c r="Q587" s="15">
        <v>9.63723516E9</v>
      </c>
      <c r="R587" s="15">
        <v>9.63723516E9</v>
      </c>
      <c r="S587" s="15">
        <v>9.63723516E9</v>
      </c>
      <c r="T587" s="15" t="s">
        <v>16461</v>
      </c>
      <c r="U587" s="15" t="s">
        <v>2792</v>
      </c>
      <c r="V587" s="15" t="s">
        <v>16464</v>
      </c>
      <c r="W587" s="15" t="s">
        <v>16465</v>
      </c>
      <c r="X587" s="15">
        <v>91.4</v>
      </c>
      <c r="Y587" s="15" t="s">
        <v>2948</v>
      </c>
      <c r="Z587" s="15">
        <v>8.76</v>
      </c>
      <c r="AA587" s="15">
        <v>8.62</v>
      </c>
      <c r="AB587" s="15">
        <v>7.86</v>
      </c>
      <c r="AC587" s="15">
        <v>8.0</v>
      </c>
      <c r="AD587" s="15" t="s">
        <v>2796</v>
      </c>
      <c r="AE587" s="15" t="s">
        <v>2796</v>
      </c>
      <c r="AF587" s="18"/>
      <c r="AG587" s="18"/>
      <c r="AH587" s="18"/>
      <c r="AI587" s="15">
        <v>91.88</v>
      </c>
      <c r="AJ587" s="15" t="s">
        <v>2787</v>
      </c>
      <c r="AK587" s="15" t="s">
        <v>2787</v>
      </c>
      <c r="AL587" s="15">
        <v>416.66</v>
      </c>
      <c r="AM587" s="15">
        <v>473.33</v>
      </c>
      <c r="AN587" s="15" t="s">
        <v>2797</v>
      </c>
      <c r="AO587" s="15">
        <v>0.0</v>
      </c>
      <c r="AP587" s="15">
        <v>0.0</v>
      </c>
      <c r="AQ587" s="15" t="s">
        <v>16466</v>
      </c>
      <c r="AR587" s="18"/>
      <c r="AS587" s="18"/>
      <c r="AT587" s="18"/>
      <c r="AU587" s="18"/>
      <c r="AV587" s="15" t="s">
        <v>16467</v>
      </c>
      <c r="AW587" s="15" t="s">
        <v>16468</v>
      </c>
      <c r="AX587" s="18"/>
      <c r="AY587" s="15" t="s">
        <v>16469</v>
      </c>
      <c r="AZ587" s="15" t="s">
        <v>3960</v>
      </c>
      <c r="BA587" s="15" t="s">
        <v>2870</v>
      </c>
      <c r="BB587" s="15" t="s">
        <v>2807</v>
      </c>
      <c r="BC587" s="15" t="s">
        <v>16470</v>
      </c>
      <c r="BD587" s="15" t="s">
        <v>2807</v>
      </c>
      <c r="BE587" s="15" t="s">
        <v>16471</v>
      </c>
      <c r="BF587" s="18"/>
      <c r="BG587" s="18"/>
      <c r="BH587" s="15" t="s">
        <v>16472</v>
      </c>
      <c r="BI587" s="18"/>
      <c r="BJ587" s="19" t="s">
        <v>16473</v>
      </c>
      <c r="BK587" s="19" t="s">
        <v>16474</v>
      </c>
      <c r="BL587" s="19" t="s">
        <v>16475</v>
      </c>
      <c r="BM587" s="19" t="s">
        <v>16476</v>
      </c>
      <c r="BN587" s="19" t="s">
        <v>16477</v>
      </c>
      <c r="BO587" s="19" t="s">
        <v>16478</v>
      </c>
      <c r="BP587" s="18"/>
      <c r="BQ587" s="15" t="s">
        <v>1321</v>
      </c>
      <c r="BR587" s="26"/>
      <c r="BS587" s="26"/>
      <c r="BT587" s="26"/>
      <c r="BU587" s="26"/>
      <c r="BV587" s="26"/>
      <c r="BW587" s="15" t="s">
        <v>16479</v>
      </c>
      <c r="BX587" s="26"/>
      <c r="BY587" s="18" t="str">
        <f t="shared" si="107"/>
        <v>MECH</v>
      </c>
      <c r="BZ587" s="24" t="str">
        <f t="shared" si="100"/>
        <v>https://drive.google.com/open?id=1cJPpgvpolCbmlFaiyUV_CPFXoE7EftYs</v>
      </c>
      <c r="CA587" s="24" t="str">
        <f t="shared" si="101"/>
        <v>https://drive.google.com/open?id=1cGVnTvc_rtIvPbrjsSH3kGjWbSIyG4EM</v>
      </c>
      <c r="CB587" s="15" t="s">
        <v>2821</v>
      </c>
      <c r="CC587" s="15" t="s">
        <v>2821</v>
      </c>
      <c r="CD587" s="25" t="s">
        <v>2797</v>
      </c>
      <c r="CE587" s="18"/>
      <c r="CF587" s="18"/>
      <c r="CG587" s="18"/>
    </row>
    <row r="588" ht="18.75" hidden="1" customHeight="1">
      <c r="A588" s="14">
        <v>44743.019801828705</v>
      </c>
      <c r="B588" s="15" t="s">
        <v>16480</v>
      </c>
      <c r="C588" s="16" t="s">
        <v>16481</v>
      </c>
      <c r="D588" s="15" t="str">
        <f>IFERROR(__xludf.DUMMYFUNCTION("QUERY(TY_ALL_2023_Batch!$A$1:$E$824, ""SELECT E WHERE C='""&amp;B588&amp;""'"", 0)"),"#N/A")</f>
        <v>#N/A</v>
      </c>
      <c r="E588" s="15" t="s">
        <v>2857</v>
      </c>
      <c r="F588" s="15" t="s">
        <v>16482</v>
      </c>
      <c r="G588" s="15" t="s">
        <v>16483</v>
      </c>
      <c r="H588" s="15" t="s">
        <v>2785</v>
      </c>
      <c r="I588" s="17">
        <v>37148.0</v>
      </c>
      <c r="J588" s="15">
        <v>2020.0</v>
      </c>
      <c r="K588" s="15" t="s">
        <v>2941</v>
      </c>
      <c r="L588" s="15" t="s">
        <v>2787</v>
      </c>
      <c r="M588" s="18"/>
      <c r="N588" s="15" t="s">
        <v>16484</v>
      </c>
      <c r="O588" s="15" t="s">
        <v>16480</v>
      </c>
      <c r="P588" s="19" t="s">
        <v>16485</v>
      </c>
      <c r="Q588" s="15">
        <v>9.503505642E9</v>
      </c>
      <c r="R588" s="15">
        <v>9.503505642E9</v>
      </c>
      <c r="S588" s="15">
        <v>9.860871135E9</v>
      </c>
      <c r="T588" s="15" t="s">
        <v>16483</v>
      </c>
      <c r="U588" s="15" t="s">
        <v>16486</v>
      </c>
      <c r="V588" s="15" t="s">
        <v>16487</v>
      </c>
      <c r="W588" s="18"/>
      <c r="X588" s="15">
        <v>79.0</v>
      </c>
      <c r="Y588" s="15" t="s">
        <v>2948</v>
      </c>
      <c r="Z588" s="15">
        <v>8.9</v>
      </c>
      <c r="AA588" s="15">
        <v>7.9</v>
      </c>
      <c r="AB588" s="15" t="s">
        <v>2796</v>
      </c>
      <c r="AC588" s="15" t="s">
        <v>2796</v>
      </c>
      <c r="AD588" s="15" t="s">
        <v>2796</v>
      </c>
      <c r="AE588" s="15" t="s">
        <v>2796</v>
      </c>
      <c r="AF588" s="18"/>
      <c r="AG588" s="18"/>
      <c r="AH588" s="18"/>
      <c r="AI588" s="15">
        <v>90.0</v>
      </c>
      <c r="AJ588" s="15" t="s">
        <v>2787</v>
      </c>
      <c r="AK588" s="15" t="s">
        <v>2787</v>
      </c>
      <c r="AL588" s="15">
        <v>460.0</v>
      </c>
      <c r="AM588" s="15">
        <v>571.0</v>
      </c>
      <c r="AN588" s="15" t="s">
        <v>2797</v>
      </c>
      <c r="AO588" s="15" t="s">
        <v>2908</v>
      </c>
      <c r="AP588" s="15" t="s">
        <v>2908</v>
      </c>
      <c r="AQ588" s="15" t="s">
        <v>16488</v>
      </c>
      <c r="AR588" s="18"/>
      <c r="AS588" s="18"/>
      <c r="AT588" s="18"/>
      <c r="AU588" s="18"/>
      <c r="AV588" s="18"/>
      <c r="AW588" s="15" t="s">
        <v>16489</v>
      </c>
      <c r="AX588" s="18"/>
      <c r="AY588" s="15" t="s">
        <v>16490</v>
      </c>
      <c r="AZ588" s="15" t="s">
        <v>9648</v>
      </c>
      <c r="BA588" s="15" t="s">
        <v>2870</v>
      </c>
      <c r="BB588" s="15" t="s">
        <v>2807</v>
      </c>
      <c r="BC588" s="15" t="s">
        <v>16491</v>
      </c>
      <c r="BD588" s="15" t="s">
        <v>2807</v>
      </c>
      <c r="BE588" s="15" t="s">
        <v>16492</v>
      </c>
      <c r="BF588" s="18"/>
      <c r="BG588" s="15" t="s">
        <v>16493</v>
      </c>
      <c r="BH588" s="18"/>
      <c r="BI588" s="15" t="s">
        <v>16494</v>
      </c>
      <c r="BJ588" s="19" t="s">
        <v>16495</v>
      </c>
      <c r="BK588" s="19" t="s">
        <v>16496</v>
      </c>
      <c r="BL588" s="18"/>
      <c r="BM588" s="18"/>
      <c r="BN588" s="18"/>
      <c r="BO588" s="19" t="s">
        <v>16497</v>
      </c>
      <c r="BP588" s="18"/>
      <c r="BQ588" s="15" t="s">
        <v>1321</v>
      </c>
      <c r="BR588" s="26"/>
      <c r="BS588" s="26"/>
      <c r="BT588" s="26"/>
      <c r="BU588" s="26"/>
      <c r="BV588" s="26"/>
      <c r="BW588" s="15" t="s">
        <v>16498</v>
      </c>
      <c r="BX588" s="26"/>
      <c r="BY588" s="18" t="str">
        <f t="shared" si="107"/>
        <v>MECH</v>
      </c>
      <c r="BZ588" s="18" t="str">
        <f t="shared" si="100"/>
        <v/>
      </c>
      <c r="CA588" s="18" t="str">
        <f t="shared" si="101"/>
        <v/>
      </c>
      <c r="CB588" s="15" t="s">
        <v>2908</v>
      </c>
      <c r="CC588" s="15" t="s">
        <v>2908</v>
      </c>
      <c r="CD588" s="25" t="s">
        <v>2797</v>
      </c>
      <c r="CE588" s="18"/>
      <c r="CF588" s="18"/>
      <c r="CG588" s="18"/>
    </row>
    <row r="589" ht="18.75" hidden="1" customHeight="1">
      <c r="A589" s="14">
        <v>44736.443733437496</v>
      </c>
      <c r="B589" s="15" t="s">
        <v>16499</v>
      </c>
      <c r="C589" s="16" t="s">
        <v>16500</v>
      </c>
      <c r="D589" s="15" t="str">
        <f>IFERROR(__xludf.DUMMYFUNCTION("QUERY(TY_ALL_2023_Batch!$A$1:$E$824, ""SELECT E WHERE C='""&amp;B589&amp;""'"", 0)"),"#N/A")</f>
        <v>#N/A</v>
      </c>
      <c r="E589" s="15" t="s">
        <v>5378</v>
      </c>
      <c r="F589" s="15" t="s">
        <v>16501</v>
      </c>
      <c r="G589" s="15" t="s">
        <v>10510</v>
      </c>
      <c r="H589" s="15" t="s">
        <v>2785</v>
      </c>
      <c r="I589" s="17">
        <v>37036.0</v>
      </c>
      <c r="J589" s="15">
        <v>2020.0</v>
      </c>
      <c r="K589" s="15" t="s">
        <v>2941</v>
      </c>
      <c r="L589" s="15" t="s">
        <v>2787</v>
      </c>
      <c r="M589" s="18"/>
      <c r="N589" s="15" t="s">
        <v>1551</v>
      </c>
      <c r="O589" s="15" t="s">
        <v>16499</v>
      </c>
      <c r="P589" s="19" t="s">
        <v>16502</v>
      </c>
      <c r="Q589" s="15">
        <v>8.552060355E9</v>
      </c>
      <c r="R589" s="15">
        <v>8.552060355E9</v>
      </c>
      <c r="S589" s="15">
        <v>8.552060355E9</v>
      </c>
      <c r="T589" s="15" t="s">
        <v>16503</v>
      </c>
      <c r="U589" s="15" t="s">
        <v>16504</v>
      </c>
      <c r="V589" s="15" t="s">
        <v>16505</v>
      </c>
      <c r="W589" s="18"/>
      <c r="X589" s="15">
        <v>79.2</v>
      </c>
      <c r="Y589" s="15" t="s">
        <v>2948</v>
      </c>
      <c r="Z589" s="15">
        <v>8.58</v>
      </c>
      <c r="AA589" s="15">
        <v>8.38</v>
      </c>
      <c r="AB589" s="15" t="s">
        <v>2796</v>
      </c>
      <c r="AC589" s="15" t="s">
        <v>2796</v>
      </c>
      <c r="AD589" s="15" t="s">
        <v>3005</v>
      </c>
      <c r="AE589" s="15" t="s">
        <v>3005</v>
      </c>
      <c r="AF589" s="18"/>
      <c r="AG589" s="18"/>
      <c r="AH589" s="18"/>
      <c r="AI589" s="15">
        <v>89.38</v>
      </c>
      <c r="AJ589" s="15" t="s">
        <v>2787</v>
      </c>
      <c r="AK589" s="15" t="s">
        <v>2787</v>
      </c>
      <c r="AL589" s="18"/>
      <c r="AM589" s="18"/>
      <c r="AN589" s="15" t="s">
        <v>2797</v>
      </c>
      <c r="AO589" s="18"/>
      <c r="AP589" s="18"/>
      <c r="AQ589" s="15" t="s">
        <v>16506</v>
      </c>
      <c r="AR589" s="18"/>
      <c r="AS589" s="18"/>
      <c r="AT589" s="15" t="s">
        <v>16507</v>
      </c>
      <c r="AU589" s="18"/>
      <c r="AV589" s="18"/>
      <c r="AW589" s="15" t="s">
        <v>16508</v>
      </c>
      <c r="AX589" s="18"/>
      <c r="AY589" s="15" t="s">
        <v>16509</v>
      </c>
      <c r="AZ589" s="15" t="s">
        <v>8440</v>
      </c>
      <c r="BA589" s="15" t="s">
        <v>2870</v>
      </c>
      <c r="BB589" s="15" t="s">
        <v>12859</v>
      </c>
      <c r="BC589" s="15" t="s">
        <v>5980</v>
      </c>
      <c r="BD589" s="15" t="s">
        <v>2807</v>
      </c>
      <c r="BE589" s="15" t="s">
        <v>4103</v>
      </c>
      <c r="BF589" s="18"/>
      <c r="BG589" s="18"/>
      <c r="BH589" s="18"/>
      <c r="BI589" s="18"/>
      <c r="BJ589" s="19" t="s">
        <v>16510</v>
      </c>
      <c r="BK589" s="19" t="s">
        <v>16511</v>
      </c>
      <c r="BL589" s="19" t="s">
        <v>16512</v>
      </c>
      <c r="BM589" s="19" t="s">
        <v>16513</v>
      </c>
      <c r="BN589" s="18"/>
      <c r="BO589" s="19" t="s">
        <v>16514</v>
      </c>
      <c r="BP589" s="18"/>
      <c r="BQ589" s="15" t="s">
        <v>1321</v>
      </c>
      <c r="BR589" s="26"/>
      <c r="BS589" s="26"/>
      <c r="BT589" s="26"/>
      <c r="BU589" s="26"/>
      <c r="BV589" s="26"/>
      <c r="BW589" s="26"/>
      <c r="BX589" s="26"/>
      <c r="BY589" s="18" t="str">
        <f t="shared" si="107"/>
        <v>MECH</v>
      </c>
      <c r="BZ589" s="24" t="str">
        <f t="shared" si="100"/>
        <v>https://drive.google.com/open?id=1flhkc3rt4lCAJtZecnW1frwwMg1B97a9</v>
      </c>
      <c r="CA589" s="24" t="str">
        <f t="shared" si="101"/>
        <v>https://drive.google.com/open?id=1BflWw39UGODIWJfjVd4aRMOCnLzZ05Xk</v>
      </c>
      <c r="CB589" s="15" t="s">
        <v>2821</v>
      </c>
      <c r="CC589" s="15" t="s">
        <v>2821</v>
      </c>
      <c r="CD589" s="25" t="s">
        <v>2797</v>
      </c>
      <c r="CE589" s="18"/>
      <c r="CF589" s="18"/>
      <c r="CG589" s="18"/>
    </row>
    <row r="590" ht="18.75" hidden="1" customHeight="1">
      <c r="A590" s="14">
        <v>44734.553502511575</v>
      </c>
      <c r="B590" s="15" t="s">
        <v>16515</v>
      </c>
      <c r="C590" s="16" t="s">
        <v>16516</v>
      </c>
      <c r="D590" s="15" t="str">
        <f>IFERROR(__xludf.DUMMYFUNCTION("QUERY(TY_ALL_2023_Batch!$A$1:$E$824, ""SELECT E WHERE C='""&amp;B590&amp;""'"", 0)"),"#N/A")</f>
        <v>#N/A</v>
      </c>
      <c r="E590" s="15" t="s">
        <v>11287</v>
      </c>
      <c r="F590" s="15" t="s">
        <v>5229</v>
      </c>
      <c r="G590" s="15" t="s">
        <v>5691</v>
      </c>
      <c r="H590" s="15" t="s">
        <v>2785</v>
      </c>
      <c r="I590" s="17">
        <v>37058.0</v>
      </c>
      <c r="J590" s="15">
        <v>2020.0</v>
      </c>
      <c r="K590" s="15" t="s">
        <v>2941</v>
      </c>
      <c r="L590" s="15" t="s">
        <v>2787</v>
      </c>
      <c r="M590" s="18"/>
      <c r="N590" s="15" t="s">
        <v>1596</v>
      </c>
      <c r="O590" s="15" t="s">
        <v>16515</v>
      </c>
      <c r="P590" s="19" t="s">
        <v>16517</v>
      </c>
      <c r="Q590" s="15">
        <v>9.834323808E9</v>
      </c>
      <c r="R590" s="15">
        <v>9.834323808E9</v>
      </c>
      <c r="S590" s="15">
        <v>9.834323808E9</v>
      </c>
      <c r="T590" s="15" t="s">
        <v>16518</v>
      </c>
      <c r="U590" s="15" t="s">
        <v>16519</v>
      </c>
      <c r="V590" s="15" t="s">
        <v>16520</v>
      </c>
      <c r="W590" s="18"/>
      <c r="X590" s="15">
        <v>90.4</v>
      </c>
      <c r="Y590" s="15" t="s">
        <v>2948</v>
      </c>
      <c r="Z590" s="15">
        <v>8.24</v>
      </c>
      <c r="AA590" s="15">
        <v>7.71</v>
      </c>
      <c r="AB590" s="15" t="s">
        <v>2796</v>
      </c>
      <c r="AC590" s="15" t="s">
        <v>2796</v>
      </c>
      <c r="AD590" s="15" t="s">
        <v>2796</v>
      </c>
      <c r="AE590" s="15" t="s">
        <v>2796</v>
      </c>
      <c r="AF590" s="18"/>
      <c r="AG590" s="18"/>
      <c r="AH590" s="18"/>
      <c r="AI590" s="15">
        <v>92.4</v>
      </c>
      <c r="AJ590" s="15" t="s">
        <v>2787</v>
      </c>
      <c r="AK590" s="15" t="s">
        <v>2787</v>
      </c>
      <c r="AL590" s="18"/>
      <c r="AM590" s="18"/>
      <c r="AN590" s="15" t="s">
        <v>2787</v>
      </c>
      <c r="AO590" s="18"/>
      <c r="AP590" s="15" t="s">
        <v>16521</v>
      </c>
      <c r="AQ590" s="15" t="s">
        <v>16522</v>
      </c>
      <c r="AR590" s="18"/>
      <c r="AS590" s="15" t="s">
        <v>16523</v>
      </c>
      <c r="AT590" s="18"/>
      <c r="AU590" s="18"/>
      <c r="AV590" s="18"/>
      <c r="AW590" s="15" t="s">
        <v>16524</v>
      </c>
      <c r="AX590" s="18"/>
      <c r="AY590" s="15" t="s">
        <v>16525</v>
      </c>
      <c r="AZ590" s="15" t="s">
        <v>3960</v>
      </c>
      <c r="BA590" s="15" t="s">
        <v>10958</v>
      </c>
      <c r="BB590" s="15" t="s">
        <v>5673</v>
      </c>
      <c r="BC590" s="15" t="s">
        <v>15576</v>
      </c>
      <c r="BD590" s="15" t="s">
        <v>2807</v>
      </c>
      <c r="BE590" s="15" t="s">
        <v>16526</v>
      </c>
      <c r="BF590" s="18"/>
      <c r="BG590" s="18"/>
      <c r="BH590" s="18"/>
      <c r="BI590" s="18"/>
      <c r="BJ590" s="19" t="s">
        <v>16527</v>
      </c>
      <c r="BK590" s="19" t="s">
        <v>16528</v>
      </c>
      <c r="BL590" s="18"/>
      <c r="BM590" s="18"/>
      <c r="BN590" s="19" t="s">
        <v>16529</v>
      </c>
      <c r="BO590" s="19" t="s">
        <v>16530</v>
      </c>
      <c r="BP590" s="18"/>
      <c r="BQ590" s="15" t="s">
        <v>1321</v>
      </c>
      <c r="BR590" s="26"/>
      <c r="BS590" s="26"/>
      <c r="BT590" s="26"/>
      <c r="BU590" s="26"/>
      <c r="BV590" s="26"/>
      <c r="BW590" s="26"/>
      <c r="BX590" s="26"/>
      <c r="BY590" s="18" t="str">
        <f t="shared" si="107"/>
        <v>MECH</v>
      </c>
      <c r="BZ590" s="18" t="str">
        <f t="shared" si="100"/>
        <v/>
      </c>
      <c r="CA590" s="18" t="str">
        <f t="shared" si="101"/>
        <v/>
      </c>
      <c r="CB590" s="15" t="s">
        <v>2908</v>
      </c>
      <c r="CC590" s="15" t="s">
        <v>2908</v>
      </c>
      <c r="CD590" s="25" t="s">
        <v>2787</v>
      </c>
      <c r="CE590" s="18"/>
      <c r="CF590" s="18"/>
      <c r="CG590" s="18"/>
    </row>
    <row r="591" ht="18.75" hidden="1" customHeight="1">
      <c r="A591" s="14">
        <v>44742.594843217594</v>
      </c>
      <c r="B591" s="15" t="s">
        <v>16531</v>
      </c>
      <c r="C591" s="16" t="s">
        <v>16532</v>
      </c>
      <c r="D591" s="15" t="str">
        <f>IFERROR(__xludf.DUMMYFUNCTION("QUERY(TY_ALL_2023_Batch!$A$1:$E$824, ""SELECT E WHERE C='""&amp;B591&amp;""'"", 0)"),"#N/A")</f>
        <v>#N/A</v>
      </c>
      <c r="E591" s="15" t="s">
        <v>16533</v>
      </c>
      <c r="F591" s="15" t="s">
        <v>3098</v>
      </c>
      <c r="G591" s="15" t="s">
        <v>4936</v>
      </c>
      <c r="H591" s="15" t="s">
        <v>2785</v>
      </c>
      <c r="I591" s="17">
        <v>37118.0</v>
      </c>
      <c r="J591" s="15">
        <v>2020.0</v>
      </c>
      <c r="K591" s="15" t="s">
        <v>2941</v>
      </c>
      <c r="L591" s="15" t="s">
        <v>2787</v>
      </c>
      <c r="M591" s="18"/>
      <c r="N591" s="15" t="s">
        <v>1380</v>
      </c>
      <c r="O591" s="15" t="s">
        <v>16531</v>
      </c>
      <c r="P591" s="19" t="s">
        <v>16534</v>
      </c>
      <c r="Q591" s="15">
        <v>7.083846707E9</v>
      </c>
      <c r="R591" s="15">
        <v>7.083846707E9</v>
      </c>
      <c r="S591" s="18"/>
      <c r="T591" s="15" t="s">
        <v>16535</v>
      </c>
      <c r="U591" s="15" t="s">
        <v>16536</v>
      </c>
      <c r="V591" s="15" t="s">
        <v>16537</v>
      </c>
      <c r="W591" s="18"/>
      <c r="X591" s="15">
        <v>88.6</v>
      </c>
      <c r="Y591" s="15" t="s">
        <v>2948</v>
      </c>
      <c r="Z591" s="15">
        <v>9.24</v>
      </c>
      <c r="AA591" s="15">
        <v>8.35</v>
      </c>
      <c r="AB591" s="15">
        <v>7.76</v>
      </c>
      <c r="AC591" s="15">
        <v>9.0</v>
      </c>
      <c r="AD591" s="15" t="s">
        <v>2796</v>
      </c>
      <c r="AE591" s="15" t="s">
        <v>2796</v>
      </c>
      <c r="AF591" s="18"/>
      <c r="AG591" s="18"/>
      <c r="AH591" s="18"/>
      <c r="AI591" s="15">
        <v>91.69</v>
      </c>
      <c r="AJ591" s="15" t="s">
        <v>2787</v>
      </c>
      <c r="AK591" s="15" t="s">
        <v>2787</v>
      </c>
      <c r="AL591" s="15">
        <v>480.0</v>
      </c>
      <c r="AM591" s="15">
        <v>560.0</v>
      </c>
      <c r="AN591" s="15" t="s">
        <v>2797</v>
      </c>
      <c r="AO591" s="15" t="s">
        <v>2796</v>
      </c>
      <c r="AP591" s="15" t="s">
        <v>2796</v>
      </c>
      <c r="AQ591" s="15" t="s">
        <v>16538</v>
      </c>
      <c r="AR591" s="15" t="s">
        <v>16539</v>
      </c>
      <c r="AS591" s="15" t="s">
        <v>2796</v>
      </c>
      <c r="AT591" s="15" t="s">
        <v>2796</v>
      </c>
      <c r="AU591" s="15" t="s">
        <v>2796</v>
      </c>
      <c r="AV591" s="15" t="s">
        <v>16540</v>
      </c>
      <c r="AW591" s="15" t="s">
        <v>16541</v>
      </c>
      <c r="AX591" s="15" t="s">
        <v>2796</v>
      </c>
      <c r="AY591" s="15" t="s">
        <v>16542</v>
      </c>
      <c r="AZ591" s="15" t="s">
        <v>3960</v>
      </c>
      <c r="BA591" s="15" t="s">
        <v>2870</v>
      </c>
      <c r="BB591" s="15" t="s">
        <v>2807</v>
      </c>
      <c r="BC591" s="15" t="s">
        <v>13774</v>
      </c>
      <c r="BD591" s="15" t="s">
        <v>2807</v>
      </c>
      <c r="BE591" s="15" t="s">
        <v>16543</v>
      </c>
      <c r="BF591" s="15" t="s">
        <v>16544</v>
      </c>
      <c r="BG591" s="18"/>
      <c r="BH591" s="15" t="s">
        <v>16545</v>
      </c>
      <c r="BI591" s="15" t="s">
        <v>16546</v>
      </c>
      <c r="BJ591" s="19" t="s">
        <v>16547</v>
      </c>
      <c r="BK591" s="19" t="s">
        <v>16548</v>
      </c>
      <c r="BL591" s="19" t="s">
        <v>16549</v>
      </c>
      <c r="BM591" s="19" t="s">
        <v>16550</v>
      </c>
      <c r="BN591" s="19" t="s">
        <v>16551</v>
      </c>
      <c r="BO591" s="19" t="s">
        <v>16552</v>
      </c>
      <c r="BP591" s="19" t="s">
        <v>16553</v>
      </c>
      <c r="BQ591" s="15" t="s">
        <v>1321</v>
      </c>
      <c r="BR591" s="26"/>
      <c r="BS591" s="26"/>
      <c r="BT591" s="26"/>
      <c r="BU591" s="19" t="s">
        <v>16554</v>
      </c>
      <c r="BV591" s="19" t="s">
        <v>16555</v>
      </c>
      <c r="BW591" s="15" t="s">
        <v>16556</v>
      </c>
      <c r="BX591" s="26"/>
      <c r="BY591" s="18" t="str">
        <f t="shared" si="107"/>
        <v>MECH</v>
      </c>
      <c r="BZ591" s="24" t="str">
        <f t="shared" si="100"/>
        <v>https://drive.google.com/open?id=13nmUikgXaI1qbFwJlJdNDATSmw1AFT8J</v>
      </c>
      <c r="CA591" s="24" t="str">
        <f t="shared" si="101"/>
        <v>https://drive.google.com/open?id=1SL8DciOHmwHyz0wTL11nWk-w8vQSGwyU</v>
      </c>
      <c r="CB591" s="15" t="s">
        <v>16557</v>
      </c>
      <c r="CC591" s="15" t="s">
        <v>16557</v>
      </c>
      <c r="CD591" s="25" t="s">
        <v>2787</v>
      </c>
      <c r="CE591" s="18"/>
      <c r="CF591" s="18"/>
      <c r="CG591" s="18"/>
    </row>
    <row r="592" ht="18.75" hidden="1" customHeight="1">
      <c r="A592" s="14">
        <v>44772.35782297453</v>
      </c>
      <c r="B592" s="15" t="s">
        <v>16558</v>
      </c>
      <c r="C592" s="16" t="s">
        <v>16559</v>
      </c>
      <c r="D592" s="15" t="str">
        <f>IFERROR(__xludf.DUMMYFUNCTION("QUERY(TY_ALL_2023_Batch!$A$1:$E$824, ""SELECT E WHERE C='""&amp;B592&amp;""'"", 0)"),"#N/A")</f>
        <v>#N/A</v>
      </c>
      <c r="E592" s="15" t="s">
        <v>16560</v>
      </c>
      <c r="F592" s="15" t="s">
        <v>16561</v>
      </c>
      <c r="G592" s="15" t="s">
        <v>16562</v>
      </c>
      <c r="H592" s="15" t="s">
        <v>2785</v>
      </c>
      <c r="I592" s="17">
        <v>36859.0</v>
      </c>
      <c r="J592" s="15">
        <v>2020.0</v>
      </c>
      <c r="K592" s="15" t="s">
        <v>2941</v>
      </c>
      <c r="L592" s="15" t="s">
        <v>2787</v>
      </c>
      <c r="M592" s="18"/>
      <c r="N592" s="15" t="s">
        <v>1515</v>
      </c>
      <c r="O592" s="15" t="s">
        <v>16558</v>
      </c>
      <c r="P592" s="19" t="s">
        <v>16563</v>
      </c>
      <c r="Q592" s="15">
        <v>9.112428804E9</v>
      </c>
      <c r="R592" s="15">
        <v>9.112428804E9</v>
      </c>
      <c r="S592" s="15">
        <v>7.020198746E9</v>
      </c>
      <c r="T592" s="15" t="s">
        <v>16561</v>
      </c>
      <c r="U592" s="15" t="s">
        <v>16564</v>
      </c>
      <c r="V592" s="15" t="s">
        <v>16565</v>
      </c>
      <c r="W592" s="15" t="s">
        <v>16566</v>
      </c>
      <c r="X592" s="15">
        <v>84.4</v>
      </c>
      <c r="Y592" s="15" t="s">
        <v>2948</v>
      </c>
      <c r="Z592" s="15">
        <v>8.05</v>
      </c>
      <c r="AA592" s="15">
        <v>8.29</v>
      </c>
      <c r="AB592" s="15">
        <v>7.52</v>
      </c>
      <c r="AC592" s="15">
        <v>8.62</v>
      </c>
      <c r="AD592" s="15" t="s">
        <v>2796</v>
      </c>
      <c r="AE592" s="15" t="s">
        <v>2796</v>
      </c>
      <c r="AF592" s="18"/>
      <c r="AG592" s="18"/>
      <c r="AH592" s="18"/>
      <c r="AI592" s="15">
        <v>92.41</v>
      </c>
      <c r="AJ592" s="15" t="s">
        <v>2787</v>
      </c>
      <c r="AK592" s="15" t="s">
        <v>2787</v>
      </c>
      <c r="AL592" s="15">
        <v>341.67</v>
      </c>
      <c r="AM592" s="15">
        <v>626.67</v>
      </c>
      <c r="AN592" s="15" t="s">
        <v>2797</v>
      </c>
      <c r="AO592" s="18"/>
      <c r="AP592" s="18"/>
      <c r="AQ592" s="15" t="s">
        <v>16567</v>
      </c>
      <c r="AR592" s="18"/>
      <c r="AS592" s="15" t="s">
        <v>16568</v>
      </c>
      <c r="AT592" s="18"/>
      <c r="AU592" s="15" t="s">
        <v>2796</v>
      </c>
      <c r="AV592" s="15" t="s">
        <v>16569</v>
      </c>
      <c r="AW592" s="15" t="s">
        <v>16570</v>
      </c>
      <c r="AX592" s="15" t="s">
        <v>2796</v>
      </c>
      <c r="AY592" s="15" t="s">
        <v>16571</v>
      </c>
      <c r="AZ592" s="15" t="s">
        <v>3960</v>
      </c>
      <c r="BA592" s="15" t="s">
        <v>2899</v>
      </c>
      <c r="BB592" s="15" t="s">
        <v>2807</v>
      </c>
      <c r="BC592" s="15" t="s">
        <v>14049</v>
      </c>
      <c r="BD592" s="15" t="s">
        <v>2807</v>
      </c>
      <c r="BE592" s="15" t="s">
        <v>2796</v>
      </c>
      <c r="BF592" s="15" t="s">
        <v>16572</v>
      </c>
      <c r="BG592" s="18"/>
      <c r="BH592" s="18"/>
      <c r="BI592" s="18"/>
      <c r="BJ592" s="19" t="s">
        <v>16573</v>
      </c>
      <c r="BK592" s="19" t="s">
        <v>16574</v>
      </c>
      <c r="BL592" s="19" t="s">
        <v>16575</v>
      </c>
      <c r="BM592" s="19" t="s">
        <v>16576</v>
      </c>
      <c r="BN592" s="19" t="s">
        <v>16577</v>
      </c>
      <c r="BO592" s="19" t="s">
        <v>16578</v>
      </c>
      <c r="BP592" s="18"/>
      <c r="BQ592" s="15" t="s">
        <v>1321</v>
      </c>
      <c r="BR592" s="26"/>
      <c r="BS592" s="26"/>
      <c r="BT592" s="26"/>
      <c r="BU592" s="26"/>
      <c r="BV592" s="26"/>
      <c r="BW592" s="15" t="s">
        <v>16579</v>
      </c>
      <c r="BX592" s="26"/>
      <c r="BY592" s="18" t="str">
        <f t="shared" si="107"/>
        <v>MECH</v>
      </c>
      <c r="BZ592" s="24" t="str">
        <f t="shared" si="100"/>
        <v>https://drive.google.com/open?id=1mC-URmdMFpk4x1Aj6eFxln46s2K9l7RI</v>
      </c>
      <c r="CA592" s="24" t="str">
        <f t="shared" si="101"/>
        <v>https://drive.google.com/open?id=1mSayFSKnTGunP9pKDMtnTFLZyPEAUEzE</v>
      </c>
      <c r="CB592" s="15" t="s">
        <v>2821</v>
      </c>
      <c r="CC592" s="15" t="s">
        <v>2821</v>
      </c>
      <c r="CD592" s="25" t="s">
        <v>2797</v>
      </c>
      <c r="CE592" s="18"/>
      <c r="CF592" s="18"/>
      <c r="CG592" s="18"/>
    </row>
    <row r="593" ht="18.75" hidden="1" customHeight="1">
      <c r="A593" s="14">
        <v>44736.50365431713</v>
      </c>
      <c r="B593" s="15" t="s">
        <v>16580</v>
      </c>
      <c r="C593" s="16" t="s">
        <v>16581</v>
      </c>
      <c r="D593" s="15" t="str">
        <f>IFERROR(__xludf.DUMMYFUNCTION("QUERY(TY_ALL_2023_Batch!$A$1:$E$824, ""SELECT E WHERE C='""&amp;B593&amp;""'"", 0)"),"#N/A")</f>
        <v>#N/A</v>
      </c>
      <c r="E593" s="15" t="s">
        <v>16582</v>
      </c>
      <c r="F593" s="15" t="s">
        <v>16583</v>
      </c>
      <c r="G593" s="15" t="s">
        <v>5325</v>
      </c>
      <c r="H593" s="15" t="s">
        <v>2785</v>
      </c>
      <c r="I593" s="17">
        <v>36987.0</v>
      </c>
      <c r="J593" s="15">
        <v>2020.0</v>
      </c>
      <c r="K593" s="15" t="s">
        <v>2941</v>
      </c>
      <c r="L593" s="15" t="s">
        <v>2787</v>
      </c>
      <c r="M593" s="18"/>
      <c r="N593" s="15" t="s">
        <v>1419</v>
      </c>
      <c r="O593" s="15" t="s">
        <v>16580</v>
      </c>
      <c r="P593" s="19" t="s">
        <v>16584</v>
      </c>
      <c r="Q593" s="15">
        <v>9.503190964E9</v>
      </c>
      <c r="R593" s="15">
        <v>9.503190964E9</v>
      </c>
      <c r="S593" s="15">
        <v>7.62026287E9</v>
      </c>
      <c r="T593" s="15" t="s">
        <v>16585</v>
      </c>
      <c r="U593" s="15" t="s">
        <v>16586</v>
      </c>
      <c r="V593" s="15" t="s">
        <v>16587</v>
      </c>
      <c r="W593" s="18"/>
      <c r="X593" s="15">
        <v>90.6</v>
      </c>
      <c r="Y593" s="15" t="s">
        <v>2948</v>
      </c>
      <c r="Z593" s="15">
        <v>8.76</v>
      </c>
      <c r="AA593" s="15">
        <v>8.71</v>
      </c>
      <c r="AB593" s="15" t="s">
        <v>2796</v>
      </c>
      <c r="AC593" s="15" t="s">
        <v>2796</v>
      </c>
      <c r="AD593" s="15" t="s">
        <v>2796</v>
      </c>
      <c r="AE593" s="15" t="s">
        <v>2796</v>
      </c>
      <c r="AF593" s="18"/>
      <c r="AG593" s="18"/>
      <c r="AH593" s="18"/>
      <c r="AI593" s="15">
        <v>91.74</v>
      </c>
      <c r="AJ593" s="15" t="s">
        <v>2787</v>
      </c>
      <c r="AK593" s="15" t="s">
        <v>2787</v>
      </c>
      <c r="AL593" s="15">
        <v>495.0</v>
      </c>
      <c r="AM593" s="15">
        <v>508.0</v>
      </c>
      <c r="AN593" s="15" t="s">
        <v>2797</v>
      </c>
      <c r="AO593" s="15" t="s">
        <v>2796</v>
      </c>
      <c r="AP593" s="15" t="s">
        <v>2796</v>
      </c>
      <c r="AQ593" s="15" t="s">
        <v>3814</v>
      </c>
      <c r="AR593" s="18"/>
      <c r="AS593" s="15" t="s">
        <v>16588</v>
      </c>
      <c r="AT593" s="18"/>
      <c r="AU593" s="18"/>
      <c r="AV593" s="18"/>
      <c r="AW593" s="15" t="s">
        <v>16589</v>
      </c>
      <c r="AX593" s="18"/>
      <c r="AY593" s="15" t="s">
        <v>16590</v>
      </c>
      <c r="AZ593" s="15" t="s">
        <v>4377</v>
      </c>
      <c r="BA593" s="15" t="s">
        <v>2899</v>
      </c>
      <c r="BB593" s="15" t="s">
        <v>2807</v>
      </c>
      <c r="BC593" s="15" t="s">
        <v>16591</v>
      </c>
      <c r="BD593" s="15" t="s">
        <v>2807</v>
      </c>
      <c r="BE593" s="15" t="s">
        <v>16592</v>
      </c>
      <c r="BF593" s="18"/>
      <c r="BG593" s="18"/>
      <c r="BH593" s="18"/>
      <c r="BI593" s="18"/>
      <c r="BJ593" s="19" t="s">
        <v>16593</v>
      </c>
      <c r="BK593" s="19" t="s">
        <v>16594</v>
      </c>
      <c r="BL593" s="19" t="s">
        <v>16595</v>
      </c>
      <c r="BM593" s="20" t="s">
        <v>16596</v>
      </c>
      <c r="BN593" s="18"/>
      <c r="BO593" s="19" t="s">
        <v>16597</v>
      </c>
      <c r="BP593" s="18"/>
      <c r="BQ593" s="15" t="s">
        <v>1321</v>
      </c>
      <c r="BR593" s="26"/>
      <c r="BS593" s="26"/>
      <c r="BT593" s="26"/>
      <c r="BU593" s="26"/>
      <c r="BV593" s="26"/>
      <c r="BW593" s="26"/>
      <c r="BX593" s="26"/>
      <c r="BY593" s="18" t="str">
        <f t="shared" si="107"/>
        <v>MECH</v>
      </c>
      <c r="BZ593" s="24" t="str">
        <f t="shared" si="100"/>
        <v>https://drive.google.com/open?id=1ZN3eK_QNfFGM-MdxqvxwlyQ858iDaE4F</v>
      </c>
      <c r="CA593" s="24" t="str">
        <f t="shared" si="101"/>
        <v>https://drive.google.com/open?id=1ibwpCXZyveY-du6ew15tP5EQ8GlvssEq</v>
      </c>
      <c r="CB593" s="15" t="s">
        <v>2821</v>
      </c>
      <c r="CC593" s="15" t="s">
        <v>2821</v>
      </c>
      <c r="CD593" s="25" t="s">
        <v>2797</v>
      </c>
      <c r="CE593" s="18"/>
      <c r="CF593" s="18"/>
      <c r="CG593" s="18"/>
    </row>
    <row r="594" ht="18.75" hidden="1" customHeight="1">
      <c r="A594" s="14">
        <v>44736.837380069446</v>
      </c>
      <c r="B594" s="15" t="s">
        <v>16598</v>
      </c>
      <c r="C594" s="16" t="s">
        <v>16599</v>
      </c>
      <c r="D594" s="15" t="str">
        <f>IFERROR(__xludf.DUMMYFUNCTION("QUERY(TY_ALL_2023_Batch!$A$1:$E$824, ""SELECT E WHERE C='""&amp;B594&amp;""'"", 0)"),"#N/A")</f>
        <v>#N/A</v>
      </c>
      <c r="E594" s="15" t="s">
        <v>5032</v>
      </c>
      <c r="F594" s="15" t="s">
        <v>11808</v>
      </c>
      <c r="G594" s="15" t="s">
        <v>16600</v>
      </c>
      <c r="H594" s="15" t="s">
        <v>2785</v>
      </c>
      <c r="I594" s="17">
        <v>36874.0</v>
      </c>
      <c r="J594" s="15">
        <v>2020.0</v>
      </c>
      <c r="K594" s="15" t="s">
        <v>2941</v>
      </c>
      <c r="L594" s="15" t="s">
        <v>2787</v>
      </c>
      <c r="M594" s="18"/>
      <c r="N594" s="15" t="s">
        <v>1590</v>
      </c>
      <c r="O594" s="15" t="s">
        <v>16598</v>
      </c>
      <c r="P594" s="19" t="s">
        <v>16601</v>
      </c>
      <c r="Q594" s="15">
        <v>7.420033492E9</v>
      </c>
      <c r="R594" s="15">
        <v>7.420033492E9</v>
      </c>
      <c r="S594" s="15">
        <v>7.821917347E9</v>
      </c>
      <c r="T594" s="15" t="s">
        <v>11808</v>
      </c>
      <c r="U594" s="15" t="s">
        <v>16602</v>
      </c>
      <c r="V594" s="15" t="s">
        <v>16603</v>
      </c>
      <c r="W594" s="15" t="s">
        <v>16604</v>
      </c>
      <c r="X594" s="15">
        <v>89.8</v>
      </c>
      <c r="Y594" s="15" t="s">
        <v>2948</v>
      </c>
      <c r="Z594" s="15">
        <v>7.86</v>
      </c>
      <c r="AA594" s="15">
        <v>7.81</v>
      </c>
      <c r="AB594" s="15" t="s">
        <v>2796</v>
      </c>
      <c r="AC594" s="15" t="s">
        <v>2796</v>
      </c>
      <c r="AD594" s="15" t="s">
        <v>2796</v>
      </c>
      <c r="AE594" s="15" t="s">
        <v>2796</v>
      </c>
      <c r="AF594" s="18"/>
      <c r="AG594" s="18"/>
      <c r="AH594" s="18"/>
      <c r="AI594" s="15">
        <v>90.51</v>
      </c>
      <c r="AJ594" s="15" t="s">
        <v>2787</v>
      </c>
      <c r="AK594" s="15" t="s">
        <v>2787</v>
      </c>
      <c r="AL594" s="15">
        <v>418.0</v>
      </c>
      <c r="AM594" s="15">
        <v>484.16</v>
      </c>
      <c r="AN594" s="15" t="s">
        <v>2797</v>
      </c>
      <c r="AO594" s="18"/>
      <c r="AP594" s="18"/>
      <c r="AQ594" s="15" t="s">
        <v>14879</v>
      </c>
      <c r="AR594" s="18"/>
      <c r="AS594" s="18"/>
      <c r="AT594" s="18"/>
      <c r="AU594" s="15" t="s">
        <v>2796</v>
      </c>
      <c r="AV594" s="15" t="s">
        <v>16605</v>
      </c>
      <c r="AW594" s="15" t="s">
        <v>16606</v>
      </c>
      <c r="AX594" s="18"/>
      <c r="AY594" s="15" t="s">
        <v>16606</v>
      </c>
      <c r="AZ594" s="15" t="s">
        <v>3960</v>
      </c>
      <c r="BA594" s="15" t="s">
        <v>2870</v>
      </c>
      <c r="BB594" s="15" t="s">
        <v>2807</v>
      </c>
      <c r="BC594" s="15" t="s">
        <v>14049</v>
      </c>
      <c r="BD594" s="15" t="s">
        <v>2807</v>
      </c>
      <c r="BE594" s="15" t="s">
        <v>2796</v>
      </c>
      <c r="BF594" s="18"/>
      <c r="BG594" s="18"/>
      <c r="BH594" s="18"/>
      <c r="BI594" s="18"/>
      <c r="BJ594" s="19" t="s">
        <v>16607</v>
      </c>
      <c r="BK594" s="19" t="s">
        <v>16608</v>
      </c>
      <c r="BL594" s="18"/>
      <c r="BM594" s="18"/>
      <c r="BN594" s="19" t="s">
        <v>16609</v>
      </c>
      <c r="BO594" s="19" t="s">
        <v>16610</v>
      </c>
      <c r="BP594" s="18"/>
      <c r="BQ594" s="15" t="s">
        <v>1321</v>
      </c>
      <c r="BR594" s="26"/>
      <c r="BS594" s="26"/>
      <c r="BT594" s="19" t="s">
        <v>16611</v>
      </c>
      <c r="BU594" s="26"/>
      <c r="BV594" s="26"/>
      <c r="BW594" s="15" t="s">
        <v>16612</v>
      </c>
      <c r="BX594" s="26"/>
      <c r="BY594" s="18" t="str">
        <f t="shared" si="107"/>
        <v>MECH</v>
      </c>
      <c r="BZ594" s="18" t="str">
        <f t="shared" si="100"/>
        <v/>
      </c>
      <c r="CA594" s="18" t="str">
        <f t="shared" si="101"/>
        <v/>
      </c>
      <c r="CB594" s="15" t="s">
        <v>2908</v>
      </c>
      <c r="CC594" s="15" t="s">
        <v>2908</v>
      </c>
      <c r="CD594" s="25" t="s">
        <v>2787</v>
      </c>
      <c r="CE594" s="18"/>
      <c r="CF594" s="18"/>
      <c r="CG594" s="18"/>
    </row>
    <row r="595" ht="18.75" hidden="1" customHeight="1">
      <c r="A595" s="14">
        <v>44736.49676175926</v>
      </c>
      <c r="B595" s="15" t="s">
        <v>16613</v>
      </c>
      <c r="C595" s="16" t="s">
        <v>16614</v>
      </c>
      <c r="D595" s="15" t="str">
        <f>IFERROR(__xludf.DUMMYFUNCTION("QUERY(TY_ALL_2023_Batch!$A$1:$E$824, ""SELECT E WHERE C='""&amp;B595&amp;""'"", 0)"),"#N/A")</f>
        <v>#N/A</v>
      </c>
      <c r="E595" s="15" t="s">
        <v>16615</v>
      </c>
      <c r="F595" s="15" t="s">
        <v>4593</v>
      </c>
      <c r="G595" s="15" t="s">
        <v>16616</v>
      </c>
      <c r="H595" s="15" t="s">
        <v>2785</v>
      </c>
      <c r="I595" s="17">
        <v>37157.0</v>
      </c>
      <c r="J595" s="15">
        <v>2020.0</v>
      </c>
      <c r="K595" s="15" t="s">
        <v>2941</v>
      </c>
      <c r="L595" s="15" t="s">
        <v>2787</v>
      </c>
      <c r="M595" s="18"/>
      <c r="N595" s="15" t="s">
        <v>1503</v>
      </c>
      <c r="O595" s="15" t="s">
        <v>16613</v>
      </c>
      <c r="P595" s="19" t="s">
        <v>16617</v>
      </c>
      <c r="Q595" s="15">
        <v>7.385702596E9</v>
      </c>
      <c r="R595" s="15">
        <v>9.112723981E9</v>
      </c>
      <c r="S595" s="18"/>
      <c r="T595" s="15" t="s">
        <v>16618</v>
      </c>
      <c r="U595" s="15" t="s">
        <v>16619</v>
      </c>
      <c r="V595" s="15" t="s">
        <v>16620</v>
      </c>
      <c r="W595" s="15" t="s">
        <v>16621</v>
      </c>
      <c r="X595" s="15">
        <v>86.8</v>
      </c>
      <c r="Y595" s="15" t="s">
        <v>2948</v>
      </c>
      <c r="Z595" s="15">
        <v>8.77</v>
      </c>
      <c r="AA595" s="15">
        <v>8.81</v>
      </c>
      <c r="AB595" s="15" t="s">
        <v>2796</v>
      </c>
      <c r="AC595" s="15" t="s">
        <v>2796</v>
      </c>
      <c r="AD595" s="15" t="s">
        <v>2796</v>
      </c>
      <c r="AE595" s="15" t="s">
        <v>2796</v>
      </c>
      <c r="AF595" s="18"/>
      <c r="AG595" s="18"/>
      <c r="AH595" s="18"/>
      <c r="AI595" s="15">
        <v>92.72</v>
      </c>
      <c r="AJ595" s="15" t="s">
        <v>2787</v>
      </c>
      <c r="AK595" s="15" t="s">
        <v>2787</v>
      </c>
      <c r="AL595" s="15">
        <v>509.0</v>
      </c>
      <c r="AM595" s="15">
        <v>515.0</v>
      </c>
      <c r="AN595" s="15" t="s">
        <v>2797</v>
      </c>
      <c r="AO595" s="15" t="s">
        <v>2796</v>
      </c>
      <c r="AP595" s="15" t="s">
        <v>2796</v>
      </c>
      <c r="AQ595" s="15" t="s">
        <v>4912</v>
      </c>
      <c r="AR595" s="18"/>
      <c r="AS595" s="18"/>
      <c r="AT595" s="18"/>
      <c r="AU595" s="15" t="s">
        <v>2796</v>
      </c>
      <c r="AV595" s="15" t="s">
        <v>16622</v>
      </c>
      <c r="AW595" s="15" t="s">
        <v>16623</v>
      </c>
      <c r="AX595" s="15" t="s">
        <v>2796</v>
      </c>
      <c r="AY595" s="15" t="s">
        <v>16624</v>
      </c>
      <c r="AZ595" s="15" t="s">
        <v>3960</v>
      </c>
      <c r="BA595" s="15" t="s">
        <v>2870</v>
      </c>
      <c r="BB595" s="15" t="s">
        <v>2807</v>
      </c>
      <c r="BC595" s="15" t="s">
        <v>16491</v>
      </c>
      <c r="BD595" s="15" t="s">
        <v>2807</v>
      </c>
      <c r="BE595" s="15" t="s">
        <v>16625</v>
      </c>
      <c r="BF595" s="15" t="s">
        <v>16626</v>
      </c>
      <c r="BG595" s="18"/>
      <c r="BH595" s="18"/>
      <c r="BI595" s="15" t="s">
        <v>16627</v>
      </c>
      <c r="BJ595" s="19" t="s">
        <v>16628</v>
      </c>
      <c r="BK595" s="19" t="s">
        <v>16629</v>
      </c>
      <c r="BL595" s="19" t="s">
        <v>16630</v>
      </c>
      <c r="BM595" s="19" t="s">
        <v>16631</v>
      </c>
      <c r="BN595" s="19" t="s">
        <v>16632</v>
      </c>
      <c r="BO595" s="19" t="s">
        <v>16633</v>
      </c>
      <c r="BP595" s="19" t="s">
        <v>16634</v>
      </c>
      <c r="BQ595" s="15" t="s">
        <v>1321</v>
      </c>
      <c r="BR595" s="26"/>
      <c r="BS595" s="26"/>
      <c r="BT595" s="26"/>
      <c r="BU595" s="26"/>
      <c r="BV595" s="26"/>
      <c r="BW595" s="26"/>
      <c r="BX595" s="26"/>
      <c r="BY595" s="18" t="str">
        <f t="shared" si="107"/>
        <v>MECH</v>
      </c>
      <c r="BZ595" s="24" t="str">
        <f t="shared" si="100"/>
        <v>https://drive.google.com/open?id=1qWv7q-9EX-kwnA85Tu6xviswb7ss9pIU</v>
      </c>
      <c r="CA595" s="24" t="str">
        <f t="shared" si="101"/>
        <v>https://drive.google.com/open?id=1CXIgpnnHxBPZGqRIaK3-5BQe0Wsy79xY</v>
      </c>
      <c r="CB595" s="15" t="s">
        <v>2821</v>
      </c>
      <c r="CC595" s="15" t="s">
        <v>2821</v>
      </c>
      <c r="CD595" s="25" t="s">
        <v>2797</v>
      </c>
      <c r="CE595" s="18"/>
      <c r="CF595" s="18"/>
      <c r="CG595" s="18"/>
    </row>
    <row r="596" ht="18.75" hidden="1" customHeight="1">
      <c r="A596" s="14">
        <v>44772.353835092596</v>
      </c>
      <c r="B596" s="15" t="s">
        <v>16635</v>
      </c>
      <c r="C596" s="15">
        <v>2.20200165E8</v>
      </c>
      <c r="D596" s="15" t="str">
        <f>IFERROR(__xludf.DUMMYFUNCTION("QUERY(TY_ALL_2023_Batch!$A$1:$E$824, ""SELECT E WHERE C='""&amp;B596&amp;""'"", 0)"),"#N/A")</f>
        <v>#N/A</v>
      </c>
      <c r="E596" s="15" t="s">
        <v>4298</v>
      </c>
      <c r="F596" s="15" t="s">
        <v>2939</v>
      </c>
      <c r="G596" s="15" t="s">
        <v>16636</v>
      </c>
      <c r="H596" s="15" t="s">
        <v>2785</v>
      </c>
      <c r="I596" s="17">
        <v>37110.0</v>
      </c>
      <c r="J596" s="15">
        <v>2020.0</v>
      </c>
      <c r="K596" s="15" t="s">
        <v>2941</v>
      </c>
      <c r="L596" s="15" t="s">
        <v>2787</v>
      </c>
      <c r="M596" s="18"/>
      <c r="N596" s="15" t="s">
        <v>1467</v>
      </c>
      <c r="O596" s="15" t="s">
        <v>16635</v>
      </c>
      <c r="P596" s="19" t="s">
        <v>16637</v>
      </c>
      <c r="Q596" s="15">
        <v>9.518379705E9</v>
      </c>
      <c r="R596" s="15">
        <v>9.518379705E9</v>
      </c>
      <c r="S596" s="15">
        <v>9.067447582E9</v>
      </c>
      <c r="T596" s="15" t="s">
        <v>2939</v>
      </c>
      <c r="U596" s="15" t="s">
        <v>11020</v>
      </c>
      <c r="V596" s="15" t="s">
        <v>16638</v>
      </c>
      <c r="W596" s="15" t="s">
        <v>16639</v>
      </c>
      <c r="X596" s="15">
        <v>74.2</v>
      </c>
      <c r="Y596" s="15" t="s">
        <v>2948</v>
      </c>
      <c r="Z596" s="15">
        <v>8.57</v>
      </c>
      <c r="AA596" s="15">
        <v>8.59</v>
      </c>
      <c r="AB596" s="15">
        <v>7.62</v>
      </c>
      <c r="AC596" s="15">
        <v>8.71</v>
      </c>
      <c r="AD596" s="15" t="s">
        <v>2796</v>
      </c>
      <c r="AE596" s="15" t="s">
        <v>2796</v>
      </c>
      <c r="AF596" s="18"/>
      <c r="AG596" s="18"/>
      <c r="AH596" s="18"/>
      <c r="AI596" s="15">
        <v>91.0</v>
      </c>
      <c r="AJ596" s="15" t="s">
        <v>2787</v>
      </c>
      <c r="AK596" s="15" t="s">
        <v>2787</v>
      </c>
      <c r="AL596" s="15">
        <v>611.6</v>
      </c>
      <c r="AM596" s="15">
        <v>465.0</v>
      </c>
      <c r="AN596" s="15" t="s">
        <v>2797</v>
      </c>
      <c r="AO596" s="15">
        <v>0.0</v>
      </c>
      <c r="AP596" s="15">
        <v>0.0</v>
      </c>
      <c r="AQ596" s="15" t="s">
        <v>16640</v>
      </c>
      <c r="AR596" s="15" t="s">
        <v>16641</v>
      </c>
      <c r="AS596" s="15" t="s">
        <v>16642</v>
      </c>
      <c r="AT596" s="15">
        <v>0.0</v>
      </c>
      <c r="AU596" s="15" t="s">
        <v>2796</v>
      </c>
      <c r="AV596" s="15" t="s">
        <v>16643</v>
      </c>
      <c r="AW596" s="15" t="s">
        <v>16644</v>
      </c>
      <c r="AX596" s="18"/>
      <c r="AY596" s="15" t="s">
        <v>16645</v>
      </c>
      <c r="AZ596" s="15" t="s">
        <v>3960</v>
      </c>
      <c r="BA596" s="15" t="s">
        <v>2870</v>
      </c>
      <c r="BB596" s="15" t="s">
        <v>2807</v>
      </c>
      <c r="BC596" s="15" t="s">
        <v>16646</v>
      </c>
      <c r="BD596" s="15" t="s">
        <v>2842</v>
      </c>
      <c r="BE596" s="15" t="s">
        <v>16647</v>
      </c>
      <c r="BF596" s="18"/>
      <c r="BG596" s="18"/>
      <c r="BH596" s="15" t="s">
        <v>16648</v>
      </c>
      <c r="BI596" s="15" t="s">
        <v>16649</v>
      </c>
      <c r="BJ596" s="19" t="s">
        <v>16650</v>
      </c>
      <c r="BK596" s="19" t="s">
        <v>16651</v>
      </c>
      <c r="BL596" s="19" t="s">
        <v>16652</v>
      </c>
      <c r="BM596" s="19" t="s">
        <v>16653</v>
      </c>
      <c r="BN596" s="19" t="s">
        <v>16654</v>
      </c>
      <c r="BO596" s="19" t="s">
        <v>16655</v>
      </c>
      <c r="BP596" s="19" t="s">
        <v>16656</v>
      </c>
      <c r="BQ596" s="15" t="s">
        <v>1321</v>
      </c>
      <c r="BR596" s="26"/>
      <c r="BS596" s="26"/>
      <c r="BT596" s="26"/>
      <c r="BU596" s="26"/>
      <c r="BV596" s="26"/>
      <c r="BW596" s="15" t="s">
        <v>16657</v>
      </c>
      <c r="BX596" s="26"/>
      <c r="BY596" s="18" t="str">
        <f t="shared" si="107"/>
        <v>MECH</v>
      </c>
      <c r="BZ596" s="24" t="str">
        <f t="shared" si="100"/>
        <v>https://drive.google.com/open?id=11tj2f88YzwQ0nW1cMSD0PE-wz2nvdzfT</v>
      </c>
      <c r="CA596" s="24" t="str">
        <f t="shared" si="101"/>
        <v>https://drive.google.com/open?id=1yrA0ln_Fcuid8uDcTaPOltbt2ZVpoqwk</v>
      </c>
      <c r="CB596" s="15" t="s">
        <v>2821</v>
      </c>
      <c r="CC596" s="15" t="s">
        <v>2821</v>
      </c>
      <c r="CD596" s="25" t="s">
        <v>2797</v>
      </c>
      <c r="CE596" s="18"/>
      <c r="CF596" s="18"/>
      <c r="CG596" s="18"/>
    </row>
    <row r="597" ht="18.75" hidden="1" customHeight="1">
      <c r="A597" s="14">
        <v>44742.493409675924</v>
      </c>
      <c r="B597" s="15" t="s">
        <v>16658</v>
      </c>
      <c r="C597" s="16" t="s">
        <v>16659</v>
      </c>
      <c r="D597" s="15" t="str">
        <f>IFERROR(__xludf.DUMMYFUNCTION("QUERY(TY_ALL_2023_Batch!$A$1:$E$824, ""SELECT E WHERE C='""&amp;B597&amp;""'"", 0)"),"#N/A")</f>
        <v>#N/A</v>
      </c>
      <c r="E597" s="15" t="s">
        <v>8100</v>
      </c>
      <c r="F597" s="15" t="s">
        <v>8046</v>
      </c>
      <c r="G597" s="15" t="s">
        <v>8905</v>
      </c>
      <c r="H597" s="15" t="s">
        <v>2785</v>
      </c>
      <c r="I597" s="17">
        <v>37014.0</v>
      </c>
      <c r="J597" s="15">
        <v>2020.0</v>
      </c>
      <c r="K597" s="15" t="s">
        <v>2941</v>
      </c>
      <c r="L597" s="15" t="s">
        <v>2787</v>
      </c>
      <c r="M597" s="18"/>
      <c r="N597" s="15" t="s">
        <v>1452</v>
      </c>
      <c r="O597" s="15" t="s">
        <v>16658</v>
      </c>
      <c r="P597" s="19" t="s">
        <v>16660</v>
      </c>
      <c r="Q597" s="15">
        <v>9.834936882E9</v>
      </c>
      <c r="R597" s="15">
        <v>9.834936882E9</v>
      </c>
      <c r="S597" s="15">
        <v>7.057380305E9</v>
      </c>
      <c r="T597" s="15" t="s">
        <v>16661</v>
      </c>
      <c r="U597" s="15" t="s">
        <v>16662</v>
      </c>
      <c r="V597" s="15" t="s">
        <v>16663</v>
      </c>
      <c r="W597" s="15" t="s">
        <v>16664</v>
      </c>
      <c r="X597" s="15">
        <v>92.0</v>
      </c>
      <c r="Y597" s="15" t="s">
        <v>2948</v>
      </c>
      <c r="Z597" s="15">
        <v>8.95</v>
      </c>
      <c r="AA597" s="15">
        <v>9.24</v>
      </c>
      <c r="AB597" s="15" t="s">
        <v>2796</v>
      </c>
      <c r="AC597" s="15" t="s">
        <v>2796</v>
      </c>
      <c r="AD597" s="15" t="s">
        <v>2796</v>
      </c>
      <c r="AE597" s="15" t="s">
        <v>2796</v>
      </c>
      <c r="AF597" s="18"/>
      <c r="AG597" s="18"/>
      <c r="AH597" s="18"/>
      <c r="AI597" s="15">
        <v>92.51</v>
      </c>
      <c r="AJ597" s="15" t="s">
        <v>2787</v>
      </c>
      <c r="AK597" s="15" t="s">
        <v>2787</v>
      </c>
      <c r="AL597" s="15">
        <v>433.33</v>
      </c>
      <c r="AM597" s="15">
        <v>490.0</v>
      </c>
      <c r="AN597" s="15" t="s">
        <v>2797</v>
      </c>
      <c r="AO597" s="15" t="s">
        <v>2796</v>
      </c>
      <c r="AP597" s="15" t="s">
        <v>2796</v>
      </c>
      <c r="AQ597" s="15" t="s">
        <v>16665</v>
      </c>
      <c r="AR597" s="15" t="s">
        <v>16666</v>
      </c>
      <c r="AS597" s="15"/>
      <c r="AT597" s="18"/>
      <c r="AU597" s="15" t="s">
        <v>16667</v>
      </c>
      <c r="AV597" s="15" t="s">
        <v>16668</v>
      </c>
      <c r="AW597" s="15" t="s">
        <v>16669</v>
      </c>
      <c r="AX597" s="15" t="s">
        <v>16670</v>
      </c>
      <c r="AY597" s="15" t="s">
        <v>16671</v>
      </c>
      <c r="AZ597" s="15" t="s">
        <v>8440</v>
      </c>
      <c r="BA597" s="15" t="s">
        <v>4085</v>
      </c>
      <c r="BB597" s="15" t="s">
        <v>2807</v>
      </c>
      <c r="BC597" s="15" t="s">
        <v>12991</v>
      </c>
      <c r="BD597" s="15" t="s">
        <v>2807</v>
      </c>
      <c r="BE597" s="15" t="s">
        <v>16672</v>
      </c>
      <c r="BF597" s="15" t="s">
        <v>16673</v>
      </c>
      <c r="BG597" s="18"/>
      <c r="BH597" s="15" t="s">
        <v>16674</v>
      </c>
      <c r="BI597" s="15" t="s">
        <v>16675</v>
      </c>
      <c r="BJ597" s="19" t="s">
        <v>16676</v>
      </c>
      <c r="BK597" s="19" t="s">
        <v>16677</v>
      </c>
      <c r="BL597" s="18"/>
      <c r="BM597" s="18"/>
      <c r="BN597" s="19" t="s">
        <v>16678</v>
      </c>
      <c r="BO597" s="19" t="s">
        <v>16679</v>
      </c>
      <c r="BP597" s="19" t="s">
        <v>16680</v>
      </c>
      <c r="BQ597" s="15" t="s">
        <v>1321</v>
      </c>
      <c r="BR597" s="26"/>
      <c r="BS597" s="26"/>
      <c r="BT597" s="19" t="s">
        <v>16681</v>
      </c>
      <c r="BU597" s="26"/>
      <c r="BV597" s="26"/>
      <c r="BW597" s="15" t="s">
        <v>16682</v>
      </c>
      <c r="BX597" s="26"/>
      <c r="BY597" s="18" t="str">
        <f t="shared" si="107"/>
        <v>MECH</v>
      </c>
      <c r="BZ597" s="18" t="str">
        <f t="shared" si="100"/>
        <v/>
      </c>
      <c r="CA597" s="18" t="str">
        <f t="shared" si="101"/>
        <v/>
      </c>
      <c r="CB597" s="15" t="s">
        <v>2908</v>
      </c>
      <c r="CC597" s="15" t="s">
        <v>2908</v>
      </c>
      <c r="CD597" s="25" t="s">
        <v>2787</v>
      </c>
      <c r="CE597" s="18"/>
      <c r="CF597" s="18"/>
      <c r="CG597" s="18"/>
    </row>
    <row r="598" ht="18.75" hidden="1" customHeight="1">
      <c r="A598" s="14">
        <v>44735.62774140046</v>
      </c>
      <c r="B598" s="15" t="s">
        <v>16683</v>
      </c>
      <c r="C598" s="16" t="s">
        <v>16684</v>
      </c>
      <c r="D598" s="15" t="str">
        <f>IFERROR(__xludf.DUMMYFUNCTION("QUERY(TY_ALL_2023_Batch!$A$1:$E$824, ""SELECT E WHERE C='""&amp;B598&amp;""'"", 0)"),"#N/A")</f>
        <v>#N/A</v>
      </c>
      <c r="E598" s="15" t="s">
        <v>16685</v>
      </c>
      <c r="F598" s="15" t="s">
        <v>6041</v>
      </c>
      <c r="G598" s="15" t="s">
        <v>16686</v>
      </c>
      <c r="H598" s="15" t="s">
        <v>2785</v>
      </c>
      <c r="I598" s="17">
        <v>36984.0</v>
      </c>
      <c r="J598" s="15">
        <v>2020.0</v>
      </c>
      <c r="K598" s="15" t="s">
        <v>2941</v>
      </c>
      <c r="L598" s="15" t="s">
        <v>2787</v>
      </c>
      <c r="M598" s="18"/>
      <c r="N598" s="15" t="s">
        <v>16687</v>
      </c>
      <c r="O598" s="15" t="s">
        <v>16683</v>
      </c>
      <c r="P598" s="19" t="s">
        <v>16688</v>
      </c>
      <c r="Q598" s="15">
        <v>7.02040409E9</v>
      </c>
      <c r="R598" s="15">
        <v>7.02040409E9</v>
      </c>
      <c r="S598" s="18"/>
      <c r="T598" s="15" t="s">
        <v>16689</v>
      </c>
      <c r="U598" s="15" t="s">
        <v>16690</v>
      </c>
      <c r="V598" s="15" t="s">
        <v>16691</v>
      </c>
      <c r="W598" s="18"/>
      <c r="X598" s="15">
        <v>81.2</v>
      </c>
      <c r="Y598" s="15" t="s">
        <v>2948</v>
      </c>
      <c r="Z598" s="15">
        <v>8.57</v>
      </c>
      <c r="AA598" s="15">
        <v>8.62</v>
      </c>
      <c r="AB598" s="15">
        <v>8.24</v>
      </c>
      <c r="AC598" s="15" t="s">
        <v>2796</v>
      </c>
      <c r="AD598" s="15" t="s">
        <v>2796</v>
      </c>
      <c r="AE598" s="15" t="s">
        <v>2796</v>
      </c>
      <c r="AF598" s="18"/>
      <c r="AG598" s="18"/>
      <c r="AH598" s="18"/>
      <c r="AI598" s="15">
        <v>92.15</v>
      </c>
      <c r="AJ598" s="15" t="s">
        <v>2797</v>
      </c>
      <c r="AK598" s="15" t="s">
        <v>2797</v>
      </c>
      <c r="AL598" s="15" t="s">
        <v>2796</v>
      </c>
      <c r="AM598" s="15" t="s">
        <v>2796</v>
      </c>
      <c r="AN598" s="15" t="s">
        <v>2797</v>
      </c>
      <c r="AO598" s="15" t="s">
        <v>2796</v>
      </c>
      <c r="AP598" s="15" t="s">
        <v>2796</v>
      </c>
      <c r="AQ598" s="15" t="s">
        <v>16046</v>
      </c>
      <c r="AR598" s="15" t="s">
        <v>16692</v>
      </c>
      <c r="AS598" s="15" t="s">
        <v>16693</v>
      </c>
      <c r="AT598" s="15" t="s">
        <v>2796</v>
      </c>
      <c r="AU598" s="18"/>
      <c r="AV598" s="15" t="s">
        <v>16694</v>
      </c>
      <c r="AW598" s="15" t="s">
        <v>16695</v>
      </c>
      <c r="AX598" s="18"/>
      <c r="AY598" s="15" t="s">
        <v>16696</v>
      </c>
      <c r="AZ598" s="15" t="s">
        <v>9648</v>
      </c>
      <c r="BA598" s="15" t="s">
        <v>2839</v>
      </c>
      <c r="BB598" s="15" t="s">
        <v>6147</v>
      </c>
      <c r="BC598" s="15" t="s">
        <v>16697</v>
      </c>
      <c r="BD598" s="15" t="s">
        <v>2807</v>
      </c>
      <c r="BE598" s="15" t="s">
        <v>16698</v>
      </c>
      <c r="BF598" s="15" t="s">
        <v>16699</v>
      </c>
      <c r="BG598" s="18"/>
      <c r="BH598" s="18"/>
      <c r="BI598" s="15" t="s">
        <v>16700</v>
      </c>
      <c r="BJ598" s="19" t="s">
        <v>16701</v>
      </c>
      <c r="BK598" s="19" t="s">
        <v>16702</v>
      </c>
      <c r="BL598" s="18"/>
      <c r="BM598" s="18"/>
      <c r="BN598" s="18"/>
      <c r="BO598" s="19" t="s">
        <v>16703</v>
      </c>
      <c r="BP598" s="18"/>
      <c r="BQ598" s="15" t="s">
        <v>1321</v>
      </c>
      <c r="BR598" s="26"/>
      <c r="BS598" s="26"/>
      <c r="BT598" s="26"/>
      <c r="BU598" s="26"/>
      <c r="BV598" s="26"/>
      <c r="BW598" s="26"/>
      <c r="BX598" s="26"/>
      <c r="BY598" s="18" t="str">
        <f t="shared" si="107"/>
        <v>MECH</v>
      </c>
      <c r="BZ598" s="18" t="str">
        <f t="shared" si="100"/>
        <v/>
      </c>
      <c r="CA598" s="18" t="str">
        <f t="shared" si="101"/>
        <v/>
      </c>
      <c r="CB598" s="15" t="s">
        <v>2908</v>
      </c>
      <c r="CC598" s="15" t="s">
        <v>2908</v>
      </c>
      <c r="CD598" s="25" t="s">
        <v>2797</v>
      </c>
      <c r="CE598" s="18"/>
      <c r="CF598" s="18"/>
      <c r="CG598" s="18"/>
    </row>
    <row r="599" ht="18.75" hidden="1" customHeight="1">
      <c r="A599" s="14">
        <v>44742.50965013889</v>
      </c>
      <c r="B599" s="15" t="s">
        <v>16704</v>
      </c>
      <c r="C599" s="16" t="s">
        <v>16705</v>
      </c>
      <c r="D599" s="15" t="str">
        <f>IFERROR(__xludf.DUMMYFUNCTION("QUERY(TY_ALL_2023_Batch!$A$1:$E$824, ""SELECT E WHERE C='""&amp;B599&amp;""'"", 0)"),"#N/A")</f>
        <v>#N/A</v>
      </c>
      <c r="E599" s="15" t="s">
        <v>4836</v>
      </c>
      <c r="F599" s="15" t="s">
        <v>5988</v>
      </c>
      <c r="G599" s="15" t="s">
        <v>16706</v>
      </c>
      <c r="H599" s="15" t="s">
        <v>2826</v>
      </c>
      <c r="I599" s="17">
        <v>35582.0</v>
      </c>
      <c r="J599" s="15">
        <v>2020.0</v>
      </c>
      <c r="K599" s="15" t="s">
        <v>2941</v>
      </c>
      <c r="L599" s="15" t="s">
        <v>2787</v>
      </c>
      <c r="M599" s="18"/>
      <c r="N599" s="15" t="s">
        <v>1509</v>
      </c>
      <c r="O599" s="15" t="s">
        <v>16704</v>
      </c>
      <c r="P599" s="19" t="s">
        <v>16707</v>
      </c>
      <c r="Q599" s="15">
        <v>9.822978352E9</v>
      </c>
      <c r="R599" s="15">
        <v>9.822978352E9</v>
      </c>
      <c r="S599" s="15">
        <v>9.890706118E9</v>
      </c>
      <c r="T599" s="15" t="s">
        <v>5988</v>
      </c>
      <c r="U599" s="15" t="s">
        <v>3885</v>
      </c>
      <c r="V599" s="15" t="s">
        <v>16708</v>
      </c>
      <c r="W599" s="18"/>
      <c r="X599" s="15">
        <v>78.0</v>
      </c>
      <c r="Y599" s="15" t="s">
        <v>2948</v>
      </c>
      <c r="Z599" s="15">
        <v>7.1</v>
      </c>
      <c r="AA599" s="15">
        <v>7.33</v>
      </c>
      <c r="AB599" s="15" t="s">
        <v>2796</v>
      </c>
      <c r="AC599" s="15" t="s">
        <v>2796</v>
      </c>
      <c r="AD599" s="15" t="s">
        <v>2796</v>
      </c>
      <c r="AE599" s="15" t="s">
        <v>2796</v>
      </c>
      <c r="AF599" s="18"/>
      <c r="AG599" s="18"/>
      <c r="AH599" s="18"/>
      <c r="AI599" s="15">
        <v>63.63</v>
      </c>
      <c r="AJ599" s="15" t="s">
        <v>2787</v>
      </c>
      <c r="AK599" s="15" t="s">
        <v>2787</v>
      </c>
      <c r="AL599" s="18"/>
      <c r="AM599" s="18"/>
      <c r="AN599" s="15" t="s">
        <v>2797</v>
      </c>
      <c r="AO599" s="15" t="s">
        <v>16709</v>
      </c>
      <c r="AP599" s="18"/>
      <c r="AQ599" s="15" t="s">
        <v>10386</v>
      </c>
      <c r="AR599" s="15" t="s">
        <v>16710</v>
      </c>
      <c r="AS599" s="15"/>
      <c r="AT599" s="18"/>
      <c r="AU599" s="18"/>
      <c r="AV599" s="18"/>
      <c r="AW599" s="15" t="s">
        <v>16711</v>
      </c>
      <c r="AX599" s="18"/>
      <c r="AY599" s="15" t="s">
        <v>16712</v>
      </c>
      <c r="AZ599" s="15" t="s">
        <v>8440</v>
      </c>
      <c r="BA599" s="15" t="s">
        <v>2870</v>
      </c>
      <c r="BB599" s="15" t="s">
        <v>2807</v>
      </c>
      <c r="BC599" s="15" t="s">
        <v>16713</v>
      </c>
      <c r="BD599" s="15" t="s">
        <v>2807</v>
      </c>
      <c r="BE599" s="15" t="s">
        <v>16714</v>
      </c>
      <c r="BF599" s="15" t="s">
        <v>16715</v>
      </c>
      <c r="BG599" s="18"/>
      <c r="BH599" s="15" t="s">
        <v>16714</v>
      </c>
      <c r="BI599" s="15" t="s">
        <v>16716</v>
      </c>
      <c r="BJ599" s="19" t="s">
        <v>16717</v>
      </c>
      <c r="BK599" s="19" t="s">
        <v>16718</v>
      </c>
      <c r="BL599" s="18"/>
      <c r="BM599" s="18"/>
      <c r="BN599" s="19" t="s">
        <v>16719</v>
      </c>
      <c r="BO599" s="19" t="s">
        <v>16720</v>
      </c>
      <c r="BP599" s="18"/>
      <c r="BQ599" s="15" t="s">
        <v>1321</v>
      </c>
      <c r="BR599" s="26"/>
      <c r="BS599" s="26"/>
      <c r="BT599" s="19" t="s">
        <v>16721</v>
      </c>
      <c r="BU599" s="26"/>
      <c r="BV599" s="26"/>
      <c r="BW599" s="15" t="s">
        <v>16722</v>
      </c>
      <c r="BX599" s="26"/>
      <c r="BY599" s="18" t="str">
        <f t="shared" si="107"/>
        <v>MECH</v>
      </c>
      <c r="BZ599" s="18" t="str">
        <f t="shared" si="100"/>
        <v/>
      </c>
      <c r="CA599" s="18" t="str">
        <f t="shared" si="101"/>
        <v/>
      </c>
      <c r="CB599" s="15" t="s">
        <v>2908</v>
      </c>
      <c r="CC599" s="15" t="s">
        <v>2908</v>
      </c>
      <c r="CD599" s="25" t="s">
        <v>2787</v>
      </c>
      <c r="CE599" s="18"/>
      <c r="CF599" s="18"/>
      <c r="CG599" s="18"/>
    </row>
    <row r="600" ht="18.75" hidden="1" customHeight="1">
      <c r="A600" s="14">
        <v>44735.551515740735</v>
      </c>
      <c r="B600" s="15" t="s">
        <v>16723</v>
      </c>
      <c r="C600" s="16" t="s">
        <v>16724</v>
      </c>
      <c r="D600" s="15" t="str">
        <f>IFERROR(__xludf.DUMMYFUNCTION("QUERY(TY_ALL_2023_Batch!$A$1:$E$824, ""SELECT E WHERE C='""&amp;B600&amp;""'"", 0)"),"#N/A")</f>
        <v>#N/A</v>
      </c>
      <c r="E600" s="15" t="s">
        <v>6294</v>
      </c>
      <c r="F600" s="15" t="s">
        <v>6015</v>
      </c>
      <c r="G600" s="15" t="s">
        <v>16725</v>
      </c>
      <c r="H600" s="15" t="s">
        <v>2785</v>
      </c>
      <c r="I600" s="17">
        <v>37214.0</v>
      </c>
      <c r="J600" s="15">
        <v>2020.0</v>
      </c>
      <c r="K600" s="15" t="s">
        <v>2941</v>
      </c>
      <c r="L600" s="15" t="s">
        <v>2787</v>
      </c>
      <c r="M600" s="18"/>
      <c r="N600" s="15" t="s">
        <v>1611</v>
      </c>
      <c r="O600" s="15" t="s">
        <v>16723</v>
      </c>
      <c r="P600" s="19" t="s">
        <v>16726</v>
      </c>
      <c r="Q600" s="15">
        <v>7.720816899E9</v>
      </c>
      <c r="R600" s="15">
        <v>7.720816899E9</v>
      </c>
      <c r="S600" s="15">
        <v>9.356032851E9</v>
      </c>
      <c r="T600" s="15" t="s">
        <v>6015</v>
      </c>
      <c r="U600" s="15" t="s">
        <v>4786</v>
      </c>
      <c r="V600" s="15" t="s">
        <v>16727</v>
      </c>
      <c r="W600" s="18"/>
      <c r="X600" s="15">
        <v>72.0</v>
      </c>
      <c r="Y600" s="15" t="s">
        <v>2948</v>
      </c>
      <c r="Z600" s="15">
        <v>8.48</v>
      </c>
      <c r="AA600" s="15">
        <v>8.58</v>
      </c>
      <c r="AB600" s="15" t="s">
        <v>2796</v>
      </c>
      <c r="AC600" s="15" t="s">
        <v>2796</v>
      </c>
      <c r="AD600" s="15" t="s">
        <v>2796</v>
      </c>
      <c r="AE600" s="15" t="s">
        <v>2796</v>
      </c>
      <c r="AF600" s="18"/>
      <c r="AG600" s="18"/>
      <c r="AH600" s="18"/>
      <c r="AI600" s="15">
        <v>92.15</v>
      </c>
      <c r="AJ600" s="15" t="s">
        <v>2787</v>
      </c>
      <c r="AK600" s="15" t="s">
        <v>2787</v>
      </c>
      <c r="AL600" s="18"/>
      <c r="AM600" s="18"/>
      <c r="AN600" s="15" t="s">
        <v>2787</v>
      </c>
      <c r="AO600" s="18"/>
      <c r="AP600" s="18"/>
      <c r="AQ600" s="15" t="s">
        <v>16728</v>
      </c>
      <c r="AR600" s="18"/>
      <c r="AS600" s="18"/>
      <c r="AT600" s="18"/>
      <c r="AU600" s="18"/>
      <c r="AV600" s="15" t="s">
        <v>16729</v>
      </c>
      <c r="AW600" s="15" t="s">
        <v>16730</v>
      </c>
      <c r="AX600" s="18"/>
      <c r="AY600" s="15" t="s">
        <v>16730</v>
      </c>
      <c r="AZ600" s="15" t="s">
        <v>5287</v>
      </c>
      <c r="BA600" s="15" t="s">
        <v>2870</v>
      </c>
      <c r="BB600" s="15" t="s">
        <v>2807</v>
      </c>
      <c r="BC600" s="15" t="s">
        <v>13774</v>
      </c>
      <c r="BD600" s="15" t="s">
        <v>3393</v>
      </c>
      <c r="BE600" s="15" t="s">
        <v>3005</v>
      </c>
      <c r="BF600" s="18"/>
      <c r="BG600" s="18"/>
      <c r="BH600" s="18"/>
      <c r="BI600" s="18"/>
      <c r="BJ600" s="19" t="s">
        <v>16731</v>
      </c>
      <c r="BK600" s="19" t="s">
        <v>16732</v>
      </c>
      <c r="BL600" s="18"/>
      <c r="BM600" s="18"/>
      <c r="BN600" s="18"/>
      <c r="BO600" s="19" t="s">
        <v>16733</v>
      </c>
      <c r="BP600" s="18"/>
      <c r="BQ600" s="15" t="s">
        <v>1321</v>
      </c>
      <c r="BR600" s="26"/>
      <c r="BS600" s="26"/>
      <c r="BT600" s="26"/>
      <c r="BU600" s="26"/>
      <c r="BV600" s="26"/>
      <c r="BW600" s="26"/>
      <c r="BX600" s="26"/>
      <c r="BY600" s="18" t="str">
        <f t="shared" si="107"/>
        <v>MECH</v>
      </c>
      <c r="BZ600" s="18" t="str">
        <f t="shared" si="100"/>
        <v/>
      </c>
      <c r="CA600" s="18" t="str">
        <f t="shared" si="101"/>
        <v/>
      </c>
      <c r="CB600" s="15" t="s">
        <v>2908</v>
      </c>
      <c r="CC600" s="15" t="s">
        <v>2908</v>
      </c>
      <c r="CD600" s="25" t="s">
        <v>2797</v>
      </c>
      <c r="CE600" s="18"/>
      <c r="CF600" s="18"/>
      <c r="CG600" s="18"/>
    </row>
    <row r="601" ht="18.75" hidden="1" customHeight="1">
      <c r="A601" s="14">
        <v>44740.8146570949</v>
      </c>
      <c r="B601" s="15" t="s">
        <v>16734</v>
      </c>
      <c r="C601" s="16" t="s">
        <v>16735</v>
      </c>
      <c r="D601" s="15" t="str">
        <f>IFERROR(__xludf.DUMMYFUNCTION("QUERY(TY_ALL_2023_Batch!$A$1:$E$824, ""SELECT E WHERE C='""&amp;B601&amp;""'"", 0)"),"#N/A")</f>
        <v>#N/A</v>
      </c>
      <c r="E601" s="15" t="s">
        <v>6348</v>
      </c>
      <c r="F601" s="15" t="s">
        <v>2939</v>
      </c>
      <c r="G601" s="15" t="s">
        <v>16736</v>
      </c>
      <c r="H601" s="15" t="s">
        <v>2785</v>
      </c>
      <c r="I601" s="17">
        <v>36905.0</v>
      </c>
      <c r="J601" s="15">
        <v>2020.0</v>
      </c>
      <c r="K601" s="15" t="s">
        <v>2941</v>
      </c>
      <c r="L601" s="15" t="s">
        <v>2787</v>
      </c>
      <c r="M601" s="18"/>
      <c r="N601" s="15" t="s">
        <v>1479</v>
      </c>
      <c r="O601" s="15" t="s">
        <v>16734</v>
      </c>
      <c r="P601" s="19" t="s">
        <v>16737</v>
      </c>
      <c r="Q601" s="15">
        <v>7.058996464E9</v>
      </c>
      <c r="R601" s="15">
        <v>7.058996464E9</v>
      </c>
      <c r="S601" s="15">
        <v>9.561135805E9</v>
      </c>
      <c r="T601" s="15" t="s">
        <v>2939</v>
      </c>
      <c r="U601" s="15" t="s">
        <v>13520</v>
      </c>
      <c r="V601" s="15" t="s">
        <v>16738</v>
      </c>
      <c r="W601" s="18"/>
      <c r="X601" s="15">
        <v>59.0</v>
      </c>
      <c r="Y601" s="15" t="s">
        <v>2795</v>
      </c>
      <c r="Z601" s="15">
        <v>8.19</v>
      </c>
      <c r="AA601" s="15">
        <v>8.19</v>
      </c>
      <c r="AB601" s="15" t="s">
        <v>2796</v>
      </c>
      <c r="AC601" s="15" t="s">
        <v>2796</v>
      </c>
      <c r="AD601" s="15" t="s">
        <v>2796</v>
      </c>
      <c r="AE601" s="15" t="s">
        <v>2796</v>
      </c>
      <c r="AF601" s="15">
        <v>0.0</v>
      </c>
      <c r="AG601" s="15">
        <v>0.0</v>
      </c>
      <c r="AH601" s="15">
        <v>53.69</v>
      </c>
      <c r="AI601" s="18"/>
      <c r="AJ601" s="15" t="s">
        <v>2787</v>
      </c>
      <c r="AK601" s="15" t="s">
        <v>2787</v>
      </c>
      <c r="AL601" s="15">
        <v>93.0</v>
      </c>
      <c r="AM601" s="15">
        <v>42.0</v>
      </c>
      <c r="AN601" s="15" t="s">
        <v>2797</v>
      </c>
      <c r="AO601" s="15" t="s">
        <v>16739</v>
      </c>
      <c r="AP601" s="15" t="s">
        <v>3313</v>
      </c>
      <c r="AQ601" s="15" t="s">
        <v>16740</v>
      </c>
      <c r="AR601" s="18"/>
      <c r="AS601" s="18"/>
      <c r="AT601" s="18"/>
      <c r="AU601" s="18"/>
      <c r="AV601" s="18"/>
      <c r="AW601" s="15" t="s">
        <v>16741</v>
      </c>
      <c r="AX601" s="18"/>
      <c r="AY601" s="15" t="s">
        <v>16742</v>
      </c>
      <c r="AZ601" s="15" t="s">
        <v>4377</v>
      </c>
      <c r="BA601" s="15" t="s">
        <v>6926</v>
      </c>
      <c r="BB601" s="15" t="s">
        <v>2807</v>
      </c>
      <c r="BC601" s="15" t="s">
        <v>13107</v>
      </c>
      <c r="BD601" s="15" t="s">
        <v>3393</v>
      </c>
      <c r="BE601" s="15" t="s">
        <v>2796</v>
      </c>
      <c r="BF601" s="18"/>
      <c r="BG601" s="18"/>
      <c r="BH601" s="18"/>
      <c r="BI601" s="18"/>
      <c r="BJ601" s="19" t="s">
        <v>16743</v>
      </c>
      <c r="BK601" s="19" t="s">
        <v>16744</v>
      </c>
      <c r="BL601" s="19" t="s">
        <v>16745</v>
      </c>
      <c r="BM601" s="19" t="s">
        <v>16746</v>
      </c>
      <c r="BN601" s="19" t="s">
        <v>16747</v>
      </c>
      <c r="BO601" s="19" t="s">
        <v>16748</v>
      </c>
      <c r="BP601" s="18"/>
      <c r="BQ601" s="15" t="s">
        <v>1321</v>
      </c>
      <c r="BR601" s="26"/>
      <c r="BS601" s="26"/>
      <c r="BT601" s="26"/>
      <c r="BU601" s="26"/>
      <c r="BV601" s="26"/>
      <c r="BW601" s="15" t="s">
        <v>16749</v>
      </c>
      <c r="BX601" s="26"/>
      <c r="BY601" s="18" t="str">
        <f t="shared" si="107"/>
        <v>MECH</v>
      </c>
      <c r="BZ601" s="24" t="str">
        <f t="shared" si="100"/>
        <v>https://drive.google.com/open?id=1na1GBRdalAx5gW-JYnXyt826uX-DZiKN</v>
      </c>
      <c r="CA601" s="24" t="str">
        <f t="shared" si="101"/>
        <v>https://drive.google.com/open?id=1e2OYMnSqzuDl0x2dtjMOGZGQCcv-kIHn</v>
      </c>
      <c r="CB601" s="15" t="s">
        <v>2821</v>
      </c>
      <c r="CC601" s="15" t="s">
        <v>2821</v>
      </c>
      <c r="CD601" s="25" t="s">
        <v>2797</v>
      </c>
      <c r="CE601" s="18"/>
      <c r="CF601" s="18"/>
      <c r="CG601" s="18"/>
    </row>
    <row r="602" ht="18.75" hidden="1" customHeight="1">
      <c r="A602" s="14">
        <v>44735.61992116898</v>
      </c>
      <c r="B602" s="15" t="s">
        <v>16750</v>
      </c>
      <c r="C602" s="15">
        <v>1.20190492E8</v>
      </c>
      <c r="D602" s="15" t="str">
        <f>IFERROR(__xludf.DUMMYFUNCTION("QUERY(TY_ALL_2023_Batch!$A$1:$E$824, ""SELECT E WHERE C='""&amp;B602&amp;""'"", 0)"),"#N/A")</f>
        <v>#N/A</v>
      </c>
      <c r="E602" s="15" t="s">
        <v>16751</v>
      </c>
      <c r="F602" s="18"/>
      <c r="G602" s="15" t="s">
        <v>6348</v>
      </c>
      <c r="H602" s="15" t="s">
        <v>2785</v>
      </c>
      <c r="I602" s="17">
        <v>36789.0</v>
      </c>
      <c r="J602" s="15">
        <v>2019.0</v>
      </c>
      <c r="K602" s="15" t="s">
        <v>2786</v>
      </c>
      <c r="L602" s="15" t="s">
        <v>2787</v>
      </c>
      <c r="M602" s="18"/>
      <c r="N602" s="15" t="s">
        <v>16752</v>
      </c>
      <c r="O602" s="15" t="s">
        <v>16750</v>
      </c>
      <c r="P602" s="19" t="s">
        <v>16753</v>
      </c>
      <c r="Q602" s="15">
        <v>7.260063444E9</v>
      </c>
      <c r="R602" s="15">
        <v>7.260063444E9</v>
      </c>
      <c r="S602" s="15">
        <v>6.204706042E9</v>
      </c>
      <c r="T602" s="15" t="s">
        <v>16754</v>
      </c>
      <c r="U602" s="15" t="s">
        <v>16755</v>
      </c>
      <c r="V602" s="15" t="s">
        <v>16756</v>
      </c>
      <c r="W602" s="18"/>
      <c r="X602" s="15">
        <v>91.2</v>
      </c>
      <c r="Y602" s="15" t="s">
        <v>2795</v>
      </c>
      <c r="Z602" s="15">
        <v>8.95</v>
      </c>
      <c r="AA602" s="15">
        <v>8.52</v>
      </c>
      <c r="AB602" s="15" t="s">
        <v>2796</v>
      </c>
      <c r="AC602" s="15" t="s">
        <v>2796</v>
      </c>
      <c r="AD602" s="15" t="s">
        <v>2796</v>
      </c>
      <c r="AE602" s="15" t="s">
        <v>2796</v>
      </c>
      <c r="AF602" s="15">
        <v>7.89</v>
      </c>
      <c r="AG602" s="15">
        <v>8.29</v>
      </c>
      <c r="AH602" s="15">
        <v>74.4</v>
      </c>
      <c r="AI602" s="18"/>
      <c r="AJ602" s="15" t="s">
        <v>2787</v>
      </c>
      <c r="AK602" s="15" t="s">
        <v>2787</v>
      </c>
      <c r="AL602" s="15">
        <v>666.66</v>
      </c>
      <c r="AM602" s="15">
        <v>688.33</v>
      </c>
      <c r="AN602" s="15" t="s">
        <v>2787</v>
      </c>
      <c r="AO602" s="15" t="s">
        <v>16757</v>
      </c>
      <c r="AP602" s="15" t="s">
        <v>2796</v>
      </c>
      <c r="AQ602" s="15" t="s">
        <v>16758</v>
      </c>
      <c r="AR602" s="15" t="s">
        <v>16759</v>
      </c>
      <c r="AS602" s="15" t="s">
        <v>16760</v>
      </c>
      <c r="AT602" s="15" t="s">
        <v>2796</v>
      </c>
      <c r="AU602" s="15" t="s">
        <v>2798</v>
      </c>
      <c r="AV602" s="15" t="s">
        <v>16761</v>
      </c>
      <c r="AW602" s="15" t="s">
        <v>16762</v>
      </c>
      <c r="AX602" s="15" t="s">
        <v>16763</v>
      </c>
      <c r="AY602" s="15" t="s">
        <v>16764</v>
      </c>
      <c r="AZ602" s="15" t="s">
        <v>8440</v>
      </c>
      <c r="BA602" s="15" t="s">
        <v>2806</v>
      </c>
      <c r="BB602" s="15" t="s">
        <v>2807</v>
      </c>
      <c r="BC602" s="15" t="s">
        <v>13107</v>
      </c>
      <c r="BD602" s="15" t="s">
        <v>2807</v>
      </c>
      <c r="BE602" s="15" t="s">
        <v>3005</v>
      </c>
      <c r="BF602" s="18"/>
      <c r="BG602" s="18"/>
      <c r="BH602" s="18"/>
      <c r="BI602" s="15" t="s">
        <v>16765</v>
      </c>
      <c r="BJ602" s="19" t="s">
        <v>16766</v>
      </c>
      <c r="BK602" s="19" t="s">
        <v>16767</v>
      </c>
      <c r="BL602" s="19" t="s">
        <v>16768</v>
      </c>
      <c r="BM602" s="19" t="s">
        <v>16769</v>
      </c>
      <c r="BN602" s="19" t="s">
        <v>16770</v>
      </c>
      <c r="BO602" s="19" t="s">
        <v>16771</v>
      </c>
      <c r="BP602" s="19" t="s">
        <v>16772</v>
      </c>
      <c r="BQ602" s="15" t="s">
        <v>1321</v>
      </c>
      <c r="BR602" s="26"/>
      <c r="BS602" s="26"/>
      <c r="BT602" s="26"/>
      <c r="BU602" s="26"/>
      <c r="BV602" s="26"/>
      <c r="BW602" s="26"/>
      <c r="BX602" s="26"/>
      <c r="BY602" s="18" t="str">
        <f t="shared" si="107"/>
        <v>MECH</v>
      </c>
      <c r="BZ602" s="24" t="str">
        <f t="shared" si="100"/>
        <v>https://drive.google.com/open?id=1YhelV-V5rHuMpPeotuEda9OIRyt8WzGf</v>
      </c>
      <c r="CA602" s="24" t="str">
        <f t="shared" si="101"/>
        <v>https://drive.google.com/open?id=17IFLZlU-eirw2IHFUUwHEMgRrHfVBhr0</v>
      </c>
      <c r="CB602" s="15" t="s">
        <v>2821</v>
      </c>
      <c r="CC602" s="15" t="s">
        <v>2821</v>
      </c>
      <c r="CD602" s="25" t="s">
        <v>2797</v>
      </c>
      <c r="CE602" s="18"/>
      <c r="CF602" s="18"/>
      <c r="CG602" s="18"/>
    </row>
    <row r="603" ht="18.75" hidden="1" customHeight="1">
      <c r="A603" s="14">
        <v>44741.5041428125</v>
      </c>
      <c r="B603" s="15" t="s">
        <v>16773</v>
      </c>
      <c r="C603" s="16" t="s">
        <v>16774</v>
      </c>
      <c r="D603" s="15" t="str">
        <f>IFERROR(__xludf.DUMMYFUNCTION("QUERY(TY_ALL_2023_Batch!$A$1:$E$824, ""SELECT E WHERE C='""&amp;B603&amp;""'"", 0)"),"#N/A")</f>
        <v>#N/A</v>
      </c>
      <c r="E603" s="15" t="s">
        <v>5455</v>
      </c>
      <c r="F603" s="15" t="s">
        <v>16775</v>
      </c>
      <c r="G603" s="15" t="s">
        <v>16776</v>
      </c>
      <c r="H603" s="15" t="s">
        <v>2785</v>
      </c>
      <c r="I603" s="17">
        <v>36866.0</v>
      </c>
      <c r="J603" s="15">
        <v>2020.0</v>
      </c>
      <c r="K603" s="15" t="s">
        <v>2941</v>
      </c>
      <c r="L603" s="15" t="s">
        <v>2787</v>
      </c>
      <c r="M603" s="18"/>
      <c r="N603" s="15" t="s">
        <v>1398</v>
      </c>
      <c r="O603" s="15" t="s">
        <v>16773</v>
      </c>
      <c r="P603" s="19" t="s">
        <v>16777</v>
      </c>
      <c r="Q603" s="15">
        <v>9.284115335E9</v>
      </c>
      <c r="R603" s="15">
        <v>9.284115335E9</v>
      </c>
      <c r="S603" s="18"/>
      <c r="T603" s="15" t="s">
        <v>16778</v>
      </c>
      <c r="U603" s="15" t="s">
        <v>16779</v>
      </c>
      <c r="V603" s="15" t="s">
        <v>16780</v>
      </c>
      <c r="W603" s="15" t="s">
        <v>16781</v>
      </c>
      <c r="X603" s="15">
        <v>85.6</v>
      </c>
      <c r="Y603" s="15" t="s">
        <v>2948</v>
      </c>
      <c r="Z603" s="15">
        <v>8.82</v>
      </c>
      <c r="AA603" s="15">
        <v>9.0</v>
      </c>
      <c r="AB603" s="15" t="s">
        <v>3005</v>
      </c>
      <c r="AC603" s="15" t="s">
        <v>3005</v>
      </c>
      <c r="AD603" s="15" t="s">
        <v>3005</v>
      </c>
      <c r="AE603" s="15" t="s">
        <v>3005</v>
      </c>
      <c r="AF603" s="18"/>
      <c r="AG603" s="18"/>
      <c r="AH603" s="18"/>
      <c r="AI603" s="15">
        <v>90.67</v>
      </c>
      <c r="AJ603" s="15" t="s">
        <v>2787</v>
      </c>
      <c r="AK603" s="15" t="s">
        <v>2787</v>
      </c>
      <c r="AL603" s="18"/>
      <c r="AM603" s="18"/>
      <c r="AN603" s="15" t="s">
        <v>2797</v>
      </c>
      <c r="AO603" s="15" t="s">
        <v>16782</v>
      </c>
      <c r="AP603" s="15" t="s">
        <v>3005</v>
      </c>
      <c r="AQ603" s="15" t="s">
        <v>14879</v>
      </c>
      <c r="AR603" s="15" t="s">
        <v>16783</v>
      </c>
      <c r="AS603" s="15"/>
      <c r="AT603" s="15" t="s">
        <v>16784</v>
      </c>
      <c r="AU603" s="15" t="s">
        <v>16785</v>
      </c>
      <c r="AV603" s="15" t="s">
        <v>16786</v>
      </c>
      <c r="AW603" s="15" t="s">
        <v>16787</v>
      </c>
      <c r="AX603" s="18"/>
      <c r="AY603" s="15" t="s">
        <v>16788</v>
      </c>
      <c r="AZ603" s="15" t="s">
        <v>9648</v>
      </c>
      <c r="BA603" s="15" t="s">
        <v>2870</v>
      </c>
      <c r="BB603" s="15" t="s">
        <v>2807</v>
      </c>
      <c r="BC603" s="15" t="s">
        <v>16789</v>
      </c>
      <c r="BD603" s="15" t="s">
        <v>3393</v>
      </c>
      <c r="BE603" s="15" t="s">
        <v>16790</v>
      </c>
      <c r="BF603" s="18"/>
      <c r="BG603" s="15" t="s">
        <v>16791</v>
      </c>
      <c r="BH603" s="15" t="s">
        <v>16792</v>
      </c>
      <c r="BI603" s="18"/>
      <c r="BJ603" s="19" t="s">
        <v>16793</v>
      </c>
      <c r="BK603" s="19" t="s">
        <v>16794</v>
      </c>
      <c r="BL603" s="18"/>
      <c r="BM603" s="19" t="s">
        <v>16795</v>
      </c>
      <c r="BN603" s="19" t="s">
        <v>16796</v>
      </c>
      <c r="BO603" s="19" t="s">
        <v>16797</v>
      </c>
      <c r="BP603" s="19" t="s">
        <v>16798</v>
      </c>
      <c r="BQ603" s="15" t="s">
        <v>1321</v>
      </c>
      <c r="BR603" s="19" t="s">
        <v>16799</v>
      </c>
      <c r="BS603" s="19" t="s">
        <v>16800</v>
      </c>
      <c r="BT603" s="19" t="s">
        <v>16801</v>
      </c>
      <c r="BU603" s="26"/>
      <c r="BV603" s="19" t="s">
        <v>16802</v>
      </c>
      <c r="BW603" s="15" t="s">
        <v>16803</v>
      </c>
      <c r="BX603" s="26"/>
      <c r="BY603" s="18" t="str">
        <f t="shared" si="107"/>
        <v>MECH</v>
      </c>
      <c r="BZ603" s="18" t="str">
        <f t="shared" si="100"/>
        <v/>
      </c>
      <c r="CA603" s="24" t="str">
        <f t="shared" si="101"/>
        <v>https://drive.google.com/open?id=1U_kHrBzgUiWPGvnAHa82Tjje9em0fQBc</v>
      </c>
      <c r="CB603" s="15" t="s">
        <v>2908</v>
      </c>
      <c r="CC603" s="15" t="s">
        <v>2821</v>
      </c>
      <c r="CD603" s="25" t="s">
        <v>2787</v>
      </c>
      <c r="CE603" s="18"/>
      <c r="CF603" s="18"/>
      <c r="CG603" s="18"/>
    </row>
    <row r="604" ht="18.75" hidden="1" customHeight="1">
      <c r="A604" s="14">
        <v>44735.85508331018</v>
      </c>
      <c r="B604" s="15" t="s">
        <v>16804</v>
      </c>
      <c r="C604" s="16" t="s">
        <v>16805</v>
      </c>
      <c r="D604" s="15" t="str">
        <f>IFERROR(__xludf.DUMMYFUNCTION("QUERY(TY_ALL_2023_Batch!$A$1:$E$824, ""SELECT E WHERE C='""&amp;B604&amp;""'"", 0)"),"#N/A")</f>
        <v>#N/A</v>
      </c>
      <c r="E604" s="15" t="s">
        <v>16806</v>
      </c>
      <c r="F604" s="15" t="s">
        <v>3142</v>
      </c>
      <c r="G604" s="15" t="s">
        <v>16807</v>
      </c>
      <c r="H604" s="15" t="s">
        <v>2826</v>
      </c>
      <c r="I604" s="17">
        <v>36578.0</v>
      </c>
      <c r="J604" s="15">
        <v>2020.0</v>
      </c>
      <c r="K604" s="15" t="s">
        <v>2941</v>
      </c>
      <c r="L604" s="15" t="s">
        <v>2787</v>
      </c>
      <c r="M604" s="18"/>
      <c r="N604" s="15" t="s">
        <v>1356</v>
      </c>
      <c r="O604" s="15" t="s">
        <v>16804</v>
      </c>
      <c r="P604" s="19" t="s">
        <v>16808</v>
      </c>
      <c r="Q604" s="15">
        <v>9.765650923E9</v>
      </c>
      <c r="R604" s="15">
        <v>9.765650923E9</v>
      </c>
      <c r="S604" s="15">
        <v>9.765650934E9</v>
      </c>
      <c r="T604" s="15" t="s">
        <v>3142</v>
      </c>
      <c r="U604" s="15" t="s">
        <v>3503</v>
      </c>
      <c r="V604" s="15" t="s">
        <v>16809</v>
      </c>
      <c r="W604" s="18"/>
      <c r="X604" s="15">
        <v>65.6</v>
      </c>
      <c r="Y604" s="15" t="s">
        <v>2948</v>
      </c>
      <c r="Z604" s="15">
        <v>6.7</v>
      </c>
      <c r="AA604" s="15">
        <v>6.7</v>
      </c>
      <c r="AB604" s="15">
        <v>6.6</v>
      </c>
      <c r="AC604" s="15" t="s">
        <v>2796</v>
      </c>
      <c r="AD604" s="15" t="s">
        <v>2796</v>
      </c>
      <c r="AE604" s="15" t="s">
        <v>2796</v>
      </c>
      <c r="AF604" s="18"/>
      <c r="AG604" s="18"/>
      <c r="AH604" s="18"/>
      <c r="AI604" s="15">
        <v>67.0</v>
      </c>
      <c r="AJ604" s="15" t="s">
        <v>2787</v>
      </c>
      <c r="AK604" s="15" t="s">
        <v>2797</v>
      </c>
      <c r="AL604" s="15">
        <v>54.9</v>
      </c>
      <c r="AM604" s="15">
        <v>102.605</v>
      </c>
      <c r="AN604" s="15" t="s">
        <v>2787</v>
      </c>
      <c r="AO604" s="15" t="s">
        <v>16810</v>
      </c>
      <c r="AP604" s="18"/>
      <c r="AQ604" s="15" t="s">
        <v>16811</v>
      </c>
      <c r="AR604" s="18"/>
      <c r="AS604" s="18"/>
      <c r="AT604" s="18"/>
      <c r="AU604" s="18"/>
      <c r="AV604" s="18"/>
      <c r="AW604" s="15" t="s">
        <v>16812</v>
      </c>
      <c r="AX604" s="18"/>
      <c r="AY604" s="15" t="s">
        <v>16813</v>
      </c>
      <c r="AZ604" s="15" t="s">
        <v>9648</v>
      </c>
      <c r="BA604" s="15" t="s">
        <v>16814</v>
      </c>
      <c r="BB604" s="15" t="s">
        <v>5729</v>
      </c>
      <c r="BC604" s="15" t="s">
        <v>13150</v>
      </c>
      <c r="BD604" s="15" t="s">
        <v>2807</v>
      </c>
      <c r="BE604" s="15" t="s">
        <v>3005</v>
      </c>
      <c r="BF604" s="18"/>
      <c r="BG604" s="18"/>
      <c r="BH604" s="18"/>
      <c r="BI604" s="15" t="s">
        <v>15428</v>
      </c>
      <c r="BJ604" s="19" t="s">
        <v>16815</v>
      </c>
      <c r="BK604" s="19" t="s">
        <v>16816</v>
      </c>
      <c r="BL604" s="18"/>
      <c r="BM604" s="18"/>
      <c r="BN604" s="18"/>
      <c r="BO604" s="19" t="s">
        <v>16817</v>
      </c>
      <c r="BP604" s="18"/>
      <c r="BQ604" s="15" t="s">
        <v>1321</v>
      </c>
      <c r="BR604" s="26"/>
      <c r="BS604" s="26"/>
      <c r="BT604" s="26"/>
      <c r="BU604" s="26"/>
      <c r="BV604" s="26"/>
      <c r="BW604" s="26"/>
      <c r="BX604" s="26"/>
      <c r="BY604" s="18" t="str">
        <f t="shared" si="107"/>
        <v>MECH</v>
      </c>
      <c r="BZ604" s="18" t="str">
        <f t="shared" si="100"/>
        <v/>
      </c>
      <c r="CA604" s="18" t="str">
        <f t="shared" si="101"/>
        <v/>
      </c>
      <c r="CB604" s="15" t="s">
        <v>2908</v>
      </c>
      <c r="CC604" s="15" t="s">
        <v>2908</v>
      </c>
      <c r="CD604" s="25" t="s">
        <v>2797</v>
      </c>
      <c r="CE604" s="18"/>
      <c r="CF604" s="18"/>
      <c r="CG604" s="18"/>
    </row>
    <row r="605" ht="18.75" hidden="1" customHeight="1">
      <c r="A605" s="14">
        <v>44742.995050150465</v>
      </c>
      <c r="B605" s="15" t="s">
        <v>16818</v>
      </c>
      <c r="C605" s="16" t="s">
        <v>16819</v>
      </c>
      <c r="D605" s="15" t="str">
        <f>IFERROR(__xludf.DUMMYFUNCTION("QUERY(TY_ALL_2023_Batch!$A$1:$E$824, ""SELECT E WHERE C='""&amp;B605&amp;""'"", 0)"),"#N/A")</f>
        <v>#N/A</v>
      </c>
      <c r="E605" s="15" t="s">
        <v>16820</v>
      </c>
      <c r="F605" s="15" t="s">
        <v>16821</v>
      </c>
      <c r="G605" s="15" t="s">
        <v>16822</v>
      </c>
      <c r="H605" s="15" t="s">
        <v>2785</v>
      </c>
      <c r="I605" s="17">
        <v>37308.0</v>
      </c>
      <c r="J605" s="15">
        <v>2020.0</v>
      </c>
      <c r="K605" s="15" t="s">
        <v>2941</v>
      </c>
      <c r="L605" s="15" t="s">
        <v>2787</v>
      </c>
      <c r="M605" s="18"/>
      <c r="N605" s="15" t="s">
        <v>2316</v>
      </c>
      <c r="O605" s="15" t="s">
        <v>16818</v>
      </c>
      <c r="P605" s="19" t="s">
        <v>16823</v>
      </c>
      <c r="Q605" s="15">
        <v>9.764830503E9</v>
      </c>
      <c r="R605" s="15">
        <v>9.764830503E9</v>
      </c>
      <c r="S605" s="15">
        <v>8.66864471E9</v>
      </c>
      <c r="T605" s="15" t="s">
        <v>16821</v>
      </c>
      <c r="U605" s="15" t="s">
        <v>16824</v>
      </c>
      <c r="V605" s="15" t="s">
        <v>16825</v>
      </c>
      <c r="W605" s="15" t="s">
        <v>16825</v>
      </c>
      <c r="X605" s="15">
        <v>78.8</v>
      </c>
      <c r="Y605" s="15" t="s">
        <v>2948</v>
      </c>
      <c r="Z605" s="15">
        <v>9.24</v>
      </c>
      <c r="AA605" s="15">
        <v>7.86</v>
      </c>
      <c r="AB605" s="15" t="s">
        <v>2796</v>
      </c>
      <c r="AC605" s="15" t="s">
        <v>2796</v>
      </c>
      <c r="AD605" s="15" t="s">
        <v>2796</v>
      </c>
      <c r="AE605" s="15" t="s">
        <v>2796</v>
      </c>
      <c r="AF605" s="18"/>
      <c r="AG605" s="18"/>
      <c r="AH605" s="18"/>
      <c r="AI605" s="15">
        <v>91.33</v>
      </c>
      <c r="AJ605" s="15" t="s">
        <v>2787</v>
      </c>
      <c r="AK605" s="15" t="s">
        <v>2787</v>
      </c>
      <c r="AL605" s="15">
        <v>96.33</v>
      </c>
      <c r="AM605" s="15">
        <v>93.0</v>
      </c>
      <c r="AN605" s="15" t="s">
        <v>2797</v>
      </c>
      <c r="AO605" s="18"/>
      <c r="AP605" s="18"/>
      <c r="AQ605" s="15" t="s">
        <v>16826</v>
      </c>
      <c r="AR605" s="15" t="s">
        <v>16827</v>
      </c>
      <c r="AS605" s="15" t="s">
        <v>16828</v>
      </c>
      <c r="AT605" s="18"/>
      <c r="AU605" s="18"/>
      <c r="AV605" s="18"/>
      <c r="AW605" s="15" t="s">
        <v>16829</v>
      </c>
      <c r="AX605" s="18"/>
      <c r="AY605" s="15" t="s">
        <v>16830</v>
      </c>
      <c r="AZ605" s="15" t="s">
        <v>8440</v>
      </c>
      <c r="BA605" s="15" t="s">
        <v>2899</v>
      </c>
      <c r="BB605" s="15" t="s">
        <v>2807</v>
      </c>
      <c r="BC605" s="15" t="s">
        <v>13013</v>
      </c>
      <c r="BD605" s="15" t="s">
        <v>2807</v>
      </c>
      <c r="BE605" s="15" t="s">
        <v>16831</v>
      </c>
      <c r="BF605" s="15" t="s">
        <v>16832</v>
      </c>
      <c r="BG605" s="18"/>
      <c r="BH605" s="15" t="s">
        <v>16833</v>
      </c>
      <c r="BI605" s="15" t="s">
        <v>16834</v>
      </c>
      <c r="BJ605" s="19" t="s">
        <v>16835</v>
      </c>
      <c r="BK605" s="19" t="s">
        <v>16836</v>
      </c>
      <c r="BL605" s="19" t="s">
        <v>16837</v>
      </c>
      <c r="BM605" s="19" t="s">
        <v>16838</v>
      </c>
      <c r="BN605" s="18"/>
      <c r="BO605" s="19" t="s">
        <v>16839</v>
      </c>
      <c r="BP605" s="18"/>
      <c r="BQ605" s="15" t="s">
        <v>1321</v>
      </c>
      <c r="BR605" s="26"/>
      <c r="BS605" s="26"/>
      <c r="BT605" s="26"/>
      <c r="BU605" s="26"/>
      <c r="BV605" s="26"/>
      <c r="BW605" s="15" t="s">
        <v>16840</v>
      </c>
      <c r="BX605" s="26"/>
      <c r="BY605" s="18" t="str">
        <f t="shared" si="107"/>
        <v>MECH</v>
      </c>
      <c r="BZ605" s="24" t="str">
        <f t="shared" si="100"/>
        <v>https://drive.google.com/open?id=1KuJfwPeHL6jwCKHc8F6uIPV_7lYcFPQC</v>
      </c>
      <c r="CA605" s="24" t="str">
        <f t="shared" si="101"/>
        <v>https://drive.google.com/open?id=16S1nKV73HeFGmenBCt_NiLVS-aKdVDuv</v>
      </c>
      <c r="CB605" s="15" t="s">
        <v>2821</v>
      </c>
      <c r="CC605" s="15" t="s">
        <v>2821</v>
      </c>
      <c r="CD605" s="25" t="s">
        <v>2797</v>
      </c>
      <c r="CE605" s="18"/>
      <c r="CF605" s="18"/>
      <c r="CG605" s="18"/>
    </row>
    <row r="606" ht="18.75" hidden="1" customHeight="1">
      <c r="A606" s="14">
        <v>44742.65157569444</v>
      </c>
      <c r="B606" s="15" t="s">
        <v>16841</v>
      </c>
      <c r="C606" s="16" t="s">
        <v>16842</v>
      </c>
      <c r="D606" s="15" t="str">
        <f>IFERROR(__xludf.DUMMYFUNCTION("QUERY(TY_ALL_2023_Batch!$A$1:$E$824, ""SELECT E WHERE C='""&amp;B606&amp;""'"", 0)"),"#N/A")</f>
        <v>#N/A</v>
      </c>
      <c r="E606" s="15" t="s">
        <v>16843</v>
      </c>
      <c r="F606" s="15" t="s">
        <v>6373</v>
      </c>
      <c r="G606" s="15" t="s">
        <v>16844</v>
      </c>
      <c r="H606" s="15" t="s">
        <v>2785</v>
      </c>
      <c r="I606" s="17">
        <v>36946.0</v>
      </c>
      <c r="J606" s="15">
        <v>2020.0</v>
      </c>
      <c r="K606" s="15" t="s">
        <v>2941</v>
      </c>
      <c r="L606" s="15" t="s">
        <v>2787</v>
      </c>
      <c r="M606" s="18"/>
      <c r="N606" s="15" t="s">
        <v>1389</v>
      </c>
      <c r="O606" s="15" t="s">
        <v>16845</v>
      </c>
      <c r="P606" s="19" t="s">
        <v>16846</v>
      </c>
      <c r="Q606" s="15">
        <v>8.84779983E9</v>
      </c>
      <c r="R606" s="15">
        <v>8.84779983E9</v>
      </c>
      <c r="S606" s="15">
        <v>7.498479238E9</v>
      </c>
      <c r="T606" s="15" t="s">
        <v>16847</v>
      </c>
      <c r="U606" s="15" t="s">
        <v>16848</v>
      </c>
      <c r="V606" s="15" t="s">
        <v>16849</v>
      </c>
      <c r="W606" s="15" t="s">
        <v>16850</v>
      </c>
      <c r="X606" s="15">
        <v>85.8</v>
      </c>
      <c r="Y606" s="15" t="s">
        <v>2795</v>
      </c>
      <c r="Z606" s="15">
        <v>8.0</v>
      </c>
      <c r="AA606" s="15">
        <v>8.0</v>
      </c>
      <c r="AB606" s="15" t="s">
        <v>2796</v>
      </c>
      <c r="AC606" s="15" t="s">
        <v>2796</v>
      </c>
      <c r="AD606" s="15" t="s">
        <v>2796</v>
      </c>
      <c r="AE606" s="15" t="s">
        <v>2796</v>
      </c>
      <c r="AF606" s="15">
        <v>8.0</v>
      </c>
      <c r="AG606" s="15">
        <v>8.0</v>
      </c>
      <c r="AH606" s="15">
        <v>61.23</v>
      </c>
      <c r="AI606" s="18"/>
      <c r="AJ606" s="15" t="s">
        <v>2787</v>
      </c>
      <c r="AK606" s="15" t="s">
        <v>2787</v>
      </c>
      <c r="AL606" s="15">
        <v>44.33</v>
      </c>
      <c r="AM606" s="15">
        <v>58.66</v>
      </c>
      <c r="AN606" s="15" t="s">
        <v>2797</v>
      </c>
      <c r="AO606" s="15" t="s">
        <v>2796</v>
      </c>
      <c r="AP606" s="15" t="s">
        <v>2796</v>
      </c>
      <c r="AQ606" s="15" t="s">
        <v>2796</v>
      </c>
      <c r="AR606" s="15" t="s">
        <v>2796</v>
      </c>
      <c r="AS606" s="15" t="s">
        <v>2796</v>
      </c>
      <c r="AT606" s="15" t="s">
        <v>2796</v>
      </c>
      <c r="AU606" s="15" t="s">
        <v>4511</v>
      </c>
      <c r="AV606" s="15" t="s">
        <v>2796</v>
      </c>
      <c r="AW606" s="15" t="s">
        <v>16851</v>
      </c>
      <c r="AX606" s="15" t="s">
        <v>2796</v>
      </c>
      <c r="AY606" s="15" t="s">
        <v>16852</v>
      </c>
      <c r="AZ606" s="15" t="s">
        <v>8440</v>
      </c>
      <c r="BA606" s="15" t="s">
        <v>2870</v>
      </c>
      <c r="BB606" s="15" t="s">
        <v>12859</v>
      </c>
      <c r="BC606" s="15" t="s">
        <v>13774</v>
      </c>
      <c r="BD606" s="15" t="s">
        <v>2796</v>
      </c>
      <c r="BE606" s="15" t="s">
        <v>2796</v>
      </c>
      <c r="BF606" s="15" t="s">
        <v>2796</v>
      </c>
      <c r="BG606" s="15" t="s">
        <v>2796</v>
      </c>
      <c r="BH606" s="15" t="s">
        <v>2796</v>
      </c>
      <c r="BI606" s="15" t="s">
        <v>2796</v>
      </c>
      <c r="BJ606" s="19" t="s">
        <v>16853</v>
      </c>
      <c r="BK606" s="19" t="s">
        <v>16854</v>
      </c>
      <c r="BL606" s="19" t="s">
        <v>16855</v>
      </c>
      <c r="BM606" s="19" t="s">
        <v>16856</v>
      </c>
      <c r="BN606" s="18"/>
      <c r="BO606" s="19" t="s">
        <v>16857</v>
      </c>
      <c r="BP606" s="18"/>
      <c r="BQ606" s="15" t="s">
        <v>1321</v>
      </c>
      <c r="BR606" s="26"/>
      <c r="BS606" s="19" t="s">
        <v>16858</v>
      </c>
      <c r="BT606" s="26"/>
      <c r="BU606" s="19" t="s">
        <v>16859</v>
      </c>
      <c r="BV606" s="19" t="s">
        <v>16860</v>
      </c>
      <c r="BW606" s="15" t="s">
        <v>16861</v>
      </c>
      <c r="BX606" s="26"/>
      <c r="BY606" s="18" t="str">
        <f t="shared" si="107"/>
        <v>MECH</v>
      </c>
      <c r="BZ606" s="24" t="str">
        <f t="shared" si="100"/>
        <v>https://drive.google.com/open?id=1X1ey7HnMNUo622aS9xYIqKEIfOwZ9MUU</v>
      </c>
      <c r="CA606" s="24" t="str">
        <f t="shared" si="101"/>
        <v>https://drive.google.com/open?id=10etb1V61SOYealaqxWf6xMKBwok0gHaP</v>
      </c>
      <c r="CB606" s="15" t="s">
        <v>2821</v>
      </c>
      <c r="CC606" s="15" t="s">
        <v>2821</v>
      </c>
      <c r="CD606" s="25" t="s">
        <v>2797</v>
      </c>
      <c r="CE606" s="18"/>
      <c r="CF606" s="18"/>
      <c r="CG606" s="18"/>
    </row>
    <row r="607" ht="18.75" hidden="1" customHeight="1">
      <c r="A607" s="14">
        <v>44742.53766462963</v>
      </c>
      <c r="B607" s="15" t="s">
        <v>16862</v>
      </c>
      <c r="C607" s="16" t="s">
        <v>16863</v>
      </c>
      <c r="D607" s="15" t="str">
        <f>IFERROR(__xludf.DUMMYFUNCTION("QUERY(TY_ALL_2023_Batch!$A$1:$E$824, ""SELECT E WHERE C='""&amp;B607&amp;""'"", 0)"),"#N/A")</f>
        <v>#N/A</v>
      </c>
      <c r="E607" s="15" t="s">
        <v>16864</v>
      </c>
      <c r="F607" s="15" t="s">
        <v>16865</v>
      </c>
      <c r="G607" s="15" t="s">
        <v>16866</v>
      </c>
      <c r="H607" s="15" t="s">
        <v>2785</v>
      </c>
      <c r="I607" s="17">
        <v>36514.0</v>
      </c>
      <c r="J607" s="15">
        <v>2020.0</v>
      </c>
      <c r="K607" s="15" t="s">
        <v>2941</v>
      </c>
      <c r="L607" s="15" t="s">
        <v>2787</v>
      </c>
      <c r="M607" s="18"/>
      <c r="N607" s="15" t="s">
        <v>16867</v>
      </c>
      <c r="O607" s="15" t="s">
        <v>16862</v>
      </c>
      <c r="P607" s="19" t="s">
        <v>16868</v>
      </c>
      <c r="Q607" s="15">
        <v>8.308881135E9</v>
      </c>
      <c r="R607" s="15">
        <v>8.308881135E9</v>
      </c>
      <c r="S607" s="15">
        <v>8.308881135E9</v>
      </c>
      <c r="T607" s="15" t="s">
        <v>16865</v>
      </c>
      <c r="U607" s="15" t="s">
        <v>16869</v>
      </c>
      <c r="V607" s="15" t="s">
        <v>16870</v>
      </c>
      <c r="W607" s="15" t="s">
        <v>16871</v>
      </c>
      <c r="X607" s="15">
        <v>64.4</v>
      </c>
      <c r="Y607" s="15" t="s">
        <v>2795</v>
      </c>
      <c r="Z607" s="15">
        <v>7.9</v>
      </c>
      <c r="AA607" s="15">
        <v>7.9</v>
      </c>
      <c r="AB607" s="15" t="s">
        <v>2796</v>
      </c>
      <c r="AC607" s="15" t="s">
        <v>2796</v>
      </c>
      <c r="AD607" s="15" t="s">
        <v>2796</v>
      </c>
      <c r="AE607" s="15" t="s">
        <v>2796</v>
      </c>
      <c r="AF607" s="15">
        <v>6.6</v>
      </c>
      <c r="AG607" s="15">
        <v>6.6</v>
      </c>
      <c r="AH607" s="15">
        <v>58.92</v>
      </c>
      <c r="AI607" s="18"/>
      <c r="AJ607" s="15" t="s">
        <v>2787</v>
      </c>
      <c r="AK607" s="15" t="s">
        <v>2787</v>
      </c>
      <c r="AL607" s="15">
        <v>60.33</v>
      </c>
      <c r="AM607" s="15">
        <v>93.66</v>
      </c>
      <c r="AN607" s="15" t="s">
        <v>2797</v>
      </c>
      <c r="AO607" s="15" t="s">
        <v>2796</v>
      </c>
      <c r="AP607" s="15" t="s">
        <v>2796</v>
      </c>
      <c r="AQ607" s="15" t="s">
        <v>16872</v>
      </c>
      <c r="AR607" s="15" t="s">
        <v>2796</v>
      </c>
      <c r="AS607" s="15" t="s">
        <v>4040</v>
      </c>
      <c r="AT607" s="15" t="s">
        <v>2796</v>
      </c>
      <c r="AU607" s="15" t="s">
        <v>2796</v>
      </c>
      <c r="AV607" s="15" t="s">
        <v>16873</v>
      </c>
      <c r="AW607" s="15" t="s">
        <v>16874</v>
      </c>
      <c r="AX607" s="15" t="s">
        <v>2796</v>
      </c>
      <c r="AY607" s="15" t="s">
        <v>16875</v>
      </c>
      <c r="AZ607" s="15" t="s">
        <v>8440</v>
      </c>
      <c r="BA607" s="15" t="s">
        <v>2870</v>
      </c>
      <c r="BB607" s="15" t="s">
        <v>12859</v>
      </c>
      <c r="BC607" s="15" t="s">
        <v>13246</v>
      </c>
      <c r="BD607" s="15" t="s">
        <v>2807</v>
      </c>
      <c r="BE607" s="15" t="s">
        <v>2796</v>
      </c>
      <c r="BF607" s="15" t="s">
        <v>2796</v>
      </c>
      <c r="BG607" s="15" t="s">
        <v>2796</v>
      </c>
      <c r="BH607" s="15" t="s">
        <v>2796</v>
      </c>
      <c r="BI607" s="15" t="s">
        <v>2796</v>
      </c>
      <c r="BJ607" s="19" t="s">
        <v>16876</v>
      </c>
      <c r="BK607" s="19" t="s">
        <v>16877</v>
      </c>
      <c r="BL607" s="19" t="s">
        <v>16878</v>
      </c>
      <c r="BM607" s="19" t="s">
        <v>16879</v>
      </c>
      <c r="BN607" s="19" t="s">
        <v>16880</v>
      </c>
      <c r="BO607" s="19" t="s">
        <v>16881</v>
      </c>
      <c r="BP607" s="18"/>
      <c r="BQ607" s="15" t="s">
        <v>1321</v>
      </c>
      <c r="BR607" s="26"/>
      <c r="BS607" s="19" t="s">
        <v>16882</v>
      </c>
      <c r="BT607" s="26"/>
      <c r="BU607" s="19" t="s">
        <v>16883</v>
      </c>
      <c r="BV607" s="19" t="s">
        <v>16884</v>
      </c>
      <c r="BW607" s="15" t="s">
        <v>16885</v>
      </c>
      <c r="BX607" s="26"/>
      <c r="BY607" s="18" t="str">
        <f t="shared" si="107"/>
        <v>MECH</v>
      </c>
      <c r="BZ607" s="24" t="str">
        <f t="shared" si="100"/>
        <v>https://drive.google.com/open?id=1hnJDFp5TYhPg8kJxjdDmCgB_zZaj96iS</v>
      </c>
      <c r="CA607" s="24" t="str">
        <f t="shared" si="101"/>
        <v>https://drive.google.com/open?id=1THbK5ofavOdJn63IVUyVjZxaM6KlrTJ-</v>
      </c>
      <c r="CB607" s="15" t="s">
        <v>2821</v>
      </c>
      <c r="CC607" s="15" t="s">
        <v>2821</v>
      </c>
      <c r="CD607" s="25" t="s">
        <v>2797</v>
      </c>
      <c r="CE607" s="18"/>
      <c r="CF607" s="18"/>
      <c r="CG607" s="18"/>
    </row>
    <row r="608" ht="18.75" hidden="1" customHeight="1">
      <c r="A608" s="14">
        <v>44736.56025753472</v>
      </c>
      <c r="B608" s="15" t="s">
        <v>16886</v>
      </c>
      <c r="C608" s="16" t="s">
        <v>16887</v>
      </c>
      <c r="D608" s="15" t="str">
        <f>IFERROR(__xludf.DUMMYFUNCTION("QUERY(TY_ALL_2023_Batch!$A$1:$E$824, ""SELECT E WHERE C='""&amp;B608&amp;""'"", 0)"),"#N/A")</f>
        <v>#N/A</v>
      </c>
      <c r="E608" s="15" t="s">
        <v>3498</v>
      </c>
      <c r="F608" s="15" t="s">
        <v>16888</v>
      </c>
      <c r="G608" s="15" t="s">
        <v>10510</v>
      </c>
      <c r="H608" s="15" t="s">
        <v>2785</v>
      </c>
      <c r="I608" s="17">
        <v>36302.0</v>
      </c>
      <c r="J608" s="15">
        <v>2017.0</v>
      </c>
      <c r="K608" s="15" t="s">
        <v>2786</v>
      </c>
      <c r="L608" s="15" t="s">
        <v>2787</v>
      </c>
      <c r="M608" s="18"/>
      <c r="N608" s="15" t="s">
        <v>16889</v>
      </c>
      <c r="O608" s="15" t="s">
        <v>16886</v>
      </c>
      <c r="P608" s="19" t="s">
        <v>16890</v>
      </c>
      <c r="Q608" s="15">
        <v>7.038184272E9</v>
      </c>
      <c r="R608" s="15">
        <v>7.038184272E9</v>
      </c>
      <c r="S608" s="15">
        <v>8.830225224E9</v>
      </c>
      <c r="T608" s="15" t="s">
        <v>16891</v>
      </c>
      <c r="U608" s="15" t="s">
        <v>16892</v>
      </c>
      <c r="V608" s="15" t="s">
        <v>16893</v>
      </c>
      <c r="W608" s="15" t="s">
        <v>16894</v>
      </c>
      <c r="X608" s="15">
        <v>71.2</v>
      </c>
      <c r="Y608" s="15" t="s">
        <v>2795</v>
      </c>
      <c r="Z608" s="15">
        <v>3.62</v>
      </c>
      <c r="AA608" s="15">
        <v>3.05</v>
      </c>
      <c r="AB608" s="15" t="s">
        <v>2796</v>
      </c>
      <c r="AC608" s="15" t="s">
        <v>2796</v>
      </c>
      <c r="AD608" s="15" t="s">
        <v>2796</v>
      </c>
      <c r="AE608" s="15" t="s">
        <v>2796</v>
      </c>
      <c r="AF608" s="15">
        <v>6.24</v>
      </c>
      <c r="AG608" s="15">
        <v>5.0</v>
      </c>
      <c r="AH608" s="15">
        <v>53.08</v>
      </c>
      <c r="AI608" s="18"/>
      <c r="AJ608" s="15" t="s">
        <v>2797</v>
      </c>
      <c r="AK608" s="15" t="s">
        <v>2787</v>
      </c>
      <c r="AL608" s="18"/>
      <c r="AM608" s="15">
        <v>555.0</v>
      </c>
      <c r="AN608" s="15" t="s">
        <v>2787</v>
      </c>
      <c r="AO608" s="18"/>
      <c r="AP608" s="18"/>
      <c r="AQ608" s="15" t="s">
        <v>14879</v>
      </c>
      <c r="AR608" s="15" t="s">
        <v>16895</v>
      </c>
      <c r="AS608" s="18"/>
      <c r="AT608" s="18"/>
      <c r="AU608" s="18"/>
      <c r="AV608" s="18"/>
      <c r="AW608" s="15" t="s">
        <v>16896</v>
      </c>
      <c r="AX608" s="18"/>
      <c r="AY608" s="15" t="s">
        <v>16897</v>
      </c>
      <c r="AZ608" s="15" t="s">
        <v>9648</v>
      </c>
      <c r="BA608" s="15" t="s">
        <v>2870</v>
      </c>
      <c r="BB608" s="15" t="s">
        <v>2807</v>
      </c>
      <c r="BC608" s="15" t="s">
        <v>16898</v>
      </c>
      <c r="BD608" s="15" t="s">
        <v>2807</v>
      </c>
      <c r="BE608" s="15" t="s">
        <v>16899</v>
      </c>
      <c r="BF608" s="15" t="s">
        <v>16900</v>
      </c>
      <c r="BG608" s="18"/>
      <c r="BH608" s="18"/>
      <c r="BI608" s="18"/>
      <c r="BJ608" s="19" t="s">
        <v>16901</v>
      </c>
      <c r="BK608" s="19" t="s">
        <v>16902</v>
      </c>
      <c r="BL608" s="18"/>
      <c r="BM608" s="19" t="s">
        <v>16903</v>
      </c>
      <c r="BN608" s="19" t="s">
        <v>16904</v>
      </c>
      <c r="BO608" s="19" t="s">
        <v>16905</v>
      </c>
      <c r="BP608" s="18"/>
      <c r="BQ608" s="15" t="s">
        <v>1321</v>
      </c>
      <c r="BR608" s="26"/>
      <c r="BS608" s="26"/>
      <c r="BT608" s="26"/>
      <c r="BU608" s="26"/>
      <c r="BV608" s="26"/>
      <c r="BW608" s="26"/>
      <c r="BX608" s="26"/>
      <c r="BY608" s="18" t="str">
        <f t="shared" si="107"/>
        <v>MECH</v>
      </c>
      <c r="BZ608" s="18" t="str">
        <f t="shared" si="100"/>
        <v/>
      </c>
      <c r="CA608" s="24" t="str">
        <f t="shared" si="101"/>
        <v>https://drive.google.com/open?id=1xiE2P2Nefp30B1QxW6OK7PS5K-FWOsyp</v>
      </c>
      <c r="CB608" s="15" t="s">
        <v>2908</v>
      </c>
      <c r="CC608" s="15" t="s">
        <v>2821</v>
      </c>
      <c r="CD608" s="25" t="s">
        <v>2797</v>
      </c>
      <c r="CE608" s="18"/>
      <c r="CF608" s="18"/>
      <c r="CG608" s="18"/>
    </row>
    <row r="609" ht="18.75" hidden="1" customHeight="1">
      <c r="A609" s="30">
        <v>44742.91284310185</v>
      </c>
      <c r="B609" s="5" t="s">
        <v>2466</v>
      </c>
      <c r="C609" s="31" t="s">
        <v>16906</v>
      </c>
      <c r="E609" s="5" t="s">
        <v>13049</v>
      </c>
      <c r="F609" s="5" t="s">
        <v>10755</v>
      </c>
      <c r="G609" s="5" t="s">
        <v>16907</v>
      </c>
      <c r="H609" s="5" t="s">
        <v>2785</v>
      </c>
      <c r="I609" s="32">
        <v>36637.0</v>
      </c>
      <c r="J609" s="5">
        <v>2019.0</v>
      </c>
      <c r="K609" s="5" t="s">
        <v>2786</v>
      </c>
      <c r="L609" s="5" t="s">
        <v>2787</v>
      </c>
      <c r="N609" s="5" t="s">
        <v>16908</v>
      </c>
      <c r="O609" s="5" t="s">
        <v>2466</v>
      </c>
      <c r="P609" s="33" t="s">
        <v>15302</v>
      </c>
      <c r="Q609" s="5">
        <v>7.757820134E9</v>
      </c>
      <c r="R609" s="5">
        <v>7.757820134E9</v>
      </c>
      <c r="S609" s="5">
        <v>7.757820134E9</v>
      </c>
      <c r="T609" s="5" t="s">
        <v>10755</v>
      </c>
      <c r="U609" s="5" t="s">
        <v>3083</v>
      </c>
      <c r="V609" s="5" t="s">
        <v>16909</v>
      </c>
      <c r="W609" s="5" t="s">
        <v>16910</v>
      </c>
      <c r="X609" s="5">
        <v>91.2</v>
      </c>
      <c r="Y609" s="5" t="s">
        <v>2795</v>
      </c>
      <c r="Z609" s="5">
        <v>6.05</v>
      </c>
      <c r="AA609" s="5">
        <v>7.05</v>
      </c>
      <c r="AB609" s="5" t="s">
        <v>2796</v>
      </c>
      <c r="AC609" s="5" t="s">
        <v>2796</v>
      </c>
      <c r="AD609" s="5" t="s">
        <v>2796</v>
      </c>
      <c r="AE609" s="5" t="s">
        <v>2796</v>
      </c>
      <c r="AF609" s="5">
        <v>7.26</v>
      </c>
      <c r="AG609" s="5">
        <v>6.24</v>
      </c>
      <c r="AH609" s="5">
        <v>80.2</v>
      </c>
      <c r="AJ609" s="5" t="s">
        <v>2787</v>
      </c>
      <c r="AK609" s="5" t="s">
        <v>2787</v>
      </c>
      <c r="AM609" s="5">
        <v>471.66</v>
      </c>
      <c r="AN609" s="5" t="s">
        <v>2797</v>
      </c>
      <c r="AO609" s="5" t="s">
        <v>2908</v>
      </c>
      <c r="AP609" s="5" t="s">
        <v>2908</v>
      </c>
      <c r="AQ609" s="5" t="s">
        <v>16911</v>
      </c>
      <c r="AR609" s="5" t="s">
        <v>16912</v>
      </c>
      <c r="AS609" s="5" t="s">
        <v>16913</v>
      </c>
      <c r="AT609" s="5" t="s">
        <v>16914</v>
      </c>
      <c r="AU609" s="5" t="s">
        <v>16915</v>
      </c>
      <c r="AV609" s="5" t="s">
        <v>16916</v>
      </c>
      <c r="AW609" s="5" t="s">
        <v>16917</v>
      </c>
      <c r="AX609" s="5" t="s">
        <v>16918</v>
      </c>
      <c r="AY609" s="5" t="s">
        <v>2796</v>
      </c>
      <c r="AZ609" s="5" t="s">
        <v>9648</v>
      </c>
      <c r="BA609" s="5" t="s">
        <v>2899</v>
      </c>
      <c r="BB609" s="5" t="s">
        <v>2807</v>
      </c>
      <c r="BC609" s="5" t="s">
        <v>2808</v>
      </c>
      <c r="BD609" s="5" t="s">
        <v>16919</v>
      </c>
      <c r="BE609" s="5" t="s">
        <v>16920</v>
      </c>
      <c r="BF609" s="5" t="s">
        <v>2796</v>
      </c>
      <c r="BG609" s="5" t="s">
        <v>16921</v>
      </c>
      <c r="BI609" s="5" t="s">
        <v>16922</v>
      </c>
      <c r="BJ609" s="33" t="s">
        <v>16923</v>
      </c>
      <c r="BK609" s="33" t="s">
        <v>16924</v>
      </c>
      <c r="BM609" s="33" t="s">
        <v>16925</v>
      </c>
      <c r="BN609" s="33" t="s">
        <v>16926</v>
      </c>
      <c r="BO609" s="33" t="s">
        <v>16927</v>
      </c>
      <c r="BP609" s="33" t="s">
        <v>16928</v>
      </c>
      <c r="BQ609" s="5" t="s">
        <v>1321</v>
      </c>
      <c r="BR609" s="4"/>
      <c r="BS609" s="4"/>
      <c r="BT609" s="4"/>
      <c r="BU609" s="4"/>
      <c r="BV609" s="4"/>
      <c r="BW609" s="5" t="s">
        <v>9143</v>
      </c>
      <c r="BX609" s="4"/>
      <c r="BZ609" s="18" t="str">
        <f t="shared" si="100"/>
        <v/>
      </c>
      <c r="CA609" s="24" t="str">
        <f t="shared" si="101"/>
        <v>https://drive.google.com/open?id=1D3fHW0Aj7NWsUuOpLqDseriEav4d5Inb</v>
      </c>
      <c r="CB609" s="5" t="s">
        <v>2908</v>
      </c>
      <c r="CC609" s="5" t="s">
        <v>2821</v>
      </c>
      <c r="CD609" s="34" t="s">
        <v>2797</v>
      </c>
      <c r="CG609" s="18"/>
    </row>
    <row r="610" ht="18.75" hidden="1" customHeight="1">
      <c r="A610" s="30">
        <v>44777.39970599537</v>
      </c>
      <c r="B610" s="5" t="s">
        <v>16929</v>
      </c>
      <c r="C610" s="31" t="s">
        <v>16930</v>
      </c>
      <c r="E610" s="5" t="s">
        <v>16931</v>
      </c>
      <c r="F610" s="5" t="s">
        <v>8174</v>
      </c>
      <c r="G610" s="5" t="s">
        <v>16932</v>
      </c>
      <c r="H610" s="5" t="s">
        <v>2785</v>
      </c>
      <c r="I610" s="32">
        <v>36249.0</v>
      </c>
      <c r="J610" s="5">
        <v>2020.0</v>
      </c>
      <c r="K610" s="5" t="s">
        <v>2941</v>
      </c>
      <c r="L610" s="5" t="s">
        <v>2787</v>
      </c>
      <c r="N610" s="5" t="s">
        <v>1416</v>
      </c>
      <c r="O610" s="5" t="s">
        <v>16929</v>
      </c>
      <c r="P610" s="33" t="s">
        <v>16933</v>
      </c>
      <c r="Q610" s="5">
        <v>9.372973492E9</v>
      </c>
      <c r="R610" s="5">
        <v>9.372973492E9</v>
      </c>
      <c r="S610" s="5">
        <v>9.819341143E9</v>
      </c>
      <c r="T610" s="5" t="s">
        <v>16934</v>
      </c>
      <c r="U610" s="5" t="s">
        <v>16935</v>
      </c>
      <c r="V610" s="5" t="s">
        <v>16936</v>
      </c>
      <c r="X610" s="5">
        <v>55.2</v>
      </c>
      <c r="Y610" s="5" t="s">
        <v>2948</v>
      </c>
      <c r="Z610" s="5">
        <v>8.9</v>
      </c>
      <c r="AA610" s="5">
        <v>8.95</v>
      </c>
      <c r="AB610" s="5">
        <v>6.86</v>
      </c>
      <c r="AC610" s="5">
        <v>7.05</v>
      </c>
      <c r="AD610" s="5" t="s">
        <v>2796</v>
      </c>
      <c r="AE610" s="5" t="s">
        <v>2796</v>
      </c>
      <c r="AI610" s="5">
        <v>75.0</v>
      </c>
      <c r="AJ610" s="5" t="s">
        <v>2787</v>
      </c>
      <c r="AK610" s="5" t="s">
        <v>2787</v>
      </c>
      <c r="AM610" s="5">
        <v>484.0</v>
      </c>
      <c r="AN610" s="5" t="s">
        <v>2797</v>
      </c>
      <c r="AO610" s="5" t="s">
        <v>2796</v>
      </c>
      <c r="AP610" s="5" t="s">
        <v>2796</v>
      </c>
      <c r="AQ610" s="5" t="s">
        <v>16937</v>
      </c>
      <c r="AR610" s="5" t="s">
        <v>2796</v>
      </c>
      <c r="AS610" s="5" t="s">
        <v>2796</v>
      </c>
      <c r="AT610" s="5" t="s">
        <v>2796</v>
      </c>
      <c r="AU610" s="5" t="s">
        <v>2796</v>
      </c>
      <c r="AV610" s="5" t="s">
        <v>16938</v>
      </c>
      <c r="AW610" s="5" t="s">
        <v>16939</v>
      </c>
      <c r="AX610" s="5" t="s">
        <v>2796</v>
      </c>
      <c r="AY610" s="5" t="s">
        <v>16940</v>
      </c>
      <c r="AZ610" s="5" t="s">
        <v>4377</v>
      </c>
      <c r="BA610" s="5" t="s">
        <v>2870</v>
      </c>
      <c r="BB610" s="5" t="s">
        <v>2807</v>
      </c>
      <c r="BC610" s="5" t="s">
        <v>16941</v>
      </c>
      <c r="BD610" s="5" t="s">
        <v>2807</v>
      </c>
      <c r="BE610" s="5" t="s">
        <v>16942</v>
      </c>
      <c r="BF610" s="5" t="s">
        <v>2796</v>
      </c>
      <c r="BG610" s="5" t="s">
        <v>2796</v>
      </c>
      <c r="BH610" s="5" t="s">
        <v>2796</v>
      </c>
      <c r="BI610" s="5" t="s">
        <v>16943</v>
      </c>
      <c r="BJ610" s="33" t="s">
        <v>16944</v>
      </c>
      <c r="BK610" s="47" t="s">
        <v>16945</v>
      </c>
      <c r="BM610" s="33" t="s">
        <v>16946</v>
      </c>
      <c r="BN610" s="33" t="s">
        <v>16947</v>
      </c>
      <c r="BO610" s="33" t="s">
        <v>16948</v>
      </c>
      <c r="BP610" s="33" t="s">
        <v>16949</v>
      </c>
      <c r="BQ610" s="5" t="s">
        <v>1321</v>
      </c>
      <c r="BR610" s="4"/>
      <c r="BS610" s="33" t="s">
        <v>16950</v>
      </c>
      <c r="BT610" s="4"/>
      <c r="BU610" s="4"/>
      <c r="BV610" s="4"/>
      <c r="BW610" s="5" t="s">
        <v>16951</v>
      </c>
      <c r="BX610" s="4"/>
      <c r="BZ610" s="18" t="str">
        <f t="shared" si="100"/>
        <v/>
      </c>
      <c r="CA610" s="24" t="str">
        <f t="shared" si="101"/>
        <v>https://drive.google.com/open?id=1NObcPb3vD6EZMDbnBW3-D1yH_sYi-Mhl</v>
      </c>
      <c r="CB610" s="5" t="s">
        <v>2908</v>
      </c>
      <c r="CC610" s="5" t="s">
        <v>2821</v>
      </c>
      <c r="CD610" s="34" t="s">
        <v>2797</v>
      </c>
      <c r="CG610" s="18"/>
    </row>
    <row r="611" ht="18.75" hidden="1" customHeight="1">
      <c r="A611" s="30">
        <v>44741.69906451389</v>
      </c>
      <c r="B611" s="5" t="s">
        <v>2364</v>
      </c>
      <c r="C611" s="31" t="s">
        <v>16952</v>
      </c>
      <c r="E611" s="5" t="s">
        <v>16953</v>
      </c>
      <c r="F611" s="5" t="s">
        <v>16303</v>
      </c>
      <c r="G611" s="5" t="s">
        <v>16954</v>
      </c>
      <c r="H611" s="5" t="s">
        <v>2826</v>
      </c>
      <c r="I611" s="32">
        <v>36896.0</v>
      </c>
      <c r="J611" s="5">
        <v>2019.0</v>
      </c>
      <c r="K611" s="5" t="s">
        <v>2786</v>
      </c>
      <c r="L611" s="5" t="s">
        <v>2787</v>
      </c>
      <c r="N611" s="5" t="s">
        <v>16955</v>
      </c>
      <c r="O611" s="5" t="s">
        <v>2364</v>
      </c>
      <c r="P611" s="33" t="s">
        <v>16956</v>
      </c>
      <c r="Q611" s="5">
        <v>9.834572946E9</v>
      </c>
      <c r="R611" s="5">
        <v>9.834572946E9</v>
      </c>
      <c r="S611" s="5">
        <v>9.960666865E9</v>
      </c>
      <c r="T611" s="5" t="s">
        <v>16957</v>
      </c>
      <c r="U611" s="5" t="s">
        <v>16958</v>
      </c>
      <c r="V611" s="5" t="s">
        <v>16959</v>
      </c>
      <c r="W611" s="5" t="s">
        <v>16960</v>
      </c>
      <c r="X611" s="5">
        <v>91.8</v>
      </c>
      <c r="Y611" s="5" t="s">
        <v>2795</v>
      </c>
      <c r="Z611" s="5">
        <v>8.19</v>
      </c>
      <c r="AA611" s="5">
        <v>7.67</v>
      </c>
      <c r="AB611" s="5" t="s">
        <v>2796</v>
      </c>
      <c r="AC611" s="5" t="s">
        <v>2796</v>
      </c>
      <c r="AD611" s="5" t="s">
        <v>2796</v>
      </c>
      <c r="AE611" s="5" t="s">
        <v>2796</v>
      </c>
      <c r="AF611" s="5">
        <v>7.47</v>
      </c>
      <c r="AG611" s="5">
        <v>7.9</v>
      </c>
      <c r="AH611" s="5">
        <v>63.38</v>
      </c>
      <c r="AJ611" s="5" t="s">
        <v>2797</v>
      </c>
      <c r="AK611" s="5" t="s">
        <v>2787</v>
      </c>
      <c r="AL611" s="5" t="s">
        <v>2796</v>
      </c>
      <c r="AM611" s="5" t="s">
        <v>3313</v>
      </c>
      <c r="AN611" s="5" t="s">
        <v>2787</v>
      </c>
      <c r="AO611" s="5" t="s">
        <v>16961</v>
      </c>
      <c r="AP611" s="5" t="s">
        <v>16962</v>
      </c>
      <c r="AQ611" s="5" t="s">
        <v>2787</v>
      </c>
      <c r="AU611" s="5" t="s">
        <v>3309</v>
      </c>
      <c r="AV611" s="5" t="s">
        <v>16963</v>
      </c>
      <c r="AW611" s="5" t="s">
        <v>16964</v>
      </c>
      <c r="AX611" s="5" t="s">
        <v>2797</v>
      </c>
      <c r="AY611" s="5" t="s">
        <v>16965</v>
      </c>
      <c r="AZ611" s="5" t="s">
        <v>9648</v>
      </c>
      <c r="BA611" s="5" t="s">
        <v>2899</v>
      </c>
      <c r="BB611" s="5" t="s">
        <v>2807</v>
      </c>
      <c r="BC611" s="5" t="s">
        <v>2808</v>
      </c>
      <c r="BD611" s="5" t="s">
        <v>2842</v>
      </c>
      <c r="BE611" s="5" t="s">
        <v>16966</v>
      </c>
      <c r="BF611" s="5" t="s">
        <v>2796</v>
      </c>
      <c r="BG611" s="5" t="s">
        <v>2796</v>
      </c>
      <c r="BH611" s="5" t="s">
        <v>2796</v>
      </c>
      <c r="BI611" s="5" t="s">
        <v>16967</v>
      </c>
      <c r="BJ611" s="33" t="s">
        <v>16968</v>
      </c>
      <c r="BK611" s="33" t="s">
        <v>16969</v>
      </c>
      <c r="BM611" s="33" t="s">
        <v>16970</v>
      </c>
      <c r="BN611" s="33" t="s">
        <v>16971</v>
      </c>
      <c r="BO611" s="33" t="s">
        <v>16972</v>
      </c>
      <c r="BQ611" s="5" t="s">
        <v>1321</v>
      </c>
      <c r="BW611" s="5" t="s">
        <v>16973</v>
      </c>
      <c r="BZ611" s="18" t="str">
        <f t="shared" si="100"/>
        <v/>
      </c>
      <c r="CA611" s="24" t="str">
        <f t="shared" si="101"/>
        <v>https://drive.google.com/open?id=15IjosFqeUPI7gfhO4KTA7UNjCVbrBP7i</v>
      </c>
      <c r="CB611" s="5" t="s">
        <v>2821</v>
      </c>
      <c r="CC611" s="5" t="s">
        <v>2821</v>
      </c>
      <c r="CD611" s="34" t="s">
        <v>2797</v>
      </c>
      <c r="CG611" s="18"/>
    </row>
    <row r="612" ht="18.75" hidden="1" customHeight="1">
      <c r="A612" s="30">
        <v>44742.95049434028</v>
      </c>
      <c r="B612" s="5" t="s">
        <v>2352</v>
      </c>
      <c r="C612" s="31" t="s">
        <v>16974</v>
      </c>
      <c r="E612" s="5" t="s">
        <v>13117</v>
      </c>
      <c r="F612" s="5" t="s">
        <v>3023</v>
      </c>
      <c r="G612" s="5" t="s">
        <v>16975</v>
      </c>
      <c r="H612" s="5" t="s">
        <v>2785</v>
      </c>
      <c r="I612" s="32">
        <v>37197.0</v>
      </c>
      <c r="J612" s="5">
        <v>2019.0</v>
      </c>
      <c r="K612" s="5" t="s">
        <v>2786</v>
      </c>
      <c r="L612" s="5" t="s">
        <v>2787</v>
      </c>
      <c r="N612" s="5" t="s">
        <v>16976</v>
      </c>
      <c r="O612" s="5" t="s">
        <v>2352</v>
      </c>
      <c r="P612" s="33" t="s">
        <v>16977</v>
      </c>
      <c r="Q612" s="5">
        <v>9.922239912E9</v>
      </c>
      <c r="R612" s="5">
        <v>9.922239912E9</v>
      </c>
      <c r="S612" s="5">
        <v>9.689729752E9</v>
      </c>
      <c r="T612" s="5" t="s">
        <v>3023</v>
      </c>
      <c r="U612" s="5" t="s">
        <v>10014</v>
      </c>
      <c r="V612" s="5" t="s">
        <v>16978</v>
      </c>
      <c r="W612" s="5" t="s">
        <v>16978</v>
      </c>
      <c r="X612" s="5">
        <v>81.2</v>
      </c>
      <c r="Y612" s="5" t="s">
        <v>2795</v>
      </c>
      <c r="Z612" s="5">
        <v>6.99</v>
      </c>
      <c r="AA612" s="5">
        <v>6.43</v>
      </c>
      <c r="AB612" s="5" t="s">
        <v>2796</v>
      </c>
      <c r="AC612" s="5" t="s">
        <v>2796</v>
      </c>
      <c r="AD612" s="5" t="s">
        <v>2796</v>
      </c>
      <c r="AE612" s="5" t="s">
        <v>2796</v>
      </c>
      <c r="AF612" s="5">
        <v>6.71</v>
      </c>
      <c r="AG612" s="5">
        <v>6.71</v>
      </c>
      <c r="AH612" s="5">
        <v>61.8</v>
      </c>
      <c r="AJ612" s="5" t="s">
        <v>2787</v>
      </c>
      <c r="AK612" s="5" t="s">
        <v>2787</v>
      </c>
      <c r="AL612" s="5">
        <v>420.0</v>
      </c>
      <c r="AM612" s="5">
        <v>420.0</v>
      </c>
      <c r="AN612" s="5" t="s">
        <v>2787</v>
      </c>
      <c r="AO612" s="5" t="s">
        <v>2796</v>
      </c>
      <c r="AP612" s="5" t="s">
        <v>16979</v>
      </c>
      <c r="AQ612" s="5" t="s">
        <v>4479</v>
      </c>
      <c r="AR612" s="5" t="s">
        <v>16980</v>
      </c>
      <c r="AS612" s="5" t="s">
        <v>16981</v>
      </c>
      <c r="AT612" s="5" t="s">
        <v>10361</v>
      </c>
      <c r="AU612" s="5" t="s">
        <v>10361</v>
      </c>
      <c r="AV612" s="5" t="s">
        <v>16982</v>
      </c>
      <c r="AW612" s="5" t="s">
        <v>16983</v>
      </c>
      <c r="AX612" s="5" t="s">
        <v>16980</v>
      </c>
      <c r="AY612" s="5" t="s">
        <v>16984</v>
      </c>
      <c r="AZ612" s="5" t="s">
        <v>9648</v>
      </c>
      <c r="BA612" s="5" t="s">
        <v>2899</v>
      </c>
      <c r="BB612" s="5" t="s">
        <v>5729</v>
      </c>
      <c r="BC612" s="5" t="s">
        <v>13150</v>
      </c>
      <c r="BD612" s="5" t="s">
        <v>2807</v>
      </c>
      <c r="BE612" s="5" t="s">
        <v>2796</v>
      </c>
      <c r="BF612" s="5" t="s">
        <v>16980</v>
      </c>
      <c r="BG612" s="5" t="s">
        <v>10361</v>
      </c>
      <c r="BI612" s="5" t="s">
        <v>16985</v>
      </c>
      <c r="BJ612" s="33" t="s">
        <v>16986</v>
      </c>
      <c r="BK612" s="33" t="s">
        <v>16987</v>
      </c>
      <c r="BM612" s="33" t="s">
        <v>16988</v>
      </c>
      <c r="BN612" s="33" t="s">
        <v>16989</v>
      </c>
      <c r="BO612" s="33" t="s">
        <v>16990</v>
      </c>
      <c r="BQ612" s="5" t="s">
        <v>1321</v>
      </c>
      <c r="BW612" s="5" t="s">
        <v>16980</v>
      </c>
      <c r="BZ612" s="18" t="str">
        <f t="shared" si="100"/>
        <v/>
      </c>
      <c r="CA612" s="24" t="str">
        <f t="shared" si="101"/>
        <v>https://drive.google.com/open?id=1jejWBL83kRFQaWkOD4BgMwlocQBe1JmR</v>
      </c>
      <c r="CB612" s="5" t="s">
        <v>2908</v>
      </c>
      <c r="CC612" s="5" t="s">
        <v>2821</v>
      </c>
      <c r="CD612" s="34" t="s">
        <v>2797</v>
      </c>
      <c r="CG612" s="18"/>
    </row>
    <row r="613" ht="18.75" hidden="1" customHeight="1">
      <c r="A613" s="30">
        <v>44742.98114908565</v>
      </c>
      <c r="B613" s="5" t="s">
        <v>2637</v>
      </c>
      <c r="C613" s="31" t="s">
        <v>16991</v>
      </c>
      <c r="E613" s="5" t="s">
        <v>5131</v>
      </c>
      <c r="F613" s="5" t="s">
        <v>4134</v>
      </c>
      <c r="G613" s="5" t="s">
        <v>16992</v>
      </c>
      <c r="H613" s="5" t="s">
        <v>2785</v>
      </c>
      <c r="I613" s="32">
        <v>37051.0</v>
      </c>
      <c r="J613" s="5">
        <v>2019.0</v>
      </c>
      <c r="K613" s="5" t="s">
        <v>2786</v>
      </c>
      <c r="L613" s="5" t="s">
        <v>2787</v>
      </c>
      <c r="N613" s="5" t="s">
        <v>16993</v>
      </c>
      <c r="O613" s="5" t="s">
        <v>2637</v>
      </c>
      <c r="P613" s="33" t="s">
        <v>16994</v>
      </c>
      <c r="Q613" s="5">
        <v>7.385695457E9</v>
      </c>
      <c r="R613" s="5">
        <v>7.385695457E9</v>
      </c>
      <c r="T613" s="5" t="s">
        <v>16995</v>
      </c>
      <c r="U613" s="5" t="s">
        <v>7924</v>
      </c>
      <c r="V613" s="5" t="s">
        <v>16996</v>
      </c>
      <c r="W613" s="5" t="s">
        <v>16997</v>
      </c>
      <c r="X613" s="5">
        <v>79.8</v>
      </c>
      <c r="Y613" s="5" t="s">
        <v>2795</v>
      </c>
      <c r="Z613" s="5">
        <v>8.33</v>
      </c>
      <c r="AA613" s="5">
        <v>8.0</v>
      </c>
      <c r="AB613" s="5" t="s">
        <v>2796</v>
      </c>
      <c r="AC613" s="5" t="s">
        <v>2796</v>
      </c>
      <c r="AD613" s="5" t="s">
        <v>2796</v>
      </c>
      <c r="AE613" s="5" t="s">
        <v>2796</v>
      </c>
      <c r="AF613" s="5">
        <v>8.21</v>
      </c>
      <c r="AG613" s="5">
        <v>7.62</v>
      </c>
      <c r="AH613" s="5">
        <v>71.38</v>
      </c>
      <c r="AJ613" s="5" t="s">
        <v>2787</v>
      </c>
      <c r="AK613" s="5" t="s">
        <v>2787</v>
      </c>
      <c r="AL613" s="5">
        <v>538.0</v>
      </c>
      <c r="AM613" s="5">
        <v>635.0</v>
      </c>
      <c r="AN613" s="5" t="s">
        <v>2787</v>
      </c>
      <c r="AO613" s="5">
        <v>0.0</v>
      </c>
      <c r="AP613" s="5" t="s">
        <v>16998</v>
      </c>
      <c r="AQ613" s="5" t="s">
        <v>16999</v>
      </c>
      <c r="AR613" s="5" t="s">
        <v>17000</v>
      </c>
      <c r="AU613" s="5" t="s">
        <v>5547</v>
      </c>
      <c r="AV613" s="5" t="s">
        <v>17001</v>
      </c>
      <c r="AW613" s="5" t="s">
        <v>17002</v>
      </c>
      <c r="AY613" s="5" t="s">
        <v>17003</v>
      </c>
      <c r="AZ613" s="5" t="s">
        <v>9648</v>
      </c>
      <c r="BA613" s="5" t="s">
        <v>10292</v>
      </c>
      <c r="BB613" s="5" t="s">
        <v>2807</v>
      </c>
      <c r="BC613" s="5" t="s">
        <v>13150</v>
      </c>
      <c r="BD613" s="5" t="s">
        <v>2807</v>
      </c>
      <c r="BE613" s="5" t="s">
        <v>2796</v>
      </c>
      <c r="BJ613" s="33" t="s">
        <v>17004</v>
      </c>
      <c r="BK613" s="33" t="s">
        <v>17005</v>
      </c>
      <c r="BL613" s="33" t="s">
        <v>17006</v>
      </c>
      <c r="BM613" s="33" t="s">
        <v>17007</v>
      </c>
      <c r="BN613" s="33" t="s">
        <v>17008</v>
      </c>
      <c r="BO613" s="33" t="s">
        <v>17009</v>
      </c>
      <c r="BP613" s="33" t="s">
        <v>17010</v>
      </c>
      <c r="BQ613" s="5" t="s">
        <v>1321</v>
      </c>
      <c r="BW613" s="5" t="s">
        <v>3989</v>
      </c>
      <c r="BZ613" s="24" t="str">
        <f t="shared" si="100"/>
        <v>https://drive.google.com/open?id=1S-fAjKG8xCwhEaw6810Y9OxvkwITZy_B</v>
      </c>
      <c r="CA613" s="24" t="str">
        <f t="shared" si="101"/>
        <v>https://drive.google.com/open?id=1usDXfvUbiUl2v2QExdjjRMJKTcIrTweO</v>
      </c>
      <c r="CB613" s="5" t="s">
        <v>2821</v>
      </c>
      <c r="CC613" s="5" t="s">
        <v>2821</v>
      </c>
      <c r="CD613" s="34" t="s">
        <v>2797</v>
      </c>
      <c r="CG613" s="18"/>
    </row>
    <row r="614" ht="18.75" hidden="1" customHeight="1">
      <c r="A614" s="14">
        <v>44722.537085358796</v>
      </c>
      <c r="B614" s="15" t="s">
        <v>513</v>
      </c>
      <c r="C614" s="16" t="s">
        <v>17011</v>
      </c>
      <c r="D614" s="15" t="str">
        <f>IFERROR(__xludf.DUMMYFUNCTION("QUERY(TY_ALL_2023_Batch!$A$1:$E$824, ""SELECT E WHERE C='""&amp;B614&amp;""'"", 0)"),"CHEM")</f>
        <v>CHEM</v>
      </c>
      <c r="E614" s="15" t="s">
        <v>17012</v>
      </c>
      <c r="F614" s="18"/>
      <c r="G614" s="15" t="s">
        <v>17013</v>
      </c>
      <c r="H614" s="15" t="s">
        <v>2785</v>
      </c>
      <c r="I614" s="17">
        <v>37314.0</v>
      </c>
      <c r="J614" s="15">
        <v>2019.0</v>
      </c>
      <c r="K614" s="15" t="s">
        <v>2786</v>
      </c>
      <c r="L614" s="15" t="s">
        <v>2797</v>
      </c>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t="str">
        <f t="shared" ref="BY614:BY734" si="108">IF(NOT(ISBLANK(BQ614)), BQ614, D614)</f>
        <v>CHEM</v>
      </c>
      <c r="BZ614" s="18" t="str">
        <f t="shared" si="100"/>
        <v/>
      </c>
      <c r="CA614" s="18" t="str">
        <f t="shared" si="101"/>
        <v/>
      </c>
      <c r="CB614" s="15" t="s">
        <v>2908</v>
      </c>
      <c r="CC614" s="18"/>
      <c r="CD614" s="25" t="s">
        <v>2797</v>
      </c>
      <c r="CE614" s="18"/>
      <c r="CF614" s="18"/>
      <c r="CG614" s="18"/>
    </row>
    <row r="615" ht="18.75" hidden="1" customHeight="1">
      <c r="A615" s="14">
        <v>44722.65090270834</v>
      </c>
      <c r="B615" s="15" t="s">
        <v>1059</v>
      </c>
      <c r="C615" s="16" t="s">
        <v>17014</v>
      </c>
      <c r="D615" s="15" t="str">
        <f>IFERROR(__xludf.DUMMYFUNCTION("QUERY(TY_ALL_2023_Batch!$A$1:$E$824, ""SELECT E WHERE C='""&amp;B615&amp;""'"", 0)"),"CHEM")</f>
        <v>CHEM</v>
      </c>
      <c r="E615" s="15" t="s">
        <v>3079</v>
      </c>
      <c r="F615" s="15" t="s">
        <v>17015</v>
      </c>
      <c r="G615" s="15" t="s">
        <v>17016</v>
      </c>
      <c r="H615" s="15" t="s">
        <v>2785</v>
      </c>
      <c r="I615" s="17">
        <v>36862.0</v>
      </c>
      <c r="J615" s="15">
        <v>2020.0</v>
      </c>
      <c r="K615" s="15" t="s">
        <v>2941</v>
      </c>
      <c r="L615" s="15" t="s">
        <v>2787</v>
      </c>
      <c r="M615" s="18"/>
      <c r="N615" s="15" t="s">
        <v>17017</v>
      </c>
      <c r="O615" s="15" t="s">
        <v>1059</v>
      </c>
      <c r="P615" s="19" t="s">
        <v>17018</v>
      </c>
      <c r="Q615" s="15">
        <v>9.370094347E9</v>
      </c>
      <c r="R615" s="15">
        <v>9.370094347E9</v>
      </c>
      <c r="S615" s="15">
        <v>9.370094347E9</v>
      </c>
      <c r="T615" s="15" t="s">
        <v>17015</v>
      </c>
      <c r="U615" s="15" t="s">
        <v>17019</v>
      </c>
      <c r="V615" s="15" t="s">
        <v>17020</v>
      </c>
      <c r="W615" s="18"/>
      <c r="X615" s="15">
        <v>72.2</v>
      </c>
      <c r="Y615" s="15" t="s">
        <v>2948</v>
      </c>
      <c r="Z615" s="15">
        <v>7.13</v>
      </c>
      <c r="AA615" s="15">
        <v>7.0</v>
      </c>
      <c r="AB615" s="15" t="s">
        <v>2796</v>
      </c>
      <c r="AC615" s="15" t="s">
        <v>2796</v>
      </c>
      <c r="AD615" s="15" t="s">
        <v>2796</v>
      </c>
      <c r="AE615" s="15" t="s">
        <v>2796</v>
      </c>
      <c r="AF615" s="18"/>
      <c r="AG615" s="18"/>
      <c r="AH615" s="18"/>
      <c r="AI615" s="15">
        <v>87.0</v>
      </c>
      <c r="AJ615" s="15" t="s">
        <v>2797</v>
      </c>
      <c r="AK615" s="15" t="s">
        <v>2797</v>
      </c>
      <c r="AL615" s="18"/>
      <c r="AM615" s="18"/>
      <c r="AN615" s="15" t="s">
        <v>2797</v>
      </c>
      <c r="AO615" s="18"/>
      <c r="AP615" s="18"/>
      <c r="AQ615" s="15" t="s">
        <v>17021</v>
      </c>
      <c r="AR615" s="18"/>
      <c r="AS615" s="18"/>
      <c r="AT615" s="18"/>
      <c r="AU615" s="18"/>
      <c r="AV615" s="18"/>
      <c r="AW615" s="15" t="s">
        <v>17022</v>
      </c>
      <c r="AX615" s="18"/>
      <c r="AY615" s="15" t="s">
        <v>17023</v>
      </c>
      <c r="AZ615" s="15" t="s">
        <v>4084</v>
      </c>
      <c r="BA615" s="15" t="s">
        <v>2870</v>
      </c>
      <c r="BB615" s="15" t="s">
        <v>2807</v>
      </c>
      <c r="BC615" s="15" t="s">
        <v>4217</v>
      </c>
      <c r="BD615" s="15" t="s">
        <v>2807</v>
      </c>
      <c r="BE615" s="15" t="s">
        <v>2796</v>
      </c>
      <c r="BF615" s="15" t="s">
        <v>2796</v>
      </c>
      <c r="BG615" s="15" t="s">
        <v>17024</v>
      </c>
      <c r="BH615" s="18"/>
      <c r="BI615" s="18"/>
      <c r="BJ615" s="19" t="s">
        <v>17018</v>
      </c>
      <c r="BK615" s="19" t="s">
        <v>17025</v>
      </c>
      <c r="BL615" s="18"/>
      <c r="BM615" s="18"/>
      <c r="BN615" s="18"/>
      <c r="BO615" s="19" t="s">
        <v>17026</v>
      </c>
      <c r="BP615" s="18"/>
      <c r="BQ615" s="18"/>
      <c r="BR615" s="18"/>
      <c r="BS615" s="18"/>
      <c r="BT615" s="18"/>
      <c r="BU615" s="18"/>
      <c r="BV615" s="18"/>
      <c r="BW615" s="18"/>
      <c r="BX615" s="18"/>
      <c r="BY615" s="18" t="str">
        <f t="shared" si="108"/>
        <v>CHEM</v>
      </c>
      <c r="BZ615" s="18" t="str">
        <f t="shared" si="100"/>
        <v/>
      </c>
      <c r="CA615" s="18" t="str">
        <f t="shared" si="101"/>
        <v/>
      </c>
      <c r="CB615" s="15" t="s">
        <v>2908</v>
      </c>
      <c r="CC615" s="15" t="s">
        <v>2908</v>
      </c>
      <c r="CD615" s="25" t="s">
        <v>2797</v>
      </c>
      <c r="CE615" s="18"/>
      <c r="CF615" s="18"/>
      <c r="CG615" s="18"/>
    </row>
    <row r="616" ht="18.75" hidden="1" customHeight="1">
      <c r="A616" s="14">
        <v>44722.85882480324</v>
      </c>
      <c r="B616" s="15" t="s">
        <v>501</v>
      </c>
      <c r="C616" s="16" t="s">
        <v>17027</v>
      </c>
      <c r="D616" s="15" t="str">
        <f>IFERROR(__xludf.DUMMYFUNCTION("QUERY(TY_ALL_2023_Batch!$A$1:$E$824, ""SELECT E WHERE C='""&amp;B616&amp;""'"", 0)"),"CHEM")</f>
        <v>CHEM</v>
      </c>
      <c r="E616" s="15" t="s">
        <v>17028</v>
      </c>
      <c r="F616" s="15" t="s">
        <v>17029</v>
      </c>
      <c r="G616" s="15" t="s">
        <v>17030</v>
      </c>
      <c r="H616" s="15" t="s">
        <v>2785</v>
      </c>
      <c r="I616" s="17">
        <v>36988.0</v>
      </c>
      <c r="J616" s="15">
        <v>2019.0</v>
      </c>
      <c r="K616" s="15" t="s">
        <v>2786</v>
      </c>
      <c r="L616" s="15" t="s">
        <v>2787</v>
      </c>
      <c r="M616" s="18"/>
      <c r="N616" s="15" t="s">
        <v>17031</v>
      </c>
      <c r="O616" s="15" t="s">
        <v>501</v>
      </c>
      <c r="P616" s="19" t="s">
        <v>17032</v>
      </c>
      <c r="Q616" s="15">
        <v>9.158542842E9</v>
      </c>
      <c r="R616" s="15">
        <v>9.158542842E9</v>
      </c>
      <c r="S616" s="18"/>
      <c r="T616" s="15" t="s">
        <v>17029</v>
      </c>
      <c r="U616" s="15" t="s">
        <v>17033</v>
      </c>
      <c r="V616" s="15" t="s">
        <v>17034</v>
      </c>
      <c r="W616" s="18"/>
      <c r="X616" s="15">
        <v>73.0</v>
      </c>
      <c r="Y616" s="15" t="s">
        <v>2795</v>
      </c>
      <c r="Z616" s="15">
        <v>8.11</v>
      </c>
      <c r="AA616" s="15">
        <v>8.81</v>
      </c>
      <c r="AB616" s="15" t="s">
        <v>2796</v>
      </c>
      <c r="AC616" s="15" t="s">
        <v>2796</v>
      </c>
      <c r="AD616" s="15" t="s">
        <v>2796</v>
      </c>
      <c r="AE616" s="15" t="s">
        <v>2796</v>
      </c>
      <c r="AF616" s="15">
        <v>8.11</v>
      </c>
      <c r="AG616" s="15">
        <v>8.81</v>
      </c>
      <c r="AH616" s="15">
        <v>95.3</v>
      </c>
      <c r="AI616" s="18"/>
      <c r="AJ616" s="15" t="s">
        <v>2787</v>
      </c>
      <c r="AK616" s="15" t="s">
        <v>2787</v>
      </c>
      <c r="AL616" s="18"/>
      <c r="AM616" s="18"/>
      <c r="AN616" s="15" t="s">
        <v>2787</v>
      </c>
      <c r="AO616" s="18"/>
      <c r="AP616" s="18"/>
      <c r="AQ616" s="15" t="s">
        <v>17035</v>
      </c>
      <c r="AR616" s="18"/>
      <c r="AS616" s="18"/>
      <c r="AT616" s="18"/>
      <c r="AU616" s="18"/>
      <c r="AV616" s="18"/>
      <c r="AW616" s="15" t="s">
        <v>2796</v>
      </c>
      <c r="AX616" s="18"/>
      <c r="AY616" s="15" t="s">
        <v>2796</v>
      </c>
      <c r="AZ616" s="15" t="s">
        <v>5335</v>
      </c>
      <c r="BA616" s="15" t="s">
        <v>2899</v>
      </c>
      <c r="BB616" s="15" t="s">
        <v>2807</v>
      </c>
      <c r="BC616" s="15" t="s">
        <v>3132</v>
      </c>
      <c r="BD616" s="15" t="s">
        <v>17036</v>
      </c>
      <c r="BE616" s="15" t="s">
        <v>2796</v>
      </c>
      <c r="BF616" s="18"/>
      <c r="BG616" s="18"/>
      <c r="BH616" s="18"/>
      <c r="BI616" s="18"/>
      <c r="BJ616" s="19" t="s">
        <v>17037</v>
      </c>
      <c r="BK616" s="19" t="s">
        <v>17038</v>
      </c>
      <c r="BL616" s="18"/>
      <c r="BM616" s="18"/>
      <c r="BN616" s="19" t="s">
        <v>17039</v>
      </c>
      <c r="BO616" s="19" t="s">
        <v>17040</v>
      </c>
      <c r="BP616" s="18"/>
      <c r="BQ616" s="18"/>
      <c r="BR616" s="18"/>
      <c r="BS616" s="18"/>
      <c r="BT616" s="18"/>
      <c r="BU616" s="18"/>
      <c r="BV616" s="18"/>
      <c r="BW616" s="18"/>
      <c r="BX616" s="18"/>
      <c r="BY616" s="18" t="str">
        <f t="shared" si="108"/>
        <v>CHEM</v>
      </c>
      <c r="BZ616" s="18" t="str">
        <f t="shared" si="100"/>
        <v/>
      </c>
      <c r="CA616" s="18" t="str">
        <f t="shared" si="101"/>
        <v/>
      </c>
      <c r="CB616" s="15" t="s">
        <v>2908</v>
      </c>
      <c r="CC616" s="15" t="s">
        <v>2908</v>
      </c>
      <c r="CD616" s="25" t="s">
        <v>2797</v>
      </c>
      <c r="CE616" s="18"/>
      <c r="CF616" s="18"/>
      <c r="CG616" s="18"/>
    </row>
    <row r="617" ht="18.75" hidden="1" customHeight="1">
      <c r="A617" s="14">
        <v>44722.89325525463</v>
      </c>
      <c r="B617" s="15" t="s">
        <v>465</v>
      </c>
      <c r="C617" s="16" t="s">
        <v>17041</v>
      </c>
      <c r="D617" s="15" t="str">
        <f>IFERROR(__xludf.DUMMYFUNCTION("QUERY(TY_ALL_2023_Batch!$A$1:$E$824, ""SELECT E WHERE C='""&amp;B617&amp;""'"", 0)"),"CHEM")</f>
        <v>CHEM</v>
      </c>
      <c r="E617" s="15" t="s">
        <v>17042</v>
      </c>
      <c r="F617" s="15" t="s">
        <v>4134</v>
      </c>
      <c r="G617" s="15" t="s">
        <v>17043</v>
      </c>
      <c r="H617" s="15" t="s">
        <v>2826</v>
      </c>
      <c r="I617" s="17">
        <v>36890.0</v>
      </c>
      <c r="J617" s="15">
        <v>2019.0</v>
      </c>
      <c r="K617" s="15" t="s">
        <v>2786</v>
      </c>
      <c r="L617" s="15" t="s">
        <v>2787</v>
      </c>
      <c r="M617" s="18"/>
      <c r="N617" s="15" t="s">
        <v>17044</v>
      </c>
      <c r="O617" s="15" t="s">
        <v>17045</v>
      </c>
      <c r="P617" s="19" t="s">
        <v>17046</v>
      </c>
      <c r="Q617" s="15">
        <v>9.029775347E9</v>
      </c>
      <c r="R617" s="15">
        <v>9.029775347E9</v>
      </c>
      <c r="S617" s="18"/>
      <c r="T617" s="15" t="s">
        <v>4134</v>
      </c>
      <c r="U617" s="15" t="s">
        <v>17047</v>
      </c>
      <c r="V617" s="15" t="s">
        <v>17048</v>
      </c>
      <c r="W617" s="18"/>
      <c r="X617" s="15">
        <v>90.4</v>
      </c>
      <c r="Y617" s="15" t="s">
        <v>2795</v>
      </c>
      <c r="Z617" s="15">
        <v>8.48</v>
      </c>
      <c r="AA617" s="15">
        <v>8.57</v>
      </c>
      <c r="AB617" s="15" t="s">
        <v>2796</v>
      </c>
      <c r="AC617" s="15" t="s">
        <v>2796</v>
      </c>
      <c r="AD617" s="15" t="s">
        <v>2796</v>
      </c>
      <c r="AE617" s="15" t="s">
        <v>2796</v>
      </c>
      <c r="AF617" s="15">
        <v>7.63</v>
      </c>
      <c r="AG617" s="15">
        <v>7.86</v>
      </c>
      <c r="AH617" s="15">
        <v>57.0</v>
      </c>
      <c r="AI617" s="18"/>
      <c r="AJ617" s="15" t="s">
        <v>2787</v>
      </c>
      <c r="AK617" s="15" t="s">
        <v>2787</v>
      </c>
      <c r="AL617" s="18"/>
      <c r="AM617" s="18"/>
      <c r="AN617" s="15" t="s">
        <v>2787</v>
      </c>
      <c r="AO617" s="18"/>
      <c r="AP617" s="18"/>
      <c r="AQ617" s="15" t="s">
        <v>17049</v>
      </c>
      <c r="AR617" s="15" t="s">
        <v>17050</v>
      </c>
      <c r="AS617" s="18"/>
      <c r="AT617" s="18"/>
      <c r="AU617" s="18"/>
      <c r="AV617" s="18"/>
      <c r="AW617" s="15" t="s">
        <v>2796</v>
      </c>
      <c r="AX617" s="18"/>
      <c r="AY617" s="15" t="s">
        <v>2796</v>
      </c>
      <c r="AZ617" s="15" t="s">
        <v>4670</v>
      </c>
      <c r="BA617" s="15" t="s">
        <v>2899</v>
      </c>
      <c r="BB617" s="15" t="s">
        <v>2807</v>
      </c>
      <c r="BC617" s="15" t="s">
        <v>2926</v>
      </c>
      <c r="BD617" s="15" t="s">
        <v>2807</v>
      </c>
      <c r="BE617" s="15" t="s">
        <v>2796</v>
      </c>
      <c r="BF617" s="18"/>
      <c r="BG617" s="18"/>
      <c r="BH617" s="18"/>
      <c r="BI617" s="18"/>
      <c r="BJ617" s="19" t="s">
        <v>17051</v>
      </c>
      <c r="BK617" s="19" t="s">
        <v>17052</v>
      </c>
      <c r="BL617" s="18"/>
      <c r="BM617" s="18"/>
      <c r="BN617" s="18"/>
      <c r="BO617" s="19" t="s">
        <v>17053</v>
      </c>
      <c r="BP617" s="18"/>
      <c r="BQ617" s="18"/>
      <c r="BR617" s="18"/>
      <c r="BS617" s="18"/>
      <c r="BT617" s="18"/>
      <c r="BU617" s="18"/>
      <c r="BV617" s="18"/>
      <c r="BW617" s="18"/>
      <c r="BX617" s="18"/>
      <c r="BY617" s="18" t="str">
        <f t="shared" si="108"/>
        <v>CHEM</v>
      </c>
      <c r="BZ617" s="18" t="str">
        <f t="shared" si="100"/>
        <v/>
      </c>
      <c r="CA617" s="18" t="str">
        <f t="shared" si="101"/>
        <v/>
      </c>
      <c r="CB617" s="15" t="s">
        <v>2908</v>
      </c>
      <c r="CC617" s="15" t="s">
        <v>2908</v>
      </c>
      <c r="CD617" s="25" t="s">
        <v>2797</v>
      </c>
      <c r="CE617" s="18"/>
      <c r="CF617" s="18"/>
      <c r="CG617" s="18"/>
    </row>
    <row r="618" ht="18.75" hidden="1" customHeight="1">
      <c r="A618" s="14">
        <v>44722.96106163194</v>
      </c>
      <c r="B618" s="15" t="s">
        <v>510</v>
      </c>
      <c r="C618" s="16" t="s">
        <v>17054</v>
      </c>
      <c r="D618" s="15" t="str">
        <f>IFERROR(__xludf.DUMMYFUNCTION("QUERY(TY_ALL_2023_Batch!$A$1:$E$824, ""SELECT E WHERE C='""&amp;B618&amp;""'"", 0)"),"CHEM")</f>
        <v>CHEM</v>
      </c>
      <c r="E618" s="15" t="s">
        <v>17055</v>
      </c>
      <c r="F618" s="15" t="s">
        <v>6348</v>
      </c>
      <c r="G618" s="15" t="s">
        <v>17056</v>
      </c>
      <c r="H618" s="15" t="s">
        <v>2785</v>
      </c>
      <c r="I618" s="17">
        <v>37203.0</v>
      </c>
      <c r="J618" s="15">
        <v>2019.0</v>
      </c>
      <c r="K618" s="15" t="s">
        <v>2786</v>
      </c>
      <c r="L618" s="15" t="s">
        <v>2787</v>
      </c>
      <c r="M618" s="18"/>
      <c r="N618" s="15" t="s">
        <v>17057</v>
      </c>
      <c r="O618" s="15" t="s">
        <v>510</v>
      </c>
      <c r="P618" s="19" t="s">
        <v>17058</v>
      </c>
      <c r="Q618" s="15">
        <v>6.294192696E9</v>
      </c>
      <c r="R618" s="15">
        <v>6.294192696E9</v>
      </c>
      <c r="S618" s="18"/>
      <c r="T618" s="15" t="s">
        <v>17059</v>
      </c>
      <c r="U618" s="15" t="s">
        <v>17060</v>
      </c>
      <c r="V618" s="15" t="s">
        <v>17061</v>
      </c>
      <c r="W618" s="18"/>
      <c r="X618" s="15">
        <v>91.2</v>
      </c>
      <c r="Y618" s="15" t="s">
        <v>2795</v>
      </c>
      <c r="Z618" s="15">
        <v>9.1</v>
      </c>
      <c r="AA618" s="15">
        <v>8.43</v>
      </c>
      <c r="AB618" s="15" t="s">
        <v>2796</v>
      </c>
      <c r="AC618" s="15" t="s">
        <v>2796</v>
      </c>
      <c r="AD618" s="15" t="s">
        <v>2796</v>
      </c>
      <c r="AE618" s="15" t="s">
        <v>2796</v>
      </c>
      <c r="AF618" s="15">
        <v>9.0</v>
      </c>
      <c r="AG618" s="15">
        <v>9.57</v>
      </c>
      <c r="AH618" s="15">
        <v>87.8</v>
      </c>
      <c r="AI618" s="18"/>
      <c r="AJ618" s="15" t="s">
        <v>2787</v>
      </c>
      <c r="AK618" s="15" t="s">
        <v>2787</v>
      </c>
      <c r="AL618" s="15">
        <v>663.33</v>
      </c>
      <c r="AM618" s="15">
        <v>611.67</v>
      </c>
      <c r="AN618" s="15" t="s">
        <v>2797</v>
      </c>
      <c r="AO618" s="18"/>
      <c r="AP618" s="18"/>
      <c r="AQ618" s="15" t="s">
        <v>17062</v>
      </c>
      <c r="AR618" s="15" t="s">
        <v>17063</v>
      </c>
      <c r="AS618" s="15" t="s">
        <v>17064</v>
      </c>
      <c r="AT618" s="18"/>
      <c r="AU618" s="15" t="s">
        <v>17065</v>
      </c>
      <c r="AV618" s="15" t="s">
        <v>17066</v>
      </c>
      <c r="AW618" s="15" t="s">
        <v>17067</v>
      </c>
      <c r="AX618" s="18"/>
      <c r="AY618" s="15" t="s">
        <v>17068</v>
      </c>
      <c r="AZ618" s="15" t="s">
        <v>2805</v>
      </c>
      <c r="BA618" s="15" t="s">
        <v>2899</v>
      </c>
      <c r="BB618" s="15" t="s">
        <v>2807</v>
      </c>
      <c r="BC618" s="15" t="s">
        <v>17069</v>
      </c>
      <c r="BD618" s="15" t="s">
        <v>2807</v>
      </c>
      <c r="BE618" s="15" t="s">
        <v>17070</v>
      </c>
      <c r="BF618" s="15" t="s">
        <v>17071</v>
      </c>
      <c r="BG618" s="18"/>
      <c r="BH618" s="18"/>
      <c r="BI618" s="15" t="s">
        <v>17072</v>
      </c>
      <c r="BJ618" s="19" t="s">
        <v>17073</v>
      </c>
      <c r="BK618" s="19" t="s">
        <v>17074</v>
      </c>
      <c r="BL618" s="19" t="s">
        <v>17075</v>
      </c>
      <c r="BM618" s="19" t="s">
        <v>17076</v>
      </c>
      <c r="BN618" s="19" t="s">
        <v>17077</v>
      </c>
      <c r="BO618" s="19" t="s">
        <v>17078</v>
      </c>
      <c r="BP618" s="19" t="s">
        <v>17079</v>
      </c>
      <c r="BQ618" s="26"/>
      <c r="BR618" s="26"/>
      <c r="BS618" s="26"/>
      <c r="BT618" s="26"/>
      <c r="BU618" s="26"/>
      <c r="BV618" s="26"/>
      <c r="BW618" s="26"/>
      <c r="BX618" s="26"/>
      <c r="BY618" s="18" t="str">
        <f t="shared" si="108"/>
        <v>CHEM</v>
      </c>
      <c r="BZ618" s="24" t="str">
        <f t="shared" si="100"/>
        <v>https://drive.google.com/open?id=1G93aGhdUIyccVI72_4k4nfkIDNLxVMQJ</v>
      </c>
      <c r="CA618" s="24" t="str">
        <f t="shared" si="101"/>
        <v>https://drive.google.com/open?id=1qgNG0xsO4L8M15q0BJsyUxetnL45BJmy</v>
      </c>
      <c r="CB618" s="15" t="s">
        <v>2821</v>
      </c>
      <c r="CC618" s="15" t="s">
        <v>2821</v>
      </c>
      <c r="CD618" s="25" t="s">
        <v>2797</v>
      </c>
      <c r="CE618" s="18"/>
      <c r="CF618" s="18"/>
      <c r="CG618" s="18"/>
    </row>
    <row r="619" ht="18.75" hidden="1" customHeight="1">
      <c r="A619" s="14">
        <v>44722.96272957176</v>
      </c>
      <c r="B619" s="15" t="s">
        <v>1017</v>
      </c>
      <c r="C619" s="16" t="s">
        <v>17080</v>
      </c>
      <c r="D619" s="15" t="str">
        <f>IFERROR(__xludf.DUMMYFUNCTION("QUERY(TY_ALL_2023_Batch!$A$1:$E$824, ""SELECT E WHERE C='""&amp;B619&amp;""'"", 0)"),"CHEM")</f>
        <v>CHEM</v>
      </c>
      <c r="E619" s="15" t="s">
        <v>17081</v>
      </c>
      <c r="F619" s="15" t="s">
        <v>17082</v>
      </c>
      <c r="G619" s="15" t="s">
        <v>17083</v>
      </c>
      <c r="H619" s="15" t="s">
        <v>2785</v>
      </c>
      <c r="I619" s="17">
        <v>36451.0</v>
      </c>
      <c r="J619" s="15">
        <v>2020.0</v>
      </c>
      <c r="K619" s="15" t="s">
        <v>2941</v>
      </c>
      <c r="L619" s="15" t="s">
        <v>2787</v>
      </c>
      <c r="M619" s="18"/>
      <c r="N619" s="15" t="s">
        <v>17084</v>
      </c>
      <c r="O619" s="15" t="s">
        <v>1017</v>
      </c>
      <c r="P619" s="19" t="s">
        <v>17085</v>
      </c>
      <c r="Q619" s="15">
        <v>7.028968383E9</v>
      </c>
      <c r="R619" s="15">
        <v>7.028968383E9</v>
      </c>
      <c r="S619" s="15">
        <v>7.557571515E9</v>
      </c>
      <c r="T619" s="15" t="s">
        <v>17082</v>
      </c>
      <c r="U619" s="15" t="s">
        <v>17086</v>
      </c>
      <c r="V619" s="15" t="s">
        <v>17087</v>
      </c>
      <c r="W619" s="15" t="s">
        <v>17088</v>
      </c>
      <c r="X619" s="15">
        <v>80.2</v>
      </c>
      <c r="Y619" s="15" t="s">
        <v>2948</v>
      </c>
      <c r="Z619" s="15">
        <v>7.86</v>
      </c>
      <c r="AA619" s="15">
        <v>8.1</v>
      </c>
      <c r="AB619" s="15" t="s">
        <v>2796</v>
      </c>
      <c r="AC619" s="15" t="s">
        <v>2796</v>
      </c>
      <c r="AD619" s="15" t="s">
        <v>2796</v>
      </c>
      <c r="AE619" s="15" t="s">
        <v>2796</v>
      </c>
      <c r="AF619" s="18"/>
      <c r="AG619" s="18"/>
      <c r="AH619" s="18"/>
      <c r="AI619" s="15">
        <v>80.87</v>
      </c>
      <c r="AJ619" s="15" t="s">
        <v>2797</v>
      </c>
      <c r="AK619" s="15" t="s">
        <v>2787</v>
      </c>
      <c r="AL619" s="15" t="s">
        <v>2796</v>
      </c>
      <c r="AM619" s="15" t="s">
        <v>17089</v>
      </c>
      <c r="AN619" s="15" t="s">
        <v>2797</v>
      </c>
      <c r="AO619" s="15" t="s">
        <v>2796</v>
      </c>
      <c r="AP619" s="15" t="s">
        <v>2796</v>
      </c>
      <c r="AQ619" s="15" t="s">
        <v>17090</v>
      </c>
      <c r="AR619" s="15" t="s">
        <v>2796</v>
      </c>
      <c r="AS619" s="15" t="s">
        <v>3372</v>
      </c>
      <c r="AT619" s="15" t="s">
        <v>2796</v>
      </c>
      <c r="AU619" s="15" t="s">
        <v>2796</v>
      </c>
      <c r="AV619" s="15" t="s">
        <v>2796</v>
      </c>
      <c r="AW619" s="15" t="s">
        <v>17091</v>
      </c>
      <c r="AX619" s="15" t="s">
        <v>17092</v>
      </c>
      <c r="AY619" s="15" t="s">
        <v>17093</v>
      </c>
      <c r="AZ619" s="15" t="s">
        <v>2805</v>
      </c>
      <c r="BA619" s="15" t="s">
        <v>4727</v>
      </c>
      <c r="BB619" s="15" t="s">
        <v>2796</v>
      </c>
      <c r="BC619" s="15" t="s">
        <v>3012</v>
      </c>
      <c r="BD619" s="15" t="s">
        <v>2807</v>
      </c>
      <c r="BE619" s="15" t="s">
        <v>2796</v>
      </c>
      <c r="BF619" s="15" t="s">
        <v>2796</v>
      </c>
      <c r="BG619" s="15" t="s">
        <v>2796</v>
      </c>
      <c r="BH619" s="15" t="s">
        <v>2796</v>
      </c>
      <c r="BI619" s="15" t="s">
        <v>17094</v>
      </c>
      <c r="BJ619" s="19" t="s">
        <v>17095</v>
      </c>
      <c r="BK619" s="19" t="s">
        <v>17096</v>
      </c>
      <c r="BL619" s="18"/>
      <c r="BM619" s="18"/>
      <c r="BN619" s="18"/>
      <c r="BO619" s="19" t="s">
        <v>17097</v>
      </c>
      <c r="BP619" s="18"/>
      <c r="BQ619" s="18"/>
      <c r="BR619" s="18"/>
      <c r="BS619" s="18"/>
      <c r="BT619" s="18"/>
      <c r="BU619" s="18"/>
      <c r="BV619" s="18"/>
      <c r="BW619" s="18"/>
      <c r="BX619" s="18"/>
      <c r="BY619" s="18" t="str">
        <f t="shared" si="108"/>
        <v>CHEM</v>
      </c>
      <c r="BZ619" s="18" t="str">
        <f t="shared" si="100"/>
        <v/>
      </c>
      <c r="CA619" s="18" t="str">
        <f t="shared" si="101"/>
        <v/>
      </c>
      <c r="CB619" s="15" t="s">
        <v>2908</v>
      </c>
      <c r="CC619" s="15" t="s">
        <v>2908</v>
      </c>
      <c r="CD619" s="25" t="s">
        <v>2797</v>
      </c>
      <c r="CE619" s="18"/>
      <c r="CF619" s="18"/>
      <c r="CG619" s="18"/>
    </row>
    <row r="620" ht="18.75" hidden="1" customHeight="1">
      <c r="A620" s="14">
        <v>44722.96538376158</v>
      </c>
      <c r="B620" s="15" t="s">
        <v>990</v>
      </c>
      <c r="C620" s="16" t="s">
        <v>17098</v>
      </c>
      <c r="D620" s="15" t="str">
        <f>IFERROR(__xludf.DUMMYFUNCTION("QUERY(TY_ALL_2023_Batch!$A$1:$E$824, ""SELECT E WHERE C='""&amp;B620&amp;""'"", 0)"),"CHEM")</f>
        <v>CHEM</v>
      </c>
      <c r="E620" s="15" t="s">
        <v>17099</v>
      </c>
      <c r="F620" s="15" t="s">
        <v>17100</v>
      </c>
      <c r="G620" s="15" t="s">
        <v>17101</v>
      </c>
      <c r="H620" s="15" t="s">
        <v>2826</v>
      </c>
      <c r="I620" s="17">
        <v>36194.0</v>
      </c>
      <c r="J620" s="15">
        <v>2020.0</v>
      </c>
      <c r="K620" s="15" t="s">
        <v>2941</v>
      </c>
      <c r="L620" s="15" t="s">
        <v>2787</v>
      </c>
      <c r="M620" s="18"/>
      <c r="N620" s="15" t="s">
        <v>17102</v>
      </c>
      <c r="O620" s="15" t="s">
        <v>990</v>
      </c>
      <c r="P620" s="19" t="s">
        <v>15302</v>
      </c>
      <c r="Q620" s="15">
        <v>7.498617181E9</v>
      </c>
      <c r="R620" s="15">
        <v>7.498617181E9</v>
      </c>
      <c r="S620" s="15">
        <v>8.080156878E9</v>
      </c>
      <c r="T620" s="15" t="s">
        <v>17103</v>
      </c>
      <c r="U620" s="15" t="s">
        <v>17104</v>
      </c>
      <c r="V620" s="15" t="s">
        <v>17105</v>
      </c>
      <c r="W620" s="15" t="s">
        <v>17105</v>
      </c>
      <c r="X620" s="15">
        <v>77.8</v>
      </c>
      <c r="Y620" s="15" t="s">
        <v>2948</v>
      </c>
      <c r="Z620" s="15">
        <v>8.71</v>
      </c>
      <c r="AA620" s="15">
        <v>7.81</v>
      </c>
      <c r="AB620" s="15" t="s">
        <v>2796</v>
      </c>
      <c r="AC620" s="15" t="s">
        <v>2796</v>
      </c>
      <c r="AD620" s="15" t="s">
        <v>2796</v>
      </c>
      <c r="AE620" s="15" t="s">
        <v>2796</v>
      </c>
      <c r="AF620" s="18"/>
      <c r="AG620" s="18"/>
      <c r="AH620" s="18"/>
      <c r="AI620" s="15">
        <v>80.42</v>
      </c>
      <c r="AJ620" s="15" t="s">
        <v>2787</v>
      </c>
      <c r="AK620" s="15" t="s">
        <v>2797</v>
      </c>
      <c r="AL620" s="15">
        <v>60.0</v>
      </c>
      <c r="AM620" s="15" t="s">
        <v>2796</v>
      </c>
      <c r="AN620" s="15" t="s">
        <v>2797</v>
      </c>
      <c r="AO620" s="15" t="s">
        <v>2908</v>
      </c>
      <c r="AP620" s="15" t="s">
        <v>2908</v>
      </c>
      <c r="AQ620" s="15" t="s">
        <v>17106</v>
      </c>
      <c r="AR620" s="18"/>
      <c r="AS620" s="15" t="s">
        <v>17107</v>
      </c>
      <c r="AT620" s="18"/>
      <c r="AU620" s="18"/>
      <c r="AV620" s="15" t="s">
        <v>17108</v>
      </c>
      <c r="AW620" s="15" t="s">
        <v>17109</v>
      </c>
      <c r="AX620" s="18"/>
      <c r="AY620" s="15" t="s">
        <v>17110</v>
      </c>
      <c r="AZ620" s="15" t="s">
        <v>2805</v>
      </c>
      <c r="BA620" s="15" t="s">
        <v>2899</v>
      </c>
      <c r="BB620" s="15" t="s">
        <v>2807</v>
      </c>
      <c r="BC620" s="15" t="s">
        <v>17111</v>
      </c>
      <c r="BD620" s="15" t="s">
        <v>2807</v>
      </c>
      <c r="BE620" s="15" t="s">
        <v>2796</v>
      </c>
      <c r="BF620" s="15" t="s">
        <v>2796</v>
      </c>
      <c r="BG620" s="15" t="s">
        <v>2796</v>
      </c>
      <c r="BH620" s="15" t="s">
        <v>17112</v>
      </c>
      <c r="BI620" s="15" t="s">
        <v>2796</v>
      </c>
      <c r="BJ620" s="19" t="s">
        <v>17113</v>
      </c>
      <c r="BK620" s="19" t="s">
        <v>17114</v>
      </c>
      <c r="BL620" s="19" t="s">
        <v>17115</v>
      </c>
      <c r="BM620" s="18"/>
      <c r="BN620" s="18"/>
      <c r="BO620" s="19" t="s">
        <v>17116</v>
      </c>
      <c r="BP620" s="19" t="s">
        <v>17117</v>
      </c>
      <c r="BQ620" s="26"/>
      <c r="BR620" s="26"/>
      <c r="BS620" s="26"/>
      <c r="BT620" s="26"/>
      <c r="BU620" s="26"/>
      <c r="BV620" s="26"/>
      <c r="BW620" s="26"/>
      <c r="BX620" s="26"/>
      <c r="BY620" s="18" t="str">
        <f t="shared" si="108"/>
        <v>CHEM</v>
      </c>
      <c r="BZ620" s="24" t="str">
        <f t="shared" si="100"/>
        <v>https://drive.google.com/open?id=1fM_HqC3fKft7sx-m6RY7LxgjMM2uEjeZ</v>
      </c>
      <c r="CA620" s="18" t="str">
        <f t="shared" si="101"/>
        <v/>
      </c>
      <c r="CB620" s="15" t="s">
        <v>2821</v>
      </c>
      <c r="CC620" s="15" t="s">
        <v>2908</v>
      </c>
      <c r="CD620" s="25" t="s">
        <v>2797</v>
      </c>
      <c r="CE620" s="18"/>
      <c r="CF620" s="18"/>
      <c r="CG620" s="18"/>
    </row>
    <row r="621" ht="18.75" hidden="1" customHeight="1">
      <c r="A621" s="14">
        <v>44722.97499539352</v>
      </c>
      <c r="B621" s="15" t="s">
        <v>981</v>
      </c>
      <c r="C621" s="16" t="s">
        <v>17118</v>
      </c>
      <c r="D621" s="15" t="str">
        <f>IFERROR(__xludf.DUMMYFUNCTION("QUERY(TY_ALL_2023_Batch!$A$1:$E$824, ""SELECT E WHERE C='""&amp;B621&amp;""'"", 0)"),"CHEM")</f>
        <v>CHEM</v>
      </c>
      <c r="E621" s="15" t="s">
        <v>9533</v>
      </c>
      <c r="F621" s="15" t="s">
        <v>17119</v>
      </c>
      <c r="G621" s="15" t="s">
        <v>10540</v>
      </c>
      <c r="H621" s="15" t="s">
        <v>2785</v>
      </c>
      <c r="I621" s="17">
        <v>36598.0</v>
      </c>
      <c r="J621" s="15">
        <v>2020.0</v>
      </c>
      <c r="K621" s="15" t="s">
        <v>2941</v>
      </c>
      <c r="L621" s="15" t="s">
        <v>2787</v>
      </c>
      <c r="M621" s="18"/>
      <c r="N621" s="15" t="s">
        <v>17120</v>
      </c>
      <c r="O621" s="15" t="s">
        <v>981</v>
      </c>
      <c r="P621" s="19" t="s">
        <v>17121</v>
      </c>
      <c r="Q621" s="15">
        <v>9.096416852E9</v>
      </c>
      <c r="R621" s="15">
        <v>9.096416852E9</v>
      </c>
      <c r="S621" s="15">
        <v>9.096416852E9</v>
      </c>
      <c r="T621" s="15" t="s">
        <v>17122</v>
      </c>
      <c r="U621" s="15" t="s">
        <v>17123</v>
      </c>
      <c r="V621" s="15" t="s">
        <v>17124</v>
      </c>
      <c r="W621" s="15" t="s">
        <v>17124</v>
      </c>
      <c r="X621" s="15">
        <v>75.0</v>
      </c>
      <c r="Y621" s="15" t="s">
        <v>2948</v>
      </c>
      <c r="Z621" s="15">
        <v>6.0</v>
      </c>
      <c r="AA621" s="15">
        <v>6.81</v>
      </c>
      <c r="AB621" s="15" t="s">
        <v>2796</v>
      </c>
      <c r="AC621" s="15" t="s">
        <v>2796</v>
      </c>
      <c r="AD621" s="15" t="s">
        <v>2796</v>
      </c>
      <c r="AE621" s="15" t="s">
        <v>2796</v>
      </c>
      <c r="AF621" s="18"/>
      <c r="AG621" s="18"/>
      <c r="AH621" s="18"/>
      <c r="AI621" s="15">
        <v>82.33</v>
      </c>
      <c r="AJ621" s="15" t="s">
        <v>2797</v>
      </c>
      <c r="AK621" s="15" t="s">
        <v>2787</v>
      </c>
      <c r="AL621" s="18"/>
      <c r="AM621" s="18"/>
      <c r="AN621" s="15" t="s">
        <v>2797</v>
      </c>
      <c r="AO621" s="15" t="s">
        <v>11194</v>
      </c>
      <c r="AP621" s="15" t="s">
        <v>11194</v>
      </c>
      <c r="AQ621" s="15" t="s">
        <v>2787</v>
      </c>
      <c r="AR621" s="15" t="s">
        <v>17125</v>
      </c>
      <c r="AS621" s="15" t="s">
        <v>17125</v>
      </c>
      <c r="AT621" s="15" t="s">
        <v>2797</v>
      </c>
      <c r="AU621" s="15" t="s">
        <v>17126</v>
      </c>
      <c r="AV621" s="18"/>
      <c r="AW621" s="15" t="s">
        <v>17127</v>
      </c>
      <c r="AX621" s="18"/>
      <c r="AY621" s="15" t="s">
        <v>17128</v>
      </c>
      <c r="AZ621" s="15" t="s">
        <v>2805</v>
      </c>
      <c r="BA621" s="15" t="s">
        <v>2870</v>
      </c>
      <c r="BB621" s="15" t="s">
        <v>2807</v>
      </c>
      <c r="BC621" s="15" t="s">
        <v>3988</v>
      </c>
      <c r="BD621" s="15" t="s">
        <v>2807</v>
      </c>
      <c r="BE621" s="15" t="s">
        <v>2796</v>
      </c>
      <c r="BF621" s="15" t="s">
        <v>17129</v>
      </c>
      <c r="BG621" s="18"/>
      <c r="BH621" s="18"/>
      <c r="BI621" s="18"/>
      <c r="BJ621" s="19" t="s">
        <v>17130</v>
      </c>
      <c r="BK621" s="19" t="s">
        <v>17131</v>
      </c>
      <c r="BL621" s="18"/>
      <c r="BM621" s="18"/>
      <c r="BN621" s="18"/>
      <c r="BO621" s="19" t="s">
        <v>17132</v>
      </c>
      <c r="BP621" s="18"/>
      <c r="BQ621" s="18"/>
      <c r="BR621" s="18"/>
      <c r="BS621" s="18"/>
      <c r="BT621" s="18"/>
      <c r="BU621" s="18"/>
      <c r="BV621" s="18"/>
      <c r="BW621" s="18"/>
      <c r="BX621" s="18"/>
      <c r="BY621" s="18" t="str">
        <f t="shared" si="108"/>
        <v>CHEM</v>
      </c>
      <c r="BZ621" s="18" t="str">
        <f t="shared" si="100"/>
        <v/>
      </c>
      <c r="CA621" s="18" t="str">
        <f t="shared" si="101"/>
        <v/>
      </c>
      <c r="CB621" s="15" t="s">
        <v>2908</v>
      </c>
      <c r="CC621" s="15" t="s">
        <v>2908</v>
      </c>
      <c r="CD621" s="25" t="s">
        <v>2797</v>
      </c>
      <c r="CE621" s="18"/>
      <c r="CF621" s="18"/>
      <c r="CG621" s="18"/>
    </row>
    <row r="622" ht="18.75" hidden="1" customHeight="1">
      <c r="A622" s="14">
        <v>44722.95387982639</v>
      </c>
      <c r="B622" s="15" t="s">
        <v>296</v>
      </c>
      <c r="C622" s="16" t="s">
        <v>17133</v>
      </c>
      <c r="D622" s="15" t="str">
        <f>IFERROR(__xludf.DUMMYFUNCTION("QUERY(TY_ALL_2023_Batch!$A$1:$E$824, ""SELECT E WHERE C='""&amp;B622&amp;""'"", 0)"),"CIVIL")</f>
        <v>CIVIL</v>
      </c>
      <c r="E622" s="15" t="s">
        <v>17134</v>
      </c>
      <c r="F622" s="15" t="s">
        <v>4317</v>
      </c>
      <c r="G622" s="15" t="s">
        <v>17135</v>
      </c>
      <c r="H622" s="15" t="s">
        <v>2785</v>
      </c>
      <c r="I622" s="17">
        <v>37127.0</v>
      </c>
      <c r="J622" s="15">
        <v>2019.0</v>
      </c>
      <c r="K622" s="15" t="s">
        <v>2786</v>
      </c>
      <c r="L622" s="15" t="s">
        <v>2787</v>
      </c>
      <c r="M622" s="18"/>
      <c r="N622" s="15" t="s">
        <v>17136</v>
      </c>
      <c r="O622" s="15" t="s">
        <v>17137</v>
      </c>
      <c r="P622" s="19" t="s">
        <v>17138</v>
      </c>
      <c r="Q622" s="15">
        <v>9.923700025E9</v>
      </c>
      <c r="R622" s="15">
        <v>9.923700025E9</v>
      </c>
      <c r="S622" s="15">
        <v>9.881247664E9</v>
      </c>
      <c r="T622" s="15" t="s">
        <v>4317</v>
      </c>
      <c r="U622" s="15" t="s">
        <v>17139</v>
      </c>
      <c r="V622" s="15" t="s">
        <v>17140</v>
      </c>
      <c r="W622" s="15" t="s">
        <v>17141</v>
      </c>
      <c r="X622" s="15">
        <v>82.4</v>
      </c>
      <c r="Y622" s="15" t="s">
        <v>2795</v>
      </c>
      <c r="Z622" s="15">
        <v>7.6</v>
      </c>
      <c r="AA622" s="15">
        <v>7.8</v>
      </c>
      <c r="AB622" s="15" t="s">
        <v>2796</v>
      </c>
      <c r="AC622" s="15" t="s">
        <v>2796</v>
      </c>
      <c r="AD622" s="15" t="s">
        <v>2796</v>
      </c>
      <c r="AE622" s="15" t="s">
        <v>2796</v>
      </c>
      <c r="AF622" s="15">
        <v>7.9</v>
      </c>
      <c r="AG622" s="15">
        <v>7.8</v>
      </c>
      <c r="AH622" s="15">
        <v>58.15</v>
      </c>
      <c r="AI622" s="18"/>
      <c r="AJ622" s="15" t="s">
        <v>2787</v>
      </c>
      <c r="AK622" s="15" t="s">
        <v>2787</v>
      </c>
      <c r="AL622" s="15">
        <v>543.33</v>
      </c>
      <c r="AM622" s="15">
        <v>453.0</v>
      </c>
      <c r="AN622" s="15" t="s">
        <v>2797</v>
      </c>
      <c r="AO622" s="18"/>
      <c r="AP622" s="18"/>
      <c r="AQ622" s="15" t="s">
        <v>4353</v>
      </c>
      <c r="AR622" s="15" t="s">
        <v>3005</v>
      </c>
      <c r="AS622" s="15" t="s">
        <v>17142</v>
      </c>
      <c r="AT622" s="15" t="s">
        <v>3005</v>
      </c>
      <c r="AU622" s="15" t="s">
        <v>4353</v>
      </c>
      <c r="AV622" s="15" t="s">
        <v>17143</v>
      </c>
      <c r="AW622" s="15" t="s">
        <v>17144</v>
      </c>
      <c r="AX622" s="15" t="s">
        <v>3313</v>
      </c>
      <c r="AY622" s="15" t="s">
        <v>3313</v>
      </c>
      <c r="AZ622" s="15" t="s">
        <v>4216</v>
      </c>
      <c r="BA622" s="15" t="s">
        <v>2899</v>
      </c>
      <c r="BB622" s="15" t="s">
        <v>2807</v>
      </c>
      <c r="BC622" s="15" t="s">
        <v>17145</v>
      </c>
      <c r="BD622" s="15" t="s">
        <v>2807</v>
      </c>
      <c r="BE622" s="15" t="s">
        <v>17146</v>
      </c>
      <c r="BF622" s="15" t="s">
        <v>3313</v>
      </c>
      <c r="BG622" s="15" t="s">
        <v>3313</v>
      </c>
      <c r="BH622" s="15" t="s">
        <v>3313</v>
      </c>
      <c r="BI622" s="15" t="s">
        <v>17147</v>
      </c>
      <c r="BJ622" s="19" t="s">
        <v>17148</v>
      </c>
      <c r="BK622" s="19" t="s">
        <v>17149</v>
      </c>
      <c r="BL622" s="18"/>
      <c r="BM622" s="18"/>
      <c r="BN622" s="20" t="s">
        <v>17150</v>
      </c>
      <c r="BO622" s="19" t="s">
        <v>17151</v>
      </c>
      <c r="BP622" s="19" t="s">
        <v>17152</v>
      </c>
      <c r="BQ622" s="26"/>
      <c r="BR622" s="26"/>
      <c r="BS622" s="26"/>
      <c r="BT622" s="26"/>
      <c r="BU622" s="26"/>
      <c r="BV622" s="26"/>
      <c r="BW622" s="26"/>
      <c r="BX622" s="26"/>
      <c r="BY622" s="18" t="str">
        <f t="shared" si="108"/>
        <v>CIVIL</v>
      </c>
      <c r="BZ622" s="18" t="str">
        <f t="shared" si="100"/>
        <v/>
      </c>
      <c r="CA622" s="18" t="str">
        <f t="shared" si="101"/>
        <v/>
      </c>
      <c r="CB622" s="15" t="s">
        <v>2908</v>
      </c>
      <c r="CC622" s="15" t="s">
        <v>2908</v>
      </c>
      <c r="CD622" s="25" t="s">
        <v>2787</v>
      </c>
      <c r="CE622" s="18"/>
      <c r="CF622" s="18"/>
      <c r="CG622" s="18"/>
    </row>
    <row r="623" ht="18.75" hidden="1" customHeight="1">
      <c r="A623" s="14">
        <v>44722.53347011574</v>
      </c>
      <c r="B623" s="15" t="s">
        <v>260</v>
      </c>
      <c r="C623" s="16" t="s">
        <v>17153</v>
      </c>
      <c r="D623" s="15" t="str">
        <f>IFERROR(__xludf.DUMMYFUNCTION("QUERY(TY_ALL_2023_Batch!$A$1:$E$824, ""SELECT E WHERE C='""&amp;B623&amp;""'"", 0)"),"CIVIL")</f>
        <v>CIVIL</v>
      </c>
      <c r="E623" s="15" t="s">
        <v>17154</v>
      </c>
      <c r="F623" s="15" t="s">
        <v>6015</v>
      </c>
      <c r="G623" s="15" t="s">
        <v>17155</v>
      </c>
      <c r="H623" s="15" t="s">
        <v>2826</v>
      </c>
      <c r="I623" s="17">
        <v>37010.0</v>
      </c>
      <c r="J623" s="15">
        <v>2019.0</v>
      </c>
      <c r="K623" s="15" t="s">
        <v>2786</v>
      </c>
      <c r="L623" s="15" t="s">
        <v>2787</v>
      </c>
      <c r="M623" s="18"/>
      <c r="N623" s="15" t="s">
        <v>17156</v>
      </c>
      <c r="O623" s="15" t="s">
        <v>260</v>
      </c>
      <c r="P623" s="19" t="s">
        <v>17157</v>
      </c>
      <c r="Q623" s="15">
        <v>9.860569396E9</v>
      </c>
      <c r="R623" s="15">
        <v>7.350534699E9</v>
      </c>
      <c r="S623" s="15">
        <v>9.860569396E9</v>
      </c>
      <c r="T623" s="15" t="s">
        <v>17158</v>
      </c>
      <c r="U623" s="15" t="s">
        <v>17159</v>
      </c>
      <c r="V623" s="15" t="s">
        <v>17160</v>
      </c>
      <c r="W623" s="15" t="s">
        <v>4453</v>
      </c>
      <c r="X623" s="15">
        <v>94.48</v>
      </c>
      <c r="Y623" s="15" t="s">
        <v>2795</v>
      </c>
      <c r="Z623" s="15">
        <v>9.33</v>
      </c>
      <c r="AA623" s="15">
        <v>8.52</v>
      </c>
      <c r="AB623" s="15" t="s">
        <v>2796</v>
      </c>
      <c r="AC623" s="15" t="s">
        <v>2796</v>
      </c>
      <c r="AD623" s="15" t="s">
        <v>2796</v>
      </c>
      <c r="AE623" s="15" t="s">
        <v>2796</v>
      </c>
      <c r="AF623" s="15">
        <v>8.21</v>
      </c>
      <c r="AG623" s="15">
        <v>7.81</v>
      </c>
      <c r="AH623" s="15">
        <v>79.2</v>
      </c>
      <c r="AI623" s="18"/>
      <c r="AJ623" s="15" t="s">
        <v>2787</v>
      </c>
      <c r="AK623" s="15" t="s">
        <v>2787</v>
      </c>
      <c r="AL623" s="15" t="s">
        <v>17161</v>
      </c>
      <c r="AM623" s="18"/>
      <c r="AN623" s="15" t="s">
        <v>2797</v>
      </c>
      <c r="AO623" s="15" t="s">
        <v>2796</v>
      </c>
      <c r="AP623" s="15" t="s">
        <v>2796</v>
      </c>
      <c r="AQ623" s="15" t="s">
        <v>17162</v>
      </c>
      <c r="AR623" s="15" t="s">
        <v>4455</v>
      </c>
      <c r="AS623" s="15" t="s">
        <v>4455</v>
      </c>
      <c r="AT623" s="15" t="s">
        <v>2796</v>
      </c>
      <c r="AU623" s="15" t="s">
        <v>17163</v>
      </c>
      <c r="AV623" s="15" t="s">
        <v>17164</v>
      </c>
      <c r="AW623" s="15" t="s">
        <v>17165</v>
      </c>
      <c r="AX623" s="15" t="s">
        <v>2796</v>
      </c>
      <c r="AY623" s="15" t="s">
        <v>2796</v>
      </c>
      <c r="AZ623" s="15" t="s">
        <v>4216</v>
      </c>
      <c r="BA623" s="15" t="s">
        <v>2925</v>
      </c>
      <c r="BB623" s="15" t="s">
        <v>2807</v>
      </c>
      <c r="BC623" s="15" t="s">
        <v>17166</v>
      </c>
      <c r="BD623" s="15" t="s">
        <v>2807</v>
      </c>
      <c r="BE623" s="15" t="s">
        <v>17167</v>
      </c>
      <c r="BF623" s="15" t="s">
        <v>2796</v>
      </c>
      <c r="BG623" s="18"/>
      <c r="BH623" s="15" t="s">
        <v>17168</v>
      </c>
      <c r="BI623" s="15" t="s">
        <v>17169</v>
      </c>
      <c r="BJ623" s="19" t="s">
        <v>17170</v>
      </c>
      <c r="BK623" s="19" t="s">
        <v>17171</v>
      </c>
      <c r="BL623" s="19" t="s">
        <v>17172</v>
      </c>
      <c r="BM623" s="18"/>
      <c r="BN623" s="18"/>
      <c r="BO623" s="19" t="s">
        <v>17173</v>
      </c>
      <c r="BP623" s="18"/>
      <c r="BQ623" s="18"/>
      <c r="BR623" s="18"/>
      <c r="BS623" s="18"/>
      <c r="BT623" s="18"/>
      <c r="BU623" s="18"/>
      <c r="BV623" s="18"/>
      <c r="BW623" s="18"/>
      <c r="BX623" s="18"/>
      <c r="BY623" s="18" t="str">
        <f t="shared" si="108"/>
        <v>CIVIL</v>
      </c>
      <c r="BZ623" s="24" t="str">
        <f t="shared" si="100"/>
        <v>https://drive.google.com/open?id=1-ak525gRxq8nyfL8Le0VePagQ1BqYbQN</v>
      </c>
      <c r="CA623" s="18" t="str">
        <f t="shared" si="101"/>
        <v/>
      </c>
      <c r="CB623" s="15" t="s">
        <v>2821</v>
      </c>
      <c r="CC623" s="15" t="s">
        <v>2908</v>
      </c>
      <c r="CD623" s="25" t="s">
        <v>2797</v>
      </c>
      <c r="CE623" s="18"/>
      <c r="CF623" s="18"/>
      <c r="CG623" s="18"/>
    </row>
    <row r="624" ht="18.75" hidden="1" customHeight="1">
      <c r="A624" s="14">
        <v>44722.620722824075</v>
      </c>
      <c r="B624" s="15" t="s">
        <v>317</v>
      </c>
      <c r="C624" s="16" t="s">
        <v>17174</v>
      </c>
      <c r="D624" s="15" t="str">
        <f>IFERROR(__xludf.DUMMYFUNCTION("QUERY(TY_ALL_2023_Batch!$A$1:$E$824, ""SELECT E WHERE C='""&amp;B624&amp;""'"", 0)"),"CIVIL")</f>
        <v>CIVIL</v>
      </c>
      <c r="E624" s="15" t="s">
        <v>3498</v>
      </c>
      <c r="F624" s="15" t="s">
        <v>11188</v>
      </c>
      <c r="G624" s="15" t="s">
        <v>17175</v>
      </c>
      <c r="H624" s="15" t="s">
        <v>2785</v>
      </c>
      <c r="I624" s="17">
        <v>37068.0</v>
      </c>
      <c r="J624" s="15">
        <v>2019.0</v>
      </c>
      <c r="K624" s="15" t="s">
        <v>2786</v>
      </c>
      <c r="L624" s="15" t="s">
        <v>2787</v>
      </c>
      <c r="M624" s="18"/>
      <c r="N624" s="15" t="s">
        <v>17176</v>
      </c>
      <c r="O624" s="15" t="s">
        <v>317</v>
      </c>
      <c r="P624" s="19" t="s">
        <v>17177</v>
      </c>
      <c r="Q624" s="15">
        <v>9.730942152E9</v>
      </c>
      <c r="R624" s="15">
        <v>9.579293498E9</v>
      </c>
      <c r="S624" s="15">
        <v>9.730942147E9</v>
      </c>
      <c r="T624" s="15" t="s">
        <v>11188</v>
      </c>
      <c r="U624" s="15" t="s">
        <v>17178</v>
      </c>
      <c r="V624" s="15" t="s">
        <v>17179</v>
      </c>
      <c r="W624" s="15" t="s">
        <v>17180</v>
      </c>
      <c r="X624" s="15">
        <v>62.6</v>
      </c>
      <c r="Y624" s="15" t="s">
        <v>2795</v>
      </c>
      <c r="Z624" s="15">
        <v>6.7</v>
      </c>
      <c r="AA624" s="15">
        <v>7.0</v>
      </c>
      <c r="AB624" s="15">
        <v>6.5</v>
      </c>
      <c r="AC624" s="15" t="s">
        <v>2796</v>
      </c>
      <c r="AD624" s="15" t="s">
        <v>2796</v>
      </c>
      <c r="AE624" s="15" t="s">
        <v>2796</v>
      </c>
      <c r="AF624" s="15">
        <v>6.7</v>
      </c>
      <c r="AG624" s="15">
        <v>6.72</v>
      </c>
      <c r="AH624" s="15">
        <v>66.2</v>
      </c>
      <c r="AI624" s="18"/>
      <c r="AJ624" s="15" t="s">
        <v>2787</v>
      </c>
      <c r="AK624" s="15" t="s">
        <v>2797</v>
      </c>
      <c r="AL624" s="15" t="s">
        <v>3313</v>
      </c>
      <c r="AM624" s="15" t="s">
        <v>3313</v>
      </c>
      <c r="AN624" s="15" t="s">
        <v>2787</v>
      </c>
      <c r="AO624" s="15" t="s">
        <v>3313</v>
      </c>
      <c r="AP624" s="15" t="s">
        <v>3313</v>
      </c>
      <c r="AQ624" s="15" t="s">
        <v>4241</v>
      </c>
      <c r="AR624" s="15" t="s">
        <v>3313</v>
      </c>
      <c r="AS624" s="15" t="s">
        <v>3313</v>
      </c>
      <c r="AT624" s="15" t="s">
        <v>3313</v>
      </c>
      <c r="AU624" s="15" t="s">
        <v>3313</v>
      </c>
      <c r="AV624" s="15" t="s">
        <v>17181</v>
      </c>
      <c r="AW624" s="15" t="s">
        <v>17182</v>
      </c>
      <c r="AX624" s="15" t="s">
        <v>3313</v>
      </c>
      <c r="AY624" s="15" t="s">
        <v>3313</v>
      </c>
      <c r="AZ624" s="15" t="s">
        <v>4216</v>
      </c>
      <c r="BA624" s="15" t="s">
        <v>2899</v>
      </c>
      <c r="BB624" s="15" t="s">
        <v>2807</v>
      </c>
      <c r="BC624" s="15" t="s">
        <v>3686</v>
      </c>
      <c r="BD624" s="15" t="s">
        <v>2807</v>
      </c>
      <c r="BE624" s="15" t="s">
        <v>3313</v>
      </c>
      <c r="BF624" s="15" t="s">
        <v>3313</v>
      </c>
      <c r="BG624" s="15" t="s">
        <v>3313</v>
      </c>
      <c r="BH624" s="15" t="s">
        <v>3313</v>
      </c>
      <c r="BI624" s="15" t="s">
        <v>3313</v>
      </c>
      <c r="BJ624" s="19" t="s">
        <v>17183</v>
      </c>
      <c r="BK624" s="19" t="s">
        <v>17184</v>
      </c>
      <c r="BL624" s="18"/>
      <c r="BM624" s="18"/>
      <c r="BN624" s="18"/>
      <c r="BO624" s="19" t="s">
        <v>17185</v>
      </c>
      <c r="BP624" s="19" t="s">
        <v>17186</v>
      </c>
      <c r="BQ624" s="26"/>
      <c r="BR624" s="26"/>
      <c r="BS624" s="26"/>
      <c r="BT624" s="26"/>
      <c r="BU624" s="26"/>
      <c r="BV624" s="26"/>
      <c r="BW624" s="26"/>
      <c r="BX624" s="26"/>
      <c r="BY624" s="18" t="str">
        <f t="shared" si="108"/>
        <v>CIVIL</v>
      </c>
      <c r="BZ624" s="18" t="str">
        <f t="shared" si="100"/>
        <v/>
      </c>
      <c r="CA624" s="18" t="str">
        <f t="shared" si="101"/>
        <v/>
      </c>
      <c r="CB624" s="15" t="s">
        <v>2908</v>
      </c>
      <c r="CC624" s="15" t="s">
        <v>2908</v>
      </c>
      <c r="CD624" s="25" t="s">
        <v>2797</v>
      </c>
      <c r="CE624" s="18"/>
      <c r="CF624" s="18"/>
      <c r="CG624" s="18"/>
    </row>
    <row r="625" ht="18.75" hidden="1" customHeight="1">
      <c r="A625" s="14">
        <v>44722.82384697917</v>
      </c>
      <c r="B625" s="15" t="s">
        <v>320</v>
      </c>
      <c r="C625" s="16" t="s">
        <v>17187</v>
      </c>
      <c r="D625" s="15" t="str">
        <f>IFERROR(__xludf.DUMMYFUNCTION("QUERY(TY_ALL_2023_Batch!$A$1:$E$824, ""SELECT E WHERE C='""&amp;B625&amp;""'"", 0)"),"CIVIL")</f>
        <v>CIVIL</v>
      </c>
      <c r="E625" s="15" t="s">
        <v>17188</v>
      </c>
      <c r="F625" s="15" t="s">
        <v>17189</v>
      </c>
      <c r="G625" s="15" t="s">
        <v>2973</v>
      </c>
      <c r="H625" s="15" t="s">
        <v>2785</v>
      </c>
      <c r="I625" s="17">
        <v>37274.0</v>
      </c>
      <c r="J625" s="15">
        <v>2019.0</v>
      </c>
      <c r="K625" s="15" t="s">
        <v>2786</v>
      </c>
      <c r="L625" s="15" t="s">
        <v>2787</v>
      </c>
      <c r="M625" s="18"/>
      <c r="N625" s="15" t="s">
        <v>17190</v>
      </c>
      <c r="O625" s="15" t="s">
        <v>320</v>
      </c>
      <c r="P625" s="19" t="s">
        <v>17191</v>
      </c>
      <c r="Q625" s="15">
        <v>7.03872311E9</v>
      </c>
      <c r="R625" s="15">
        <v>7.03872311E9</v>
      </c>
      <c r="S625" s="15">
        <v>7.385991131E9</v>
      </c>
      <c r="T625" s="15" t="s">
        <v>17189</v>
      </c>
      <c r="U625" s="15" t="s">
        <v>17192</v>
      </c>
      <c r="V625" s="15" t="s">
        <v>17193</v>
      </c>
      <c r="W625" s="15" t="s">
        <v>17194</v>
      </c>
      <c r="X625" s="15">
        <v>90.2</v>
      </c>
      <c r="Y625" s="15" t="s">
        <v>2795</v>
      </c>
      <c r="Z625" s="15">
        <v>7.81</v>
      </c>
      <c r="AA625" s="15">
        <v>8.1</v>
      </c>
      <c r="AB625" s="15" t="s">
        <v>2796</v>
      </c>
      <c r="AC625" s="15" t="s">
        <v>2796</v>
      </c>
      <c r="AD625" s="15" t="s">
        <v>2796</v>
      </c>
      <c r="AE625" s="15" t="s">
        <v>2796</v>
      </c>
      <c r="AF625" s="15">
        <v>7.95</v>
      </c>
      <c r="AG625" s="15">
        <v>8.1</v>
      </c>
      <c r="AH625" s="15">
        <v>74.92</v>
      </c>
      <c r="AI625" s="18"/>
      <c r="AJ625" s="15" t="s">
        <v>2787</v>
      </c>
      <c r="AK625" s="15" t="s">
        <v>2787</v>
      </c>
      <c r="AL625" s="18"/>
      <c r="AM625" s="18"/>
      <c r="AN625" s="15" t="s">
        <v>2797</v>
      </c>
      <c r="AO625" s="15" t="s">
        <v>2796</v>
      </c>
      <c r="AP625" s="15" t="s">
        <v>2796</v>
      </c>
      <c r="AQ625" s="15" t="s">
        <v>17195</v>
      </c>
      <c r="AR625" s="18"/>
      <c r="AS625" s="18"/>
      <c r="AT625" s="18"/>
      <c r="AU625" s="18"/>
      <c r="AV625" s="15" t="s">
        <v>17196</v>
      </c>
      <c r="AW625" s="15" t="s">
        <v>17197</v>
      </c>
      <c r="AX625" s="18"/>
      <c r="AY625" s="15" t="s">
        <v>4643</v>
      </c>
      <c r="AZ625" s="15" t="s">
        <v>4216</v>
      </c>
      <c r="BA625" s="15" t="s">
        <v>8441</v>
      </c>
      <c r="BB625" s="15" t="s">
        <v>2807</v>
      </c>
      <c r="BC625" s="15" t="s">
        <v>17198</v>
      </c>
      <c r="BD625" s="15" t="s">
        <v>2807</v>
      </c>
      <c r="BE625" s="15" t="s">
        <v>2796</v>
      </c>
      <c r="BF625" s="18"/>
      <c r="BG625" s="18"/>
      <c r="BH625" s="18"/>
      <c r="BI625" s="18"/>
      <c r="BJ625" s="19" t="s">
        <v>17199</v>
      </c>
      <c r="BK625" s="19" t="s">
        <v>17200</v>
      </c>
      <c r="BL625" s="18"/>
      <c r="BM625" s="18"/>
      <c r="BN625" s="18"/>
      <c r="BO625" s="19" t="s">
        <v>17201</v>
      </c>
      <c r="BP625" s="19" t="s">
        <v>17202</v>
      </c>
      <c r="BQ625" s="26"/>
      <c r="BR625" s="26"/>
      <c r="BS625" s="26"/>
      <c r="BT625" s="26"/>
      <c r="BU625" s="26"/>
      <c r="BV625" s="26"/>
      <c r="BW625" s="26"/>
      <c r="BX625" s="26"/>
      <c r="BY625" s="18" t="str">
        <f t="shared" si="108"/>
        <v>CIVIL</v>
      </c>
      <c r="BZ625" s="18" t="str">
        <f t="shared" si="100"/>
        <v/>
      </c>
      <c r="CA625" s="18" t="str">
        <f t="shared" si="101"/>
        <v/>
      </c>
      <c r="CB625" s="15" t="s">
        <v>2908</v>
      </c>
      <c r="CC625" s="15" t="s">
        <v>2908</v>
      </c>
      <c r="CD625" s="25" t="s">
        <v>2797</v>
      </c>
      <c r="CE625" s="18"/>
      <c r="CF625" s="18"/>
      <c r="CG625" s="18"/>
    </row>
    <row r="626" ht="18.75" hidden="1" customHeight="1">
      <c r="A626" s="14">
        <v>44722.84672572916</v>
      </c>
      <c r="B626" s="15" t="s">
        <v>257</v>
      </c>
      <c r="C626" s="16" t="s">
        <v>17203</v>
      </c>
      <c r="D626" s="15" t="str">
        <f>IFERROR(__xludf.DUMMYFUNCTION("QUERY(TY_ALL_2023_Batch!$A$1:$E$824, ""SELECT E WHERE C='""&amp;B626&amp;""'"", 0)"),"CIVIL")</f>
        <v>CIVIL</v>
      </c>
      <c r="E626" s="15" t="s">
        <v>17204</v>
      </c>
      <c r="F626" s="15" t="s">
        <v>17205</v>
      </c>
      <c r="G626" s="15" t="s">
        <v>17206</v>
      </c>
      <c r="H626" s="15" t="s">
        <v>2785</v>
      </c>
      <c r="I626" s="17">
        <v>36419.0</v>
      </c>
      <c r="J626" s="15">
        <v>2019.0</v>
      </c>
      <c r="K626" s="15" t="s">
        <v>2786</v>
      </c>
      <c r="L626" s="15" t="s">
        <v>2787</v>
      </c>
      <c r="M626" s="18"/>
      <c r="N626" s="15" t="s">
        <v>17207</v>
      </c>
      <c r="O626" s="15" t="s">
        <v>257</v>
      </c>
      <c r="P626" s="19" t="s">
        <v>17208</v>
      </c>
      <c r="Q626" s="15">
        <v>8.83088881E9</v>
      </c>
      <c r="R626" s="15">
        <v>8.83088881E9</v>
      </c>
      <c r="S626" s="18"/>
      <c r="T626" s="15" t="s">
        <v>17209</v>
      </c>
      <c r="U626" s="15" t="s">
        <v>17210</v>
      </c>
      <c r="V626" s="15" t="s">
        <v>17211</v>
      </c>
      <c r="W626" s="15" t="s">
        <v>17212</v>
      </c>
      <c r="X626" s="15">
        <v>81.4</v>
      </c>
      <c r="Y626" s="15" t="s">
        <v>2795</v>
      </c>
      <c r="Z626" s="15">
        <v>5.1</v>
      </c>
      <c r="AA626" s="15">
        <v>4.62</v>
      </c>
      <c r="AB626" s="15" t="s">
        <v>2796</v>
      </c>
      <c r="AC626" s="15" t="s">
        <v>2796</v>
      </c>
      <c r="AD626" s="15" t="s">
        <v>2796</v>
      </c>
      <c r="AE626" s="15" t="s">
        <v>2796</v>
      </c>
      <c r="AF626" s="15">
        <v>7.79</v>
      </c>
      <c r="AG626" s="15">
        <v>7.29</v>
      </c>
      <c r="AH626" s="15">
        <v>58.46</v>
      </c>
      <c r="AI626" s="18"/>
      <c r="AJ626" s="15" t="s">
        <v>2787</v>
      </c>
      <c r="AK626" s="15" t="s">
        <v>2787</v>
      </c>
      <c r="AL626" s="18"/>
      <c r="AM626" s="18"/>
      <c r="AN626" s="15" t="s">
        <v>2787</v>
      </c>
      <c r="AO626" s="15" t="s">
        <v>17213</v>
      </c>
      <c r="AP626" s="15" t="s">
        <v>17214</v>
      </c>
      <c r="AQ626" s="15" t="s">
        <v>4941</v>
      </c>
      <c r="AR626" s="18"/>
      <c r="AS626" s="18"/>
      <c r="AT626" s="18"/>
      <c r="AU626" s="18"/>
      <c r="AV626" s="15" t="s">
        <v>17215</v>
      </c>
      <c r="AW626" s="15" t="s">
        <v>17216</v>
      </c>
      <c r="AX626" s="18"/>
      <c r="AY626" s="15" t="s">
        <v>17217</v>
      </c>
      <c r="AZ626" s="15" t="s">
        <v>4216</v>
      </c>
      <c r="BA626" s="15" t="s">
        <v>8304</v>
      </c>
      <c r="BB626" s="15" t="s">
        <v>8304</v>
      </c>
      <c r="BC626" s="15" t="s">
        <v>4241</v>
      </c>
      <c r="BD626" s="15" t="s">
        <v>2807</v>
      </c>
      <c r="BE626" s="15" t="s">
        <v>2796</v>
      </c>
      <c r="BF626" s="18"/>
      <c r="BG626" s="18"/>
      <c r="BH626" s="18"/>
      <c r="BI626" s="18"/>
      <c r="BJ626" s="19" t="s">
        <v>17218</v>
      </c>
      <c r="BK626" s="19" t="s">
        <v>17219</v>
      </c>
      <c r="BL626" s="18"/>
      <c r="BM626" s="18"/>
      <c r="BN626" s="18"/>
      <c r="BO626" s="19" t="s">
        <v>17220</v>
      </c>
      <c r="BP626" s="19" t="s">
        <v>17221</v>
      </c>
      <c r="BQ626" s="26"/>
      <c r="BR626" s="26"/>
      <c r="BS626" s="26"/>
      <c r="BT626" s="26"/>
      <c r="BU626" s="26"/>
      <c r="BV626" s="26"/>
      <c r="BW626" s="26"/>
      <c r="BX626" s="26"/>
      <c r="BY626" s="18" t="str">
        <f t="shared" si="108"/>
        <v>CIVIL</v>
      </c>
      <c r="BZ626" s="18" t="str">
        <f t="shared" si="100"/>
        <v/>
      </c>
      <c r="CA626" s="18" t="str">
        <f t="shared" si="101"/>
        <v/>
      </c>
      <c r="CB626" s="15" t="s">
        <v>2908</v>
      </c>
      <c r="CC626" s="15" t="s">
        <v>2908</v>
      </c>
      <c r="CD626" s="25" t="s">
        <v>2797</v>
      </c>
      <c r="CE626" s="18"/>
      <c r="CF626" s="18"/>
      <c r="CG626" s="18"/>
    </row>
    <row r="627" ht="18.75" hidden="1" customHeight="1">
      <c r="A627" s="14">
        <v>44722.84718842593</v>
      </c>
      <c r="B627" s="15" t="s">
        <v>1146</v>
      </c>
      <c r="C627" s="16" t="s">
        <v>17222</v>
      </c>
      <c r="D627" s="15" t="str">
        <f>IFERROR(__xludf.DUMMYFUNCTION("QUERY(TY_ALL_2023_Batch!$A$1:$E$824, ""SELECT E WHERE C='""&amp;B627&amp;""'"", 0)"),"CIVIL")</f>
        <v>CIVIL</v>
      </c>
      <c r="E627" s="15" t="s">
        <v>6228</v>
      </c>
      <c r="F627" s="15" t="s">
        <v>17223</v>
      </c>
      <c r="G627" s="15" t="s">
        <v>6246</v>
      </c>
      <c r="H627" s="15" t="s">
        <v>2785</v>
      </c>
      <c r="I627" s="17">
        <v>36819.0</v>
      </c>
      <c r="J627" s="15">
        <v>2020.0</v>
      </c>
      <c r="K627" s="15" t="s">
        <v>2941</v>
      </c>
      <c r="L627" s="15" t="s">
        <v>2787</v>
      </c>
      <c r="M627" s="18"/>
      <c r="N627" s="15" t="s">
        <v>17224</v>
      </c>
      <c r="O627" s="15" t="s">
        <v>1146</v>
      </c>
      <c r="P627" s="19" t="s">
        <v>17225</v>
      </c>
      <c r="Q627" s="15">
        <v>8.830286167E9</v>
      </c>
      <c r="R627" s="15">
        <v>8.830286167E9</v>
      </c>
      <c r="S627" s="15">
        <v>7.219274446E9</v>
      </c>
      <c r="T627" s="15" t="s">
        <v>17223</v>
      </c>
      <c r="U627" s="15" t="s">
        <v>4073</v>
      </c>
      <c r="V627" s="15" t="s">
        <v>17226</v>
      </c>
      <c r="W627" s="18"/>
      <c r="X627" s="15">
        <v>86.8</v>
      </c>
      <c r="Y627" s="15" t="s">
        <v>2948</v>
      </c>
      <c r="Z627" s="15">
        <v>8.52</v>
      </c>
      <c r="AA627" s="15">
        <v>8.9</v>
      </c>
      <c r="AB627" s="15" t="s">
        <v>2796</v>
      </c>
      <c r="AC627" s="15" t="s">
        <v>2796</v>
      </c>
      <c r="AD627" s="15" t="s">
        <v>2796</v>
      </c>
      <c r="AE627" s="15" t="s">
        <v>2796</v>
      </c>
      <c r="AF627" s="18"/>
      <c r="AG627" s="18"/>
      <c r="AH627" s="18"/>
      <c r="AI627" s="15">
        <v>94.89</v>
      </c>
      <c r="AJ627" s="15" t="s">
        <v>2787</v>
      </c>
      <c r="AK627" s="15" t="s">
        <v>2787</v>
      </c>
      <c r="AL627" s="15">
        <v>73.67</v>
      </c>
      <c r="AM627" s="15">
        <v>82.33</v>
      </c>
      <c r="AN627" s="15" t="s">
        <v>2797</v>
      </c>
      <c r="AO627" s="15" t="s">
        <v>2796</v>
      </c>
      <c r="AP627" s="15" t="s">
        <v>2796</v>
      </c>
      <c r="AQ627" s="15" t="s">
        <v>2796</v>
      </c>
      <c r="AR627" s="15" t="s">
        <v>2796</v>
      </c>
      <c r="AS627" s="15" t="s">
        <v>17227</v>
      </c>
      <c r="AT627" s="15" t="s">
        <v>2796</v>
      </c>
      <c r="AU627" s="15" t="s">
        <v>2796</v>
      </c>
      <c r="AV627" s="15" t="s">
        <v>17228</v>
      </c>
      <c r="AW627" s="15" t="s">
        <v>2796</v>
      </c>
      <c r="AX627" s="15" t="s">
        <v>2796</v>
      </c>
      <c r="AY627" s="15" t="s">
        <v>17229</v>
      </c>
      <c r="AZ627" s="15" t="s">
        <v>3960</v>
      </c>
      <c r="BA627" s="15" t="s">
        <v>2870</v>
      </c>
      <c r="BB627" s="15" t="s">
        <v>2807</v>
      </c>
      <c r="BC627" s="15" t="s">
        <v>17230</v>
      </c>
      <c r="BD627" s="15" t="s">
        <v>2807</v>
      </c>
      <c r="BE627" s="15" t="s">
        <v>17231</v>
      </c>
      <c r="BF627" s="18"/>
      <c r="BG627" s="18"/>
      <c r="BH627" s="18"/>
      <c r="BI627" s="15" t="s">
        <v>17232</v>
      </c>
      <c r="BJ627" s="19" t="s">
        <v>17233</v>
      </c>
      <c r="BK627" s="19" t="s">
        <v>17234</v>
      </c>
      <c r="BL627" s="18"/>
      <c r="BM627" s="18"/>
      <c r="BN627" s="18"/>
      <c r="BO627" s="19" t="s">
        <v>17235</v>
      </c>
      <c r="BP627" s="18"/>
      <c r="BQ627" s="18"/>
      <c r="BR627" s="18"/>
      <c r="BS627" s="18"/>
      <c r="BT627" s="18"/>
      <c r="BU627" s="18"/>
      <c r="BV627" s="18"/>
      <c r="BW627" s="18"/>
      <c r="BX627" s="18"/>
      <c r="BY627" s="18" t="str">
        <f t="shared" si="108"/>
        <v>CIVIL</v>
      </c>
      <c r="BZ627" s="18" t="str">
        <f t="shared" si="100"/>
        <v/>
      </c>
      <c r="CA627" s="18" t="str">
        <f t="shared" si="101"/>
        <v/>
      </c>
      <c r="CB627" s="15" t="s">
        <v>2908</v>
      </c>
      <c r="CC627" s="15" t="s">
        <v>2908</v>
      </c>
      <c r="CD627" s="25" t="s">
        <v>2797</v>
      </c>
      <c r="CE627" s="18"/>
      <c r="CF627" s="18"/>
      <c r="CG627" s="18"/>
    </row>
    <row r="628" ht="18.75" hidden="1" customHeight="1">
      <c r="A628" s="14">
        <v>44722.89956135416</v>
      </c>
      <c r="B628" s="15" t="s">
        <v>299</v>
      </c>
      <c r="C628" s="16" t="s">
        <v>17236</v>
      </c>
      <c r="D628" s="15" t="str">
        <f>IFERROR(__xludf.DUMMYFUNCTION("QUERY(TY_ALL_2023_Batch!$A$1:$E$824, ""SELECT E WHERE C='""&amp;B628&amp;""'"", 0)"),"CIVIL")</f>
        <v>CIVIL</v>
      </c>
      <c r="E628" s="15" t="s">
        <v>3078</v>
      </c>
      <c r="F628" s="15" t="s">
        <v>17237</v>
      </c>
      <c r="G628" s="15" t="s">
        <v>17238</v>
      </c>
      <c r="H628" s="15" t="s">
        <v>2785</v>
      </c>
      <c r="I628" s="17">
        <v>36943.0</v>
      </c>
      <c r="J628" s="15">
        <v>2019.0</v>
      </c>
      <c r="K628" s="15" t="s">
        <v>2786</v>
      </c>
      <c r="L628" s="15" t="s">
        <v>2787</v>
      </c>
      <c r="M628" s="18"/>
      <c r="N628" s="15" t="s">
        <v>17239</v>
      </c>
      <c r="O628" s="15" t="s">
        <v>299</v>
      </c>
      <c r="P628" s="19" t="s">
        <v>17240</v>
      </c>
      <c r="Q628" s="15">
        <v>7.447437372E9</v>
      </c>
      <c r="R628" s="15">
        <v>7.447437372E9</v>
      </c>
      <c r="S628" s="18"/>
      <c r="T628" s="15" t="s">
        <v>17237</v>
      </c>
      <c r="U628" s="15" t="s">
        <v>17241</v>
      </c>
      <c r="V628" s="15" t="s">
        <v>17242</v>
      </c>
      <c r="W628" s="15" t="s">
        <v>17243</v>
      </c>
      <c r="X628" s="15">
        <v>88.0</v>
      </c>
      <c r="Y628" s="15" t="s">
        <v>2795</v>
      </c>
      <c r="Z628" s="15">
        <v>8.33</v>
      </c>
      <c r="AA628" s="15">
        <v>8.29</v>
      </c>
      <c r="AB628" s="15" t="s">
        <v>2796</v>
      </c>
      <c r="AC628" s="15" t="s">
        <v>2796</v>
      </c>
      <c r="AD628" s="15" t="s">
        <v>2796</v>
      </c>
      <c r="AE628" s="15" t="s">
        <v>3005</v>
      </c>
      <c r="AF628" s="15">
        <v>8.32</v>
      </c>
      <c r="AG628" s="15">
        <v>9.33</v>
      </c>
      <c r="AH628" s="15">
        <v>68.0</v>
      </c>
      <c r="AI628" s="18"/>
      <c r="AJ628" s="15" t="s">
        <v>2797</v>
      </c>
      <c r="AK628" s="15" t="s">
        <v>2787</v>
      </c>
      <c r="AL628" s="18"/>
      <c r="AM628" s="15">
        <v>450.0</v>
      </c>
      <c r="AN628" s="15" t="s">
        <v>2797</v>
      </c>
      <c r="AO628" s="18"/>
      <c r="AP628" s="18"/>
      <c r="AQ628" s="15" t="s">
        <v>17244</v>
      </c>
      <c r="AR628" s="15" t="s">
        <v>17245</v>
      </c>
      <c r="AS628" s="15" t="s">
        <v>17246</v>
      </c>
      <c r="AT628" s="15" t="s">
        <v>4040</v>
      </c>
      <c r="AU628" s="15" t="s">
        <v>17247</v>
      </c>
      <c r="AV628" s="15" t="s">
        <v>17248</v>
      </c>
      <c r="AW628" s="15" t="s">
        <v>17249</v>
      </c>
      <c r="AX628" s="18"/>
      <c r="AY628" s="15" t="s">
        <v>17250</v>
      </c>
      <c r="AZ628" s="15" t="s">
        <v>4216</v>
      </c>
      <c r="BA628" s="15" t="s">
        <v>2899</v>
      </c>
      <c r="BB628" s="15" t="s">
        <v>2807</v>
      </c>
      <c r="BC628" s="15" t="s">
        <v>3686</v>
      </c>
      <c r="BD628" s="15" t="s">
        <v>2807</v>
      </c>
      <c r="BE628" s="15" t="s">
        <v>2796</v>
      </c>
      <c r="BF628" s="18"/>
      <c r="BG628" s="18"/>
      <c r="BH628" s="18"/>
      <c r="BI628" s="15" t="s">
        <v>17251</v>
      </c>
      <c r="BJ628" s="19" t="s">
        <v>17252</v>
      </c>
      <c r="BK628" s="19" t="s">
        <v>17253</v>
      </c>
      <c r="BL628" s="18"/>
      <c r="BM628" s="19" t="s">
        <v>17254</v>
      </c>
      <c r="BN628" s="19" t="s">
        <v>17255</v>
      </c>
      <c r="BO628" s="19" t="s">
        <v>17256</v>
      </c>
      <c r="BP628" s="19" t="s">
        <v>17257</v>
      </c>
      <c r="BQ628" s="26"/>
      <c r="BR628" s="26"/>
      <c r="BS628" s="26"/>
      <c r="BT628" s="26"/>
      <c r="BU628" s="26"/>
      <c r="BV628" s="26"/>
      <c r="BW628" s="26"/>
      <c r="BX628" s="26"/>
      <c r="BY628" s="18" t="str">
        <f t="shared" si="108"/>
        <v>CIVIL</v>
      </c>
      <c r="BZ628" s="18" t="str">
        <f t="shared" si="100"/>
        <v/>
      </c>
      <c r="CA628" s="24" t="str">
        <f t="shared" si="101"/>
        <v>https://drive.google.com/open?id=15fvHU_ub9Vk5Lzd2MQH1rCGcso5n6GJM</v>
      </c>
      <c r="CB628" s="15" t="s">
        <v>2908</v>
      </c>
      <c r="CC628" s="15" t="s">
        <v>2821</v>
      </c>
      <c r="CD628" s="25" t="s">
        <v>2797</v>
      </c>
      <c r="CE628" s="18"/>
      <c r="CF628" s="18"/>
      <c r="CG628" s="18"/>
    </row>
    <row r="629" ht="18.75" hidden="1" customHeight="1">
      <c r="A629" s="14">
        <v>44722.92934378472</v>
      </c>
      <c r="B629" s="15" t="s">
        <v>323</v>
      </c>
      <c r="C629" s="16" t="s">
        <v>17258</v>
      </c>
      <c r="D629" s="15" t="str">
        <f>IFERROR(__xludf.DUMMYFUNCTION("QUERY(TY_ALL_2023_Batch!$A$1:$E$824, ""SELECT E WHERE C='""&amp;B629&amp;""'"", 0)"),"CIVIL")</f>
        <v>CIVIL</v>
      </c>
      <c r="E629" s="15" t="s">
        <v>6372</v>
      </c>
      <c r="F629" s="15" t="s">
        <v>10539</v>
      </c>
      <c r="G629" s="15" t="s">
        <v>4471</v>
      </c>
      <c r="H629" s="15" t="s">
        <v>2785</v>
      </c>
      <c r="I629" s="17">
        <v>36486.0</v>
      </c>
      <c r="J629" s="15">
        <v>2019.0</v>
      </c>
      <c r="K629" s="15" t="s">
        <v>2786</v>
      </c>
      <c r="L629" s="15" t="s">
        <v>2787</v>
      </c>
      <c r="M629" s="18"/>
      <c r="N629" s="15" t="s">
        <v>17259</v>
      </c>
      <c r="O629" s="15" t="s">
        <v>323</v>
      </c>
      <c r="P629" s="19" t="s">
        <v>17260</v>
      </c>
      <c r="Q629" s="15">
        <v>9.960637632E9</v>
      </c>
      <c r="R629" s="15">
        <v>9.960637632E9</v>
      </c>
      <c r="S629" s="18"/>
      <c r="T629" s="15" t="s">
        <v>10539</v>
      </c>
      <c r="U629" s="15" t="s">
        <v>10657</v>
      </c>
      <c r="V629" s="15" t="s">
        <v>17261</v>
      </c>
      <c r="W629" s="18"/>
      <c r="X629" s="15">
        <v>87.0</v>
      </c>
      <c r="Y629" s="15" t="s">
        <v>2795</v>
      </c>
      <c r="Z629" s="15">
        <v>6.96</v>
      </c>
      <c r="AA629" s="15">
        <v>6.98</v>
      </c>
      <c r="AB629" s="15">
        <v>6.98</v>
      </c>
      <c r="AC629" s="15" t="s">
        <v>2796</v>
      </c>
      <c r="AD629" s="15" t="s">
        <v>2796</v>
      </c>
      <c r="AE629" s="15" t="s">
        <v>2796</v>
      </c>
      <c r="AF629" s="15">
        <v>6.84</v>
      </c>
      <c r="AG629" s="15">
        <v>7.11</v>
      </c>
      <c r="AH629" s="15">
        <v>73.0</v>
      </c>
      <c r="AI629" s="18"/>
      <c r="AJ629" s="15" t="s">
        <v>2787</v>
      </c>
      <c r="AK629" s="15" t="s">
        <v>2787</v>
      </c>
      <c r="AL629" s="15" t="s">
        <v>17262</v>
      </c>
      <c r="AM629" s="15" t="s">
        <v>17263</v>
      </c>
      <c r="AN629" s="15" t="s">
        <v>2797</v>
      </c>
      <c r="AO629" s="18"/>
      <c r="AP629" s="15" t="s">
        <v>17264</v>
      </c>
      <c r="AQ629" s="15" t="s">
        <v>6438</v>
      </c>
      <c r="AR629" s="18"/>
      <c r="AS629" s="18"/>
      <c r="AT629" s="18"/>
      <c r="AU629" s="15" t="s">
        <v>17265</v>
      </c>
      <c r="AV629" s="15" t="s">
        <v>17266</v>
      </c>
      <c r="AW629" s="15" t="s">
        <v>17267</v>
      </c>
      <c r="AX629" s="15" t="s">
        <v>17268</v>
      </c>
      <c r="AY629" s="15" t="s">
        <v>17269</v>
      </c>
      <c r="AZ629" s="15" t="s">
        <v>5625</v>
      </c>
      <c r="BA629" s="15" t="s">
        <v>5552</v>
      </c>
      <c r="BB629" s="15" t="s">
        <v>8142</v>
      </c>
      <c r="BC629" s="15" t="s">
        <v>4702</v>
      </c>
      <c r="BD629" s="15" t="s">
        <v>17270</v>
      </c>
      <c r="BE629" s="15" t="s">
        <v>17271</v>
      </c>
      <c r="BF629" s="15" t="s">
        <v>2796</v>
      </c>
      <c r="BG629" s="18"/>
      <c r="BH629" s="18"/>
      <c r="BI629" s="18"/>
      <c r="BJ629" s="19" t="s">
        <v>17272</v>
      </c>
      <c r="BK629" s="19" t="s">
        <v>17273</v>
      </c>
      <c r="BL629" s="19" t="s">
        <v>17274</v>
      </c>
      <c r="BM629" s="19" t="s">
        <v>17275</v>
      </c>
      <c r="BN629" s="19" t="s">
        <v>17276</v>
      </c>
      <c r="BO629" s="19" t="s">
        <v>17277</v>
      </c>
      <c r="BP629" s="19" t="s">
        <v>17278</v>
      </c>
      <c r="BQ629" s="26"/>
      <c r="BR629" s="26"/>
      <c r="BS629" s="26"/>
      <c r="BT629" s="26"/>
      <c r="BU629" s="26"/>
      <c r="BV629" s="26"/>
      <c r="BW629" s="26"/>
      <c r="BX629" s="26"/>
      <c r="BY629" s="18" t="str">
        <f t="shared" si="108"/>
        <v>CIVIL</v>
      </c>
      <c r="BZ629" s="24" t="str">
        <f t="shared" si="100"/>
        <v>https://drive.google.com/open?id=1U33uxl6xglUBvogKALY5pZ-OfhFxhst6</v>
      </c>
      <c r="CA629" s="24" t="str">
        <f t="shared" si="101"/>
        <v>https://drive.google.com/open?id=12JtYSge2rYlyesYmyFZaf-Z_XTsx95qk</v>
      </c>
      <c r="CB629" s="15" t="s">
        <v>2821</v>
      </c>
      <c r="CC629" s="15" t="s">
        <v>2821</v>
      </c>
      <c r="CD629" s="25" t="s">
        <v>2797</v>
      </c>
      <c r="CE629" s="18"/>
      <c r="CF629" s="18"/>
      <c r="CG629" s="18"/>
    </row>
    <row r="630" ht="18.75" hidden="1" customHeight="1">
      <c r="A630" s="14">
        <v>44722.929546562504</v>
      </c>
      <c r="B630" s="15" t="s">
        <v>242</v>
      </c>
      <c r="C630" s="16" t="s">
        <v>17279</v>
      </c>
      <c r="D630" s="15" t="str">
        <f>IFERROR(__xludf.DUMMYFUNCTION("QUERY(TY_ALL_2023_Batch!$A$1:$E$824, ""SELECT E WHERE C='""&amp;B630&amp;""'"", 0)"),"CIVIL")</f>
        <v>CIVIL</v>
      </c>
      <c r="E630" s="15" t="s">
        <v>4298</v>
      </c>
      <c r="F630" s="15" t="s">
        <v>4935</v>
      </c>
      <c r="G630" s="15" t="s">
        <v>10112</v>
      </c>
      <c r="H630" s="15" t="s">
        <v>2785</v>
      </c>
      <c r="I630" s="17">
        <v>37116.0</v>
      </c>
      <c r="J630" s="15">
        <v>2019.0</v>
      </c>
      <c r="K630" s="15" t="s">
        <v>2786</v>
      </c>
      <c r="L630" s="15" t="s">
        <v>2787</v>
      </c>
      <c r="M630" s="18"/>
      <c r="N630" s="15" t="s">
        <v>17280</v>
      </c>
      <c r="O630" s="15" t="s">
        <v>242</v>
      </c>
      <c r="P630" s="19" t="s">
        <v>17281</v>
      </c>
      <c r="Q630" s="15">
        <v>9.970246655E9</v>
      </c>
      <c r="R630" s="15">
        <v>9.970246655E9</v>
      </c>
      <c r="S630" s="15">
        <v>9.730159478E9</v>
      </c>
      <c r="T630" s="15" t="s">
        <v>2796</v>
      </c>
      <c r="U630" s="15" t="s">
        <v>17282</v>
      </c>
      <c r="V630" s="15" t="s">
        <v>17283</v>
      </c>
      <c r="W630" s="18"/>
      <c r="X630" s="15">
        <v>85.2</v>
      </c>
      <c r="Y630" s="15" t="s">
        <v>2795</v>
      </c>
      <c r="Z630" s="15">
        <v>8.86</v>
      </c>
      <c r="AA630" s="15">
        <v>8.0</v>
      </c>
      <c r="AB630" s="15" t="s">
        <v>2796</v>
      </c>
      <c r="AC630" s="15" t="s">
        <v>2796</v>
      </c>
      <c r="AD630" s="15" t="s">
        <v>2796</v>
      </c>
      <c r="AE630" s="15" t="s">
        <v>2796</v>
      </c>
      <c r="AF630" s="15">
        <v>8.0</v>
      </c>
      <c r="AG630" s="15">
        <v>8.52</v>
      </c>
      <c r="AH630" s="15">
        <v>64.15</v>
      </c>
      <c r="AI630" s="18"/>
      <c r="AJ630" s="15" t="s">
        <v>2787</v>
      </c>
      <c r="AK630" s="15" t="s">
        <v>2787</v>
      </c>
      <c r="AL630" s="15">
        <v>532.0</v>
      </c>
      <c r="AM630" s="15">
        <v>494.0</v>
      </c>
      <c r="AN630" s="15" t="s">
        <v>2787</v>
      </c>
      <c r="AO630" s="18"/>
      <c r="AP630" s="15" t="s">
        <v>17284</v>
      </c>
      <c r="AQ630" s="15" t="s">
        <v>17285</v>
      </c>
      <c r="AR630" s="18"/>
      <c r="AS630" s="15" t="s">
        <v>5193</v>
      </c>
      <c r="AT630" s="18"/>
      <c r="AU630" s="18"/>
      <c r="AV630" s="18"/>
      <c r="AW630" s="15" t="s">
        <v>17286</v>
      </c>
      <c r="AX630" s="18"/>
      <c r="AY630" s="15" t="s">
        <v>17287</v>
      </c>
      <c r="AZ630" s="15" t="s">
        <v>4216</v>
      </c>
      <c r="BA630" s="15" t="s">
        <v>2870</v>
      </c>
      <c r="BB630" s="15" t="s">
        <v>2807</v>
      </c>
      <c r="BC630" s="15" t="s">
        <v>17288</v>
      </c>
      <c r="BD630" s="15" t="s">
        <v>2807</v>
      </c>
      <c r="BE630" s="15" t="s">
        <v>17289</v>
      </c>
      <c r="BF630" s="18"/>
      <c r="BG630" s="18"/>
      <c r="BH630" s="18"/>
      <c r="BI630" s="15" t="s">
        <v>17290</v>
      </c>
      <c r="BJ630" s="19" t="s">
        <v>17291</v>
      </c>
      <c r="BK630" s="19" t="s">
        <v>17292</v>
      </c>
      <c r="BL630" s="19" t="s">
        <v>17293</v>
      </c>
      <c r="BM630" s="18"/>
      <c r="BN630" s="18"/>
      <c r="BO630" s="19" t="s">
        <v>17294</v>
      </c>
      <c r="BP630" s="18"/>
      <c r="BQ630" s="18"/>
      <c r="BR630" s="18"/>
      <c r="BS630" s="18"/>
      <c r="BT630" s="18"/>
      <c r="BU630" s="18"/>
      <c r="BV630" s="18"/>
      <c r="BW630" s="18"/>
      <c r="BX630" s="18"/>
      <c r="BY630" s="18" t="str">
        <f t="shared" si="108"/>
        <v>CIVIL</v>
      </c>
      <c r="BZ630" s="24" t="str">
        <f t="shared" si="100"/>
        <v>https://drive.google.com/open?id=1mwWXx8C5NazNxUuo9QLai7-OjhJI116O</v>
      </c>
      <c r="CA630" s="18" t="str">
        <f t="shared" si="101"/>
        <v/>
      </c>
      <c r="CB630" s="15" t="s">
        <v>2821</v>
      </c>
      <c r="CC630" s="15" t="s">
        <v>2908</v>
      </c>
      <c r="CD630" s="25" t="s">
        <v>2797</v>
      </c>
      <c r="CE630" s="18"/>
      <c r="CF630" s="18"/>
      <c r="CG630" s="18"/>
    </row>
    <row r="631" ht="18.75" hidden="1" customHeight="1">
      <c r="A631" s="14">
        <v>44722.9368721412</v>
      </c>
      <c r="B631" s="15" t="s">
        <v>239</v>
      </c>
      <c r="C631" s="16" t="s">
        <v>17295</v>
      </c>
      <c r="D631" s="15" t="str">
        <f>IFERROR(__xludf.DUMMYFUNCTION("QUERY(TY_ALL_2023_Batch!$A$1:$E$824, ""SELECT E WHERE C='""&amp;B631&amp;""'"", 0)"),"CIVIL")</f>
        <v>CIVIL</v>
      </c>
      <c r="E631" s="15" t="s">
        <v>17296</v>
      </c>
      <c r="F631" s="15" t="s">
        <v>14896</v>
      </c>
      <c r="G631" s="15" t="s">
        <v>17297</v>
      </c>
      <c r="H631" s="15" t="s">
        <v>2785</v>
      </c>
      <c r="I631" s="17">
        <v>36980.0</v>
      </c>
      <c r="J631" s="15">
        <v>2019.0</v>
      </c>
      <c r="K631" s="15" t="s">
        <v>2786</v>
      </c>
      <c r="L631" s="15" t="s">
        <v>2787</v>
      </c>
      <c r="M631" s="18"/>
      <c r="N631" s="15" t="s">
        <v>17298</v>
      </c>
      <c r="O631" s="15" t="s">
        <v>239</v>
      </c>
      <c r="P631" s="19" t="s">
        <v>17299</v>
      </c>
      <c r="Q631" s="15">
        <v>9.021835671E9</v>
      </c>
      <c r="R631" s="15">
        <v>9.021835671E9</v>
      </c>
      <c r="S631" s="18"/>
      <c r="T631" s="15" t="s">
        <v>14896</v>
      </c>
      <c r="U631" s="15" t="s">
        <v>17300</v>
      </c>
      <c r="V631" s="15" t="s">
        <v>17301</v>
      </c>
      <c r="W631" s="18"/>
      <c r="X631" s="15">
        <v>89.6</v>
      </c>
      <c r="Y631" s="15" t="s">
        <v>2795</v>
      </c>
      <c r="Z631" s="15">
        <v>7.76</v>
      </c>
      <c r="AA631" s="15">
        <v>8.14</v>
      </c>
      <c r="AB631" s="15" t="s">
        <v>2796</v>
      </c>
      <c r="AC631" s="15" t="s">
        <v>2796</v>
      </c>
      <c r="AD631" s="15" t="s">
        <v>2796</v>
      </c>
      <c r="AE631" s="15" t="s">
        <v>2796</v>
      </c>
      <c r="AF631" s="15">
        <v>7.37</v>
      </c>
      <c r="AG631" s="15">
        <v>7.62</v>
      </c>
      <c r="AH631" s="15">
        <v>68.31</v>
      </c>
      <c r="AI631" s="18"/>
      <c r="AJ631" s="15" t="s">
        <v>2787</v>
      </c>
      <c r="AK631" s="15" t="s">
        <v>2787</v>
      </c>
      <c r="AL631" s="18"/>
      <c r="AM631" s="18"/>
      <c r="AN631" s="15" t="s">
        <v>2797</v>
      </c>
      <c r="AO631" s="18"/>
      <c r="AP631" s="18"/>
      <c r="AQ631" s="15" t="s">
        <v>17302</v>
      </c>
      <c r="AR631" s="18"/>
      <c r="AS631" s="15" t="s">
        <v>17303</v>
      </c>
      <c r="AT631" s="18"/>
      <c r="AU631" s="15" t="s">
        <v>17304</v>
      </c>
      <c r="AV631" s="15" t="s">
        <v>17305</v>
      </c>
      <c r="AW631" s="15" t="s">
        <v>17306</v>
      </c>
      <c r="AX631" s="18"/>
      <c r="AY631" s="15" t="s">
        <v>17307</v>
      </c>
      <c r="AZ631" s="15" t="s">
        <v>4216</v>
      </c>
      <c r="BA631" s="15" t="s">
        <v>2899</v>
      </c>
      <c r="BB631" s="15" t="s">
        <v>2807</v>
      </c>
      <c r="BC631" s="15" t="s">
        <v>17308</v>
      </c>
      <c r="BD631" s="15" t="s">
        <v>2807</v>
      </c>
      <c r="BE631" s="15" t="s">
        <v>17309</v>
      </c>
      <c r="BF631" s="15" t="s">
        <v>17310</v>
      </c>
      <c r="BG631" s="18"/>
      <c r="BH631" s="15" t="s">
        <v>17311</v>
      </c>
      <c r="BI631" s="15" t="s">
        <v>17312</v>
      </c>
      <c r="BJ631" s="19" t="s">
        <v>17313</v>
      </c>
      <c r="BK631" s="19" t="s">
        <v>17314</v>
      </c>
      <c r="BL631" s="19" t="s">
        <v>17315</v>
      </c>
      <c r="BM631" s="19" t="s">
        <v>17316</v>
      </c>
      <c r="BN631" s="18"/>
      <c r="BO631" s="19" t="s">
        <v>17317</v>
      </c>
      <c r="BP631" s="19" t="s">
        <v>17318</v>
      </c>
      <c r="BQ631" s="26"/>
      <c r="BR631" s="26"/>
      <c r="BS631" s="26"/>
      <c r="BT631" s="26"/>
      <c r="BU631" s="26"/>
      <c r="BV631" s="26"/>
      <c r="BW631" s="26"/>
      <c r="BX631" s="26"/>
      <c r="BY631" s="18" t="str">
        <f t="shared" si="108"/>
        <v>CIVIL</v>
      </c>
      <c r="BZ631" s="24" t="str">
        <f t="shared" si="100"/>
        <v>https://drive.google.com/open?id=1_e2GFs4JvXV51xyJmhLEGnjwQPWuj-P0</v>
      </c>
      <c r="CA631" s="24" t="str">
        <f t="shared" si="101"/>
        <v>https://drive.google.com/open?id=1JGLqupwomZCeL2NM4dHqdKNBL5u-grPq</v>
      </c>
      <c r="CB631" s="15" t="s">
        <v>2821</v>
      </c>
      <c r="CC631" s="15" t="s">
        <v>2821</v>
      </c>
      <c r="CD631" s="25" t="s">
        <v>2797</v>
      </c>
      <c r="CE631" s="18"/>
      <c r="CF631" s="18"/>
      <c r="CG631" s="18"/>
    </row>
    <row r="632" ht="18.75" hidden="1" customHeight="1">
      <c r="A632" s="14">
        <v>44722.99216599537</v>
      </c>
      <c r="B632" s="15" t="s">
        <v>350</v>
      </c>
      <c r="C632" s="16" t="s">
        <v>17319</v>
      </c>
      <c r="D632" s="15" t="str">
        <f>IFERROR(__xludf.DUMMYFUNCTION("QUERY(TY_ALL_2023_Batch!$A$1:$E$824, ""SELECT E WHERE C='""&amp;B632&amp;""'"", 0)"),"CIVIL")</f>
        <v>CIVIL</v>
      </c>
      <c r="E632" s="15" t="s">
        <v>7854</v>
      </c>
      <c r="F632" s="15" t="s">
        <v>5110</v>
      </c>
      <c r="G632" s="15" t="s">
        <v>10510</v>
      </c>
      <c r="H632" s="15" t="s">
        <v>2785</v>
      </c>
      <c r="I632" s="17">
        <v>36867.0</v>
      </c>
      <c r="J632" s="15">
        <v>2019.0</v>
      </c>
      <c r="K632" s="15" t="s">
        <v>2786</v>
      </c>
      <c r="L632" s="15" t="s">
        <v>2787</v>
      </c>
      <c r="M632" s="18"/>
      <c r="N632" s="15" t="s">
        <v>17320</v>
      </c>
      <c r="O632" s="15" t="s">
        <v>350</v>
      </c>
      <c r="P632" s="19" t="s">
        <v>17321</v>
      </c>
      <c r="Q632" s="15">
        <v>9.168443376E9</v>
      </c>
      <c r="R632" s="15">
        <v>9.168443376E9</v>
      </c>
      <c r="S632" s="18"/>
      <c r="T632" s="15" t="s">
        <v>17322</v>
      </c>
      <c r="U632" s="15" t="s">
        <v>17323</v>
      </c>
      <c r="V632" s="15" t="s">
        <v>17324</v>
      </c>
      <c r="W632" s="15" t="s">
        <v>17325</v>
      </c>
      <c r="X632" s="15">
        <v>79.0</v>
      </c>
      <c r="Y632" s="15" t="s">
        <v>2795</v>
      </c>
      <c r="Z632" s="15">
        <v>6.86</v>
      </c>
      <c r="AA632" s="15">
        <v>6.48</v>
      </c>
      <c r="AB632" s="15" t="s">
        <v>2796</v>
      </c>
      <c r="AC632" s="15" t="s">
        <v>2796</v>
      </c>
      <c r="AD632" s="15" t="s">
        <v>2796</v>
      </c>
      <c r="AE632" s="15" t="s">
        <v>2796</v>
      </c>
      <c r="AF632" s="15">
        <v>7.37</v>
      </c>
      <c r="AG632" s="15">
        <v>6.19</v>
      </c>
      <c r="AH632" s="15">
        <v>76.77</v>
      </c>
      <c r="AI632" s="18"/>
      <c r="AJ632" s="15" t="s">
        <v>2787</v>
      </c>
      <c r="AK632" s="15" t="s">
        <v>2787</v>
      </c>
      <c r="AL632" s="15">
        <v>546.66</v>
      </c>
      <c r="AM632" s="15">
        <v>510.0</v>
      </c>
      <c r="AN632" s="15" t="s">
        <v>2787</v>
      </c>
      <c r="AO632" s="15" t="s">
        <v>17326</v>
      </c>
      <c r="AP632" s="15" t="s">
        <v>17327</v>
      </c>
      <c r="AQ632" s="15" t="s">
        <v>17328</v>
      </c>
      <c r="AR632" s="15" t="s">
        <v>2796</v>
      </c>
      <c r="AS632" s="15" t="s">
        <v>2796</v>
      </c>
      <c r="AT632" s="15" t="s">
        <v>2796</v>
      </c>
      <c r="AU632" s="15" t="s">
        <v>2796</v>
      </c>
      <c r="AV632" s="15" t="s">
        <v>17329</v>
      </c>
      <c r="AW632" s="15" t="s">
        <v>17330</v>
      </c>
      <c r="AX632" s="15" t="s">
        <v>2796</v>
      </c>
      <c r="AY632" s="15" t="s">
        <v>17331</v>
      </c>
      <c r="AZ632" s="15" t="s">
        <v>4084</v>
      </c>
      <c r="BA632" s="15" t="s">
        <v>2870</v>
      </c>
      <c r="BB632" s="15" t="s">
        <v>2807</v>
      </c>
      <c r="BC632" s="15" t="s">
        <v>4241</v>
      </c>
      <c r="BD632" s="15" t="s">
        <v>2807</v>
      </c>
      <c r="BE632" s="15" t="s">
        <v>2796</v>
      </c>
      <c r="BF632" s="15" t="s">
        <v>2796</v>
      </c>
      <c r="BG632" s="15" t="s">
        <v>2796</v>
      </c>
      <c r="BH632" s="15" t="s">
        <v>2796</v>
      </c>
      <c r="BI632" s="15" t="s">
        <v>17332</v>
      </c>
      <c r="BJ632" s="19" t="s">
        <v>17333</v>
      </c>
      <c r="BK632" s="19" t="s">
        <v>17334</v>
      </c>
      <c r="BL632" s="19" t="s">
        <v>17335</v>
      </c>
      <c r="BM632" s="19" t="s">
        <v>17336</v>
      </c>
      <c r="BN632" s="18"/>
      <c r="BO632" s="19" t="s">
        <v>17337</v>
      </c>
      <c r="BP632" s="19" t="s">
        <v>17338</v>
      </c>
      <c r="BQ632" s="26"/>
      <c r="BR632" s="26"/>
      <c r="BS632" s="26"/>
      <c r="BT632" s="26"/>
      <c r="BU632" s="26"/>
      <c r="BV632" s="26"/>
      <c r="BW632" s="26"/>
      <c r="BX632" s="26"/>
      <c r="BY632" s="18" t="str">
        <f t="shared" si="108"/>
        <v>CIVIL</v>
      </c>
      <c r="BZ632" s="24" t="str">
        <f t="shared" si="100"/>
        <v>https://drive.google.com/open?id=1XjZI2U_3-J6yrool_WsKpvJWLU3Nd-yK</v>
      </c>
      <c r="CA632" s="24" t="str">
        <f t="shared" si="101"/>
        <v>https://drive.google.com/open?id=1amThlOqSKP_2tbo88MOcPPpzBVjQk_sc</v>
      </c>
      <c r="CB632" s="15" t="s">
        <v>2821</v>
      </c>
      <c r="CC632" s="15" t="s">
        <v>2821</v>
      </c>
      <c r="CD632" s="25" t="s">
        <v>2797</v>
      </c>
      <c r="CE632" s="18"/>
      <c r="CF632" s="18"/>
      <c r="CG632" s="18"/>
    </row>
    <row r="633" ht="18.75" hidden="1" customHeight="1">
      <c r="A633" s="14">
        <v>44722.94552019676</v>
      </c>
      <c r="B633" s="15" t="s">
        <v>284</v>
      </c>
      <c r="C633" s="16" t="s">
        <v>17339</v>
      </c>
      <c r="D633" s="15" t="str">
        <f>IFERROR(__xludf.DUMMYFUNCTION("QUERY(TY_ALL_2023_Batch!$A$1:$E$824, ""SELECT E WHERE C='""&amp;B633&amp;""'"", 0)"),"CIVIL")</f>
        <v>CIVIL</v>
      </c>
      <c r="E633" s="15" t="s">
        <v>4447</v>
      </c>
      <c r="F633" s="15" t="s">
        <v>3526</v>
      </c>
      <c r="G633" s="15" t="s">
        <v>17340</v>
      </c>
      <c r="H633" s="15" t="s">
        <v>2785</v>
      </c>
      <c r="I633" s="17">
        <v>37068.0</v>
      </c>
      <c r="J633" s="15">
        <v>2019.0</v>
      </c>
      <c r="K633" s="15" t="s">
        <v>2786</v>
      </c>
      <c r="L633" s="15" t="s">
        <v>2787</v>
      </c>
      <c r="M633" s="18"/>
      <c r="N633" s="15" t="s">
        <v>17341</v>
      </c>
      <c r="O633" s="15" t="s">
        <v>17342</v>
      </c>
      <c r="P633" s="19" t="s">
        <v>17343</v>
      </c>
      <c r="Q633" s="15">
        <v>7.49893899E9</v>
      </c>
      <c r="R633" s="15">
        <v>7.49893899E9</v>
      </c>
      <c r="S633" s="15">
        <v>8.308262589E9</v>
      </c>
      <c r="T633" s="15" t="s">
        <v>17344</v>
      </c>
      <c r="U633" s="15" t="s">
        <v>17345</v>
      </c>
      <c r="V633" s="15" t="s">
        <v>17346</v>
      </c>
      <c r="W633" s="18"/>
      <c r="X633" s="15">
        <v>80.4</v>
      </c>
      <c r="Y633" s="15" t="s">
        <v>2795</v>
      </c>
      <c r="Z633" s="15">
        <v>7.24</v>
      </c>
      <c r="AA633" s="15">
        <v>6.52</v>
      </c>
      <c r="AB633" s="15" t="s">
        <v>2796</v>
      </c>
      <c r="AC633" s="15" t="s">
        <v>2796</v>
      </c>
      <c r="AD633" s="15" t="s">
        <v>2796</v>
      </c>
      <c r="AE633" s="15" t="s">
        <v>2796</v>
      </c>
      <c r="AF633" s="15">
        <v>7.42</v>
      </c>
      <c r="AG633" s="15">
        <v>6.67</v>
      </c>
      <c r="AH633" s="15">
        <v>82.92</v>
      </c>
      <c r="AI633" s="18"/>
      <c r="AJ633" s="15" t="s">
        <v>2797</v>
      </c>
      <c r="AK633" s="15" t="s">
        <v>2797</v>
      </c>
      <c r="AL633" s="18"/>
      <c r="AM633" s="18"/>
      <c r="AN633" s="15" t="s">
        <v>2797</v>
      </c>
      <c r="AO633" s="18"/>
      <c r="AP633" s="18"/>
      <c r="AQ633" s="15" t="s">
        <v>17347</v>
      </c>
      <c r="AR633" s="18"/>
      <c r="AS633" s="18"/>
      <c r="AT633" s="18"/>
      <c r="AU633" s="18"/>
      <c r="AV633" s="15" t="s">
        <v>17348</v>
      </c>
      <c r="AW633" s="15" t="s">
        <v>17348</v>
      </c>
      <c r="AX633" s="18"/>
      <c r="AY633" s="15" t="s">
        <v>17349</v>
      </c>
      <c r="AZ633" s="15" t="s">
        <v>4216</v>
      </c>
      <c r="BA633" s="15" t="s">
        <v>4727</v>
      </c>
      <c r="BB633" s="15" t="s">
        <v>2807</v>
      </c>
      <c r="BC633" s="15" t="s">
        <v>17350</v>
      </c>
      <c r="BD633" s="15" t="s">
        <v>2807</v>
      </c>
      <c r="BE633" s="15" t="s">
        <v>2796</v>
      </c>
      <c r="BF633" s="18"/>
      <c r="BG633" s="18"/>
      <c r="BH633" s="18"/>
      <c r="BI633" s="15" t="s">
        <v>17351</v>
      </c>
      <c r="BJ633" s="19" t="s">
        <v>17352</v>
      </c>
      <c r="BK633" s="19" t="s">
        <v>17353</v>
      </c>
      <c r="BL633" s="18"/>
      <c r="BM633" s="18"/>
      <c r="BN633" s="18"/>
      <c r="BO633" s="19" t="s">
        <v>17354</v>
      </c>
      <c r="BP633" s="19" t="s">
        <v>17355</v>
      </c>
      <c r="BQ633" s="26"/>
      <c r="BR633" s="26"/>
      <c r="BS633" s="26"/>
      <c r="BT633" s="26"/>
      <c r="BU633" s="26"/>
      <c r="BV633" s="26"/>
      <c r="BW633" s="26"/>
      <c r="BX633" s="26"/>
      <c r="BY633" s="18" t="str">
        <f t="shared" si="108"/>
        <v>CIVIL</v>
      </c>
      <c r="BZ633" s="18" t="str">
        <f t="shared" si="100"/>
        <v/>
      </c>
      <c r="CA633" s="18" t="str">
        <f t="shared" si="101"/>
        <v/>
      </c>
      <c r="CB633" s="15" t="s">
        <v>2908</v>
      </c>
      <c r="CC633" s="15" t="s">
        <v>2908</v>
      </c>
      <c r="CD633" s="25" t="s">
        <v>2797</v>
      </c>
      <c r="CE633" s="18"/>
      <c r="CF633" s="18"/>
      <c r="CG633" s="18"/>
    </row>
    <row r="634" ht="18.75" hidden="1" customHeight="1">
      <c r="A634" s="14">
        <v>44722.95609684028</v>
      </c>
      <c r="B634" s="15" t="s">
        <v>293</v>
      </c>
      <c r="C634" s="16" t="s">
        <v>17356</v>
      </c>
      <c r="D634" s="15" t="str">
        <f>IFERROR(__xludf.DUMMYFUNCTION("QUERY(TY_ALL_2023_Batch!$A$1:$E$824, ""SELECT E WHERE C='""&amp;B634&amp;""'"", 0)"),"CIVIL")</f>
        <v>CIVIL</v>
      </c>
      <c r="E634" s="15" t="s">
        <v>11287</v>
      </c>
      <c r="F634" s="15" t="s">
        <v>10260</v>
      </c>
      <c r="G634" s="15" t="s">
        <v>17357</v>
      </c>
      <c r="H634" s="15" t="s">
        <v>2785</v>
      </c>
      <c r="I634" s="17">
        <v>37301.0</v>
      </c>
      <c r="J634" s="15">
        <v>2019.0</v>
      </c>
      <c r="K634" s="15" t="s">
        <v>2786</v>
      </c>
      <c r="L634" s="15" t="s">
        <v>2787</v>
      </c>
      <c r="M634" s="18"/>
      <c r="N634" s="15" t="s">
        <v>17358</v>
      </c>
      <c r="O634" s="15" t="s">
        <v>17359</v>
      </c>
      <c r="P634" s="15" t="s">
        <v>17360</v>
      </c>
      <c r="Q634" s="15">
        <v>9.766473002E9</v>
      </c>
      <c r="R634" s="15">
        <v>9.766473002E9</v>
      </c>
      <c r="S634" s="18"/>
      <c r="T634" s="15" t="s">
        <v>10260</v>
      </c>
      <c r="U634" s="15" t="s">
        <v>17361</v>
      </c>
      <c r="V634" s="15" t="s">
        <v>17362</v>
      </c>
      <c r="W634" s="18"/>
      <c r="X634" s="15">
        <v>80.6</v>
      </c>
      <c r="Y634" s="15" t="s">
        <v>2795</v>
      </c>
      <c r="Z634" s="15">
        <v>6.33</v>
      </c>
      <c r="AA634" s="15">
        <v>7.19</v>
      </c>
      <c r="AB634" s="15" t="s">
        <v>2796</v>
      </c>
      <c r="AC634" s="15" t="s">
        <v>2796</v>
      </c>
      <c r="AD634" s="15" t="s">
        <v>2796</v>
      </c>
      <c r="AE634" s="15" t="s">
        <v>2796</v>
      </c>
      <c r="AF634" s="15">
        <v>6.89</v>
      </c>
      <c r="AG634" s="15">
        <v>7.86</v>
      </c>
      <c r="AH634" s="15">
        <v>60.31</v>
      </c>
      <c r="AI634" s="18"/>
      <c r="AJ634" s="15" t="s">
        <v>2787</v>
      </c>
      <c r="AK634" s="15" t="s">
        <v>2787</v>
      </c>
      <c r="AL634" s="18"/>
      <c r="AM634" s="18"/>
      <c r="AN634" s="15" t="s">
        <v>2797</v>
      </c>
      <c r="AO634" s="18"/>
      <c r="AP634" s="18"/>
      <c r="AQ634" s="15" t="s">
        <v>4455</v>
      </c>
      <c r="AR634" s="18"/>
      <c r="AS634" s="18"/>
      <c r="AT634" s="18"/>
      <c r="AU634" s="18"/>
      <c r="AV634" s="18"/>
      <c r="AW634" s="15" t="s">
        <v>17363</v>
      </c>
      <c r="AX634" s="18"/>
      <c r="AY634" s="15" t="s">
        <v>17364</v>
      </c>
      <c r="AZ634" s="15" t="s">
        <v>4216</v>
      </c>
      <c r="BA634" s="15" t="s">
        <v>17365</v>
      </c>
      <c r="BB634" s="15" t="s">
        <v>2807</v>
      </c>
      <c r="BC634" s="15" t="s">
        <v>17366</v>
      </c>
      <c r="BD634" s="15" t="s">
        <v>17367</v>
      </c>
      <c r="BE634" s="15" t="s">
        <v>17368</v>
      </c>
      <c r="BF634" s="18"/>
      <c r="BG634" s="18"/>
      <c r="BH634" s="18"/>
      <c r="BI634" s="18"/>
      <c r="BJ634" s="19" t="s">
        <v>17369</v>
      </c>
      <c r="BK634" s="19" t="s">
        <v>17370</v>
      </c>
      <c r="BL634" s="18"/>
      <c r="BM634" s="18"/>
      <c r="BN634" s="18"/>
      <c r="BO634" s="19" t="s">
        <v>17371</v>
      </c>
      <c r="BP634" s="18"/>
      <c r="BQ634" s="18"/>
      <c r="BR634" s="18"/>
      <c r="BS634" s="18"/>
      <c r="BT634" s="18"/>
      <c r="BU634" s="18"/>
      <c r="BV634" s="18"/>
      <c r="BW634" s="18"/>
      <c r="BX634" s="18"/>
      <c r="BY634" s="18" t="str">
        <f t="shared" si="108"/>
        <v>CIVIL</v>
      </c>
      <c r="BZ634" s="18" t="str">
        <f t="shared" si="100"/>
        <v/>
      </c>
      <c r="CA634" s="18" t="str">
        <f t="shared" si="101"/>
        <v/>
      </c>
      <c r="CB634" s="15" t="s">
        <v>2908</v>
      </c>
      <c r="CC634" s="15" t="s">
        <v>2908</v>
      </c>
      <c r="CD634" s="25" t="s">
        <v>2797</v>
      </c>
      <c r="CE634" s="18"/>
      <c r="CF634" s="18"/>
      <c r="CG634" s="18"/>
    </row>
    <row r="635" ht="18.75" hidden="1" customHeight="1">
      <c r="A635" s="14">
        <v>44722.972175717594</v>
      </c>
      <c r="B635" s="15" t="s">
        <v>266</v>
      </c>
      <c r="C635" s="16" t="s">
        <v>17372</v>
      </c>
      <c r="D635" s="15" t="str">
        <f>IFERROR(__xludf.DUMMYFUNCTION("QUERY(TY_ALL_2023_Batch!$A$1:$E$824, ""SELECT E WHERE C='""&amp;B635&amp;""'"", 0)"),"CIVIL")</f>
        <v>CIVIL</v>
      </c>
      <c r="E635" s="15" t="s">
        <v>15362</v>
      </c>
      <c r="F635" s="15" t="s">
        <v>15750</v>
      </c>
      <c r="G635" s="15" t="s">
        <v>8348</v>
      </c>
      <c r="H635" s="15" t="s">
        <v>2785</v>
      </c>
      <c r="I635" s="17">
        <v>36509.0</v>
      </c>
      <c r="J635" s="15">
        <v>2019.0</v>
      </c>
      <c r="K635" s="15" t="s">
        <v>2786</v>
      </c>
      <c r="L635" s="15" t="s">
        <v>2787</v>
      </c>
      <c r="M635" s="18"/>
      <c r="N635" s="15" t="s">
        <v>17373</v>
      </c>
      <c r="O635" s="15" t="s">
        <v>266</v>
      </c>
      <c r="P635" s="15" t="s">
        <v>17374</v>
      </c>
      <c r="Q635" s="15">
        <v>7.620001365E9</v>
      </c>
      <c r="R635" s="15">
        <v>7.620001365E9</v>
      </c>
      <c r="S635" s="15">
        <v>7.620001365E9</v>
      </c>
      <c r="T635" s="15" t="s">
        <v>17375</v>
      </c>
      <c r="U635" s="15" t="s">
        <v>17376</v>
      </c>
      <c r="V635" s="15" t="s">
        <v>17377</v>
      </c>
      <c r="W635" s="15" t="s">
        <v>17378</v>
      </c>
      <c r="X635" s="15">
        <v>78.2</v>
      </c>
      <c r="Y635" s="15" t="s">
        <v>2795</v>
      </c>
      <c r="Z635" s="15">
        <v>8.52</v>
      </c>
      <c r="AA635" s="15">
        <v>8.19</v>
      </c>
      <c r="AB635" s="15" t="s">
        <v>2796</v>
      </c>
      <c r="AC635" s="15" t="s">
        <v>2796</v>
      </c>
      <c r="AD635" s="15" t="s">
        <v>3006</v>
      </c>
      <c r="AE635" s="15" t="s">
        <v>2796</v>
      </c>
      <c r="AF635" s="15">
        <v>8.01</v>
      </c>
      <c r="AG635" s="15">
        <v>7.05</v>
      </c>
      <c r="AH635" s="15">
        <v>63.08</v>
      </c>
      <c r="AI635" s="18"/>
      <c r="AJ635" s="15" t="s">
        <v>2787</v>
      </c>
      <c r="AK635" s="15" t="s">
        <v>2787</v>
      </c>
      <c r="AL635" s="18"/>
      <c r="AM635" s="18"/>
      <c r="AN635" s="15" t="s">
        <v>2797</v>
      </c>
      <c r="AO635" s="15" t="s">
        <v>2908</v>
      </c>
      <c r="AP635" s="15" t="s">
        <v>17379</v>
      </c>
      <c r="AQ635" s="15" t="s">
        <v>3989</v>
      </c>
      <c r="AR635" s="18"/>
      <c r="AS635" s="18"/>
      <c r="AT635" s="18"/>
      <c r="AU635" s="18"/>
      <c r="AV635" s="18"/>
      <c r="AW635" s="15" t="s">
        <v>3989</v>
      </c>
      <c r="AX635" s="18"/>
      <c r="AY635" s="15" t="s">
        <v>17380</v>
      </c>
      <c r="AZ635" s="15" t="s">
        <v>4216</v>
      </c>
      <c r="BA635" s="15" t="s">
        <v>2899</v>
      </c>
      <c r="BB635" s="15" t="s">
        <v>2807</v>
      </c>
      <c r="BC635" s="15" t="s">
        <v>3686</v>
      </c>
      <c r="BD635" s="15" t="s">
        <v>2842</v>
      </c>
      <c r="BE635" s="15" t="s">
        <v>3989</v>
      </c>
      <c r="BF635" s="15" t="s">
        <v>3989</v>
      </c>
      <c r="BG635" s="15" t="s">
        <v>17381</v>
      </c>
      <c r="BH635" s="15" t="s">
        <v>17382</v>
      </c>
      <c r="BI635" s="15" t="s">
        <v>17383</v>
      </c>
      <c r="BJ635" s="19" t="s">
        <v>17384</v>
      </c>
      <c r="BK635" s="19" t="s">
        <v>17385</v>
      </c>
      <c r="BL635" s="18"/>
      <c r="BM635" s="18"/>
      <c r="BN635" s="19" t="s">
        <v>17386</v>
      </c>
      <c r="BO635" s="19" t="s">
        <v>17387</v>
      </c>
      <c r="BP635" s="18"/>
      <c r="BQ635" s="18"/>
      <c r="BR635" s="18"/>
      <c r="BS635" s="18"/>
      <c r="BT635" s="18"/>
      <c r="BU635" s="18"/>
      <c r="BV635" s="18"/>
      <c r="BW635" s="18"/>
      <c r="BX635" s="18"/>
      <c r="BY635" s="18" t="str">
        <f t="shared" si="108"/>
        <v>CIVIL</v>
      </c>
      <c r="BZ635" s="18" t="str">
        <f t="shared" si="100"/>
        <v/>
      </c>
      <c r="CA635" s="18" t="str">
        <f t="shared" si="101"/>
        <v/>
      </c>
      <c r="CB635" s="15" t="s">
        <v>2908</v>
      </c>
      <c r="CC635" s="15" t="s">
        <v>2908</v>
      </c>
      <c r="CD635" s="25" t="s">
        <v>2797</v>
      </c>
      <c r="CE635" s="18"/>
      <c r="CF635" s="18"/>
      <c r="CG635" s="18"/>
    </row>
    <row r="636" ht="18.75" hidden="1" customHeight="1">
      <c r="A636" s="14">
        <v>44722.996722129625</v>
      </c>
      <c r="B636" s="15" t="s">
        <v>1137</v>
      </c>
      <c r="C636" s="16" t="s">
        <v>17388</v>
      </c>
      <c r="D636" s="15" t="str">
        <f>IFERROR(__xludf.DUMMYFUNCTION("QUERY(TY_ALL_2023_Batch!$A$1:$E$824, ""SELECT E WHERE C='""&amp;B636&amp;""'"", 0)"),"CIVIL")</f>
        <v>CIVIL</v>
      </c>
      <c r="E636" s="15" t="s">
        <v>7409</v>
      </c>
      <c r="F636" s="15" t="s">
        <v>4470</v>
      </c>
      <c r="G636" s="15" t="s">
        <v>17389</v>
      </c>
      <c r="H636" s="15" t="s">
        <v>2785</v>
      </c>
      <c r="I636" s="17">
        <v>37423.0</v>
      </c>
      <c r="J636" s="15">
        <v>2020.0</v>
      </c>
      <c r="K636" s="15" t="s">
        <v>2941</v>
      </c>
      <c r="L636" s="15" t="s">
        <v>2787</v>
      </c>
      <c r="M636" s="18"/>
      <c r="N636" s="15" t="s">
        <v>17390</v>
      </c>
      <c r="O636" s="15" t="s">
        <v>1137</v>
      </c>
      <c r="P636" s="19" t="s">
        <v>17391</v>
      </c>
      <c r="Q636" s="15">
        <v>9.623259771E9</v>
      </c>
      <c r="R636" s="15">
        <v>9.623259771E9</v>
      </c>
      <c r="S636" s="15">
        <v>8.087746645E9</v>
      </c>
      <c r="T636" s="15" t="s">
        <v>17392</v>
      </c>
      <c r="U636" s="15" t="s">
        <v>17393</v>
      </c>
      <c r="V636" s="15" t="s">
        <v>17394</v>
      </c>
      <c r="W636" s="18"/>
      <c r="X636" s="15">
        <v>64.0</v>
      </c>
      <c r="Y636" s="15" t="s">
        <v>2948</v>
      </c>
      <c r="Z636" s="15">
        <v>7.1</v>
      </c>
      <c r="AA636" s="15">
        <v>6.95</v>
      </c>
      <c r="AB636" s="15">
        <v>6.7</v>
      </c>
      <c r="AC636" s="15" t="s">
        <v>2796</v>
      </c>
      <c r="AD636" s="15" t="s">
        <v>2796</v>
      </c>
      <c r="AE636" s="15" t="s">
        <v>3005</v>
      </c>
      <c r="AF636" s="18"/>
      <c r="AG636" s="18"/>
      <c r="AH636" s="18"/>
      <c r="AI636" s="15">
        <v>91.32</v>
      </c>
      <c r="AJ636" s="15" t="s">
        <v>2787</v>
      </c>
      <c r="AK636" s="15" t="s">
        <v>2787</v>
      </c>
      <c r="AL636" s="15">
        <v>605.0</v>
      </c>
      <c r="AM636" s="15">
        <v>620.0</v>
      </c>
      <c r="AN636" s="15" t="s">
        <v>2787</v>
      </c>
      <c r="AO636" s="15" t="s">
        <v>2796</v>
      </c>
      <c r="AP636" s="15" t="s">
        <v>17395</v>
      </c>
      <c r="AQ636" s="15" t="s">
        <v>17396</v>
      </c>
      <c r="AR636" s="15" t="s">
        <v>3313</v>
      </c>
      <c r="AS636" s="15" t="s">
        <v>3313</v>
      </c>
      <c r="AT636" s="18"/>
      <c r="AU636" s="18"/>
      <c r="AV636" s="15" t="s">
        <v>17397</v>
      </c>
      <c r="AW636" s="15" t="s">
        <v>17398</v>
      </c>
      <c r="AX636" s="18"/>
      <c r="AY636" s="15" t="s">
        <v>17399</v>
      </c>
      <c r="AZ636" s="15" t="s">
        <v>4044</v>
      </c>
      <c r="BA636" s="15" t="s">
        <v>2870</v>
      </c>
      <c r="BB636" s="15" t="s">
        <v>2807</v>
      </c>
      <c r="BC636" s="15" t="s">
        <v>4241</v>
      </c>
      <c r="BD636" s="15" t="s">
        <v>2807</v>
      </c>
      <c r="BE636" s="15" t="s">
        <v>2796</v>
      </c>
      <c r="BF636" s="18"/>
      <c r="BG636" s="18"/>
      <c r="BH636" s="18"/>
      <c r="BI636" s="18"/>
      <c r="BJ636" s="19" t="s">
        <v>17400</v>
      </c>
      <c r="BK636" s="19" t="s">
        <v>17401</v>
      </c>
      <c r="BL636" s="18"/>
      <c r="BM636" s="18"/>
      <c r="BN636" s="18"/>
      <c r="BO636" s="19" t="s">
        <v>17402</v>
      </c>
      <c r="BP636" s="18"/>
      <c r="BQ636" s="18"/>
      <c r="BR636" s="18"/>
      <c r="BS636" s="18"/>
      <c r="BT636" s="18"/>
      <c r="BU636" s="18"/>
      <c r="BV636" s="18"/>
      <c r="BW636" s="18"/>
      <c r="BX636" s="18"/>
      <c r="BY636" s="18" t="str">
        <f t="shared" si="108"/>
        <v>CIVIL</v>
      </c>
      <c r="BZ636" s="18" t="str">
        <f t="shared" si="100"/>
        <v/>
      </c>
      <c r="CA636" s="18" t="str">
        <f t="shared" si="101"/>
        <v/>
      </c>
      <c r="CB636" s="15" t="s">
        <v>2908</v>
      </c>
      <c r="CC636" s="15" t="s">
        <v>2908</v>
      </c>
      <c r="CD636" s="25" t="s">
        <v>2797</v>
      </c>
      <c r="CE636" s="18"/>
      <c r="CF636" s="18"/>
      <c r="CG636" s="18"/>
    </row>
    <row r="637" ht="18.75" hidden="1" customHeight="1">
      <c r="A637" s="14">
        <v>44722.99933931713</v>
      </c>
      <c r="B637" s="15" t="s">
        <v>236</v>
      </c>
      <c r="C637" s="16" t="s">
        <v>17403</v>
      </c>
      <c r="D637" s="15" t="str">
        <f>IFERROR(__xludf.DUMMYFUNCTION("QUERY(TY_ALL_2023_Batch!$A$1:$E$824, ""SELECT E WHERE C='""&amp;B637&amp;""'"", 0)"),"CIVIL")</f>
        <v>CIVIL</v>
      </c>
      <c r="E637" s="15" t="s">
        <v>7663</v>
      </c>
      <c r="F637" s="15" t="s">
        <v>17404</v>
      </c>
      <c r="G637" s="15" t="s">
        <v>17405</v>
      </c>
      <c r="H637" s="15" t="s">
        <v>2785</v>
      </c>
      <c r="I637" s="17">
        <v>37167.0</v>
      </c>
      <c r="J637" s="15">
        <v>2019.0</v>
      </c>
      <c r="K637" s="15" t="s">
        <v>2786</v>
      </c>
      <c r="L637" s="15" t="s">
        <v>2787</v>
      </c>
      <c r="M637" s="18"/>
      <c r="N637" s="15" t="s">
        <v>17406</v>
      </c>
      <c r="O637" s="15" t="s">
        <v>236</v>
      </c>
      <c r="P637" s="15" t="s">
        <v>236</v>
      </c>
      <c r="Q637" s="15">
        <v>9.987300137E9</v>
      </c>
      <c r="R637" s="15">
        <v>9.987300137E9</v>
      </c>
      <c r="S637" s="15">
        <v>9.987300137E9</v>
      </c>
      <c r="T637" s="15" t="s">
        <v>17404</v>
      </c>
      <c r="U637" s="15" t="s">
        <v>12844</v>
      </c>
      <c r="V637" s="15" t="s">
        <v>17407</v>
      </c>
      <c r="W637" s="15" t="s">
        <v>17408</v>
      </c>
      <c r="X637" s="15">
        <v>73.6</v>
      </c>
      <c r="Y637" s="15" t="s">
        <v>2795</v>
      </c>
      <c r="Z637" s="15">
        <v>7.52</v>
      </c>
      <c r="AA637" s="15">
        <v>7.19</v>
      </c>
      <c r="AB637" s="15" t="s">
        <v>2796</v>
      </c>
      <c r="AC637" s="15" t="s">
        <v>2796</v>
      </c>
      <c r="AD637" s="15" t="s">
        <v>2796</v>
      </c>
      <c r="AE637" s="15" t="s">
        <v>2796</v>
      </c>
      <c r="AF637" s="15">
        <v>7.0</v>
      </c>
      <c r="AG637" s="15">
        <v>8.0</v>
      </c>
      <c r="AH637" s="15">
        <v>68.62</v>
      </c>
      <c r="AI637" s="18"/>
      <c r="AJ637" s="15" t="s">
        <v>2787</v>
      </c>
      <c r="AK637" s="15" t="s">
        <v>2797</v>
      </c>
      <c r="AL637" s="15" t="s">
        <v>2796</v>
      </c>
      <c r="AM637" s="15" t="s">
        <v>2796</v>
      </c>
      <c r="AN637" s="15" t="s">
        <v>2797</v>
      </c>
      <c r="AO637" s="15" t="s">
        <v>2796</v>
      </c>
      <c r="AP637" s="15" t="s">
        <v>2796</v>
      </c>
      <c r="AQ637" s="15" t="s">
        <v>17409</v>
      </c>
      <c r="AR637" s="18"/>
      <c r="AS637" s="18"/>
      <c r="AT637" s="18"/>
      <c r="AU637" s="18"/>
      <c r="AV637" s="18"/>
      <c r="AW637" s="15" t="s">
        <v>17410</v>
      </c>
      <c r="AX637" s="18"/>
      <c r="AY637" s="15" t="s">
        <v>2796</v>
      </c>
      <c r="AZ637" s="15" t="s">
        <v>4216</v>
      </c>
      <c r="BA637" s="15" t="s">
        <v>2899</v>
      </c>
      <c r="BB637" s="15" t="s">
        <v>2807</v>
      </c>
      <c r="BC637" s="15" t="s">
        <v>4702</v>
      </c>
      <c r="BD637" s="15" t="s">
        <v>2842</v>
      </c>
      <c r="BE637" s="15" t="s">
        <v>2796</v>
      </c>
      <c r="BF637" s="18"/>
      <c r="BG637" s="18"/>
      <c r="BH637" s="18"/>
      <c r="BI637" s="15" t="s">
        <v>17411</v>
      </c>
      <c r="BJ637" s="19" t="s">
        <v>17412</v>
      </c>
      <c r="BK637" s="19" t="s">
        <v>17413</v>
      </c>
      <c r="BL637" s="18"/>
      <c r="BM637" s="18"/>
      <c r="BN637" s="18"/>
      <c r="BO637" s="19" t="s">
        <v>17414</v>
      </c>
      <c r="BP637" s="18"/>
      <c r="BQ637" s="18"/>
      <c r="BR637" s="18"/>
      <c r="BS637" s="18"/>
      <c r="BT637" s="18"/>
      <c r="BU637" s="18"/>
      <c r="BV637" s="18"/>
      <c r="BW637" s="18"/>
      <c r="BX637" s="18"/>
      <c r="BY637" s="18" t="str">
        <f t="shared" si="108"/>
        <v>CIVIL</v>
      </c>
      <c r="BZ637" s="18" t="str">
        <f t="shared" si="100"/>
        <v/>
      </c>
      <c r="CA637" s="18" t="str">
        <f t="shared" si="101"/>
        <v/>
      </c>
      <c r="CB637" s="15" t="s">
        <v>2908</v>
      </c>
      <c r="CC637" s="15" t="s">
        <v>2908</v>
      </c>
      <c r="CD637" s="25" t="s">
        <v>2797</v>
      </c>
      <c r="CE637" s="18"/>
      <c r="CF637" s="18"/>
      <c r="CG637" s="18"/>
    </row>
    <row r="638" ht="18.75" hidden="1" customHeight="1">
      <c r="A638" s="14">
        <v>44722.89721563658</v>
      </c>
      <c r="B638" s="15" t="s">
        <v>765</v>
      </c>
      <c r="C638" s="16" t="s">
        <v>17415</v>
      </c>
      <c r="D638" s="15" t="str">
        <f>IFERROR(__xludf.DUMMYFUNCTION("QUERY(TY_ALL_2023_Batch!$A$1:$E$824, ""SELECT E WHERE C='""&amp;B638&amp;""'"", 0)"),"COMP")</f>
        <v>COMP</v>
      </c>
      <c r="E638" s="15" t="s">
        <v>17416</v>
      </c>
      <c r="F638" s="18"/>
      <c r="G638" s="15" t="s">
        <v>4418</v>
      </c>
      <c r="H638" s="15" t="s">
        <v>2785</v>
      </c>
      <c r="I638" s="17">
        <v>37267.0</v>
      </c>
      <c r="J638" s="15">
        <v>2019.0</v>
      </c>
      <c r="K638" s="15" t="s">
        <v>2786</v>
      </c>
      <c r="L638" s="15" t="s">
        <v>2787</v>
      </c>
      <c r="M638" s="18"/>
      <c r="N638" s="15" t="s">
        <v>17417</v>
      </c>
      <c r="O638" s="15" t="s">
        <v>765</v>
      </c>
      <c r="P638" s="19" t="s">
        <v>17418</v>
      </c>
      <c r="Q638" s="15">
        <v>7.889540502E9</v>
      </c>
      <c r="R638" s="15">
        <v>7.889540502E9</v>
      </c>
      <c r="S638" s="15">
        <v>9.419646612E9</v>
      </c>
      <c r="T638" s="15" t="s">
        <v>17419</v>
      </c>
      <c r="U638" s="15" t="s">
        <v>17420</v>
      </c>
      <c r="V638" s="15" t="s">
        <v>17421</v>
      </c>
      <c r="W638" s="18"/>
      <c r="X638" s="15">
        <v>87.4</v>
      </c>
      <c r="Y638" s="15" t="s">
        <v>2795</v>
      </c>
      <c r="Z638" s="15">
        <v>9.48</v>
      </c>
      <c r="AA638" s="15">
        <v>9.33</v>
      </c>
      <c r="AB638" s="15" t="s">
        <v>2796</v>
      </c>
      <c r="AC638" s="15" t="s">
        <v>2796</v>
      </c>
      <c r="AD638" s="15" t="s">
        <v>2796</v>
      </c>
      <c r="AE638" s="15" t="s">
        <v>2796</v>
      </c>
      <c r="AF638" s="15">
        <v>8.68</v>
      </c>
      <c r="AG638" s="15">
        <v>8.9</v>
      </c>
      <c r="AH638" s="15">
        <v>88.4</v>
      </c>
      <c r="AI638" s="18"/>
      <c r="AJ638" s="15" t="s">
        <v>2787</v>
      </c>
      <c r="AK638" s="15" t="s">
        <v>2787</v>
      </c>
      <c r="AL638" s="15">
        <v>678.0</v>
      </c>
      <c r="AM638" s="15">
        <v>640.0</v>
      </c>
      <c r="AN638" s="15" t="s">
        <v>2797</v>
      </c>
      <c r="AO638" s="18"/>
      <c r="AP638" s="18"/>
      <c r="AQ638" s="15" t="s">
        <v>5415</v>
      </c>
      <c r="AR638" s="18"/>
      <c r="AS638" s="18"/>
      <c r="AT638" s="18"/>
      <c r="AU638" s="15" t="s">
        <v>17422</v>
      </c>
      <c r="AV638" s="15" t="s">
        <v>17423</v>
      </c>
      <c r="AW638" s="15" t="s">
        <v>17424</v>
      </c>
      <c r="AX638" s="18"/>
      <c r="AY638" s="15" t="s">
        <v>17425</v>
      </c>
      <c r="AZ638" s="15" t="s">
        <v>5287</v>
      </c>
      <c r="BA638" s="15" t="s">
        <v>17426</v>
      </c>
      <c r="BB638" s="15" t="s">
        <v>5603</v>
      </c>
      <c r="BC638" s="15" t="s">
        <v>17427</v>
      </c>
      <c r="BD638" s="15" t="s">
        <v>17428</v>
      </c>
      <c r="BE638" s="15" t="s">
        <v>17429</v>
      </c>
      <c r="BF638" s="18"/>
      <c r="BG638" s="18"/>
      <c r="BH638" s="18"/>
      <c r="BI638" s="15" t="s">
        <v>17430</v>
      </c>
      <c r="BJ638" s="19" t="s">
        <v>17431</v>
      </c>
      <c r="BK638" s="19" t="s">
        <v>17432</v>
      </c>
      <c r="BL638" s="18"/>
      <c r="BM638" s="18"/>
      <c r="BN638" s="19" t="s">
        <v>17433</v>
      </c>
      <c r="BO638" s="19" t="s">
        <v>17434</v>
      </c>
      <c r="BP638" s="19" t="s">
        <v>17435</v>
      </c>
      <c r="BQ638" s="26"/>
      <c r="BR638" s="26"/>
      <c r="BS638" s="26"/>
      <c r="BT638" s="26"/>
      <c r="BU638" s="26"/>
      <c r="BV638" s="26"/>
      <c r="BW638" s="26"/>
      <c r="BX638" s="26"/>
      <c r="BY638" s="18" t="str">
        <f t="shared" si="108"/>
        <v>COMP</v>
      </c>
      <c r="BZ638" s="18" t="str">
        <f t="shared" si="100"/>
        <v/>
      </c>
      <c r="CA638" s="18" t="str">
        <f t="shared" si="101"/>
        <v/>
      </c>
      <c r="CB638" s="15" t="s">
        <v>2908</v>
      </c>
      <c r="CC638" s="15" t="s">
        <v>2908</v>
      </c>
      <c r="CD638" s="25" t="s">
        <v>2787</v>
      </c>
      <c r="CE638" s="18"/>
      <c r="CF638" s="18"/>
      <c r="CG638" s="18"/>
    </row>
    <row r="639" ht="18.75" hidden="1" customHeight="1">
      <c r="A639" s="14">
        <v>44722.99866703704</v>
      </c>
      <c r="B639" s="15" t="s">
        <v>807</v>
      </c>
      <c r="C639" s="16" t="s">
        <v>17436</v>
      </c>
      <c r="D639" s="15" t="str">
        <f>IFERROR(__xludf.DUMMYFUNCTION("QUERY(TY_ALL_2023_Batch!$A$1:$E$824, ""SELECT E WHERE C='""&amp;B639&amp;""'"", 0)"),"COMP")</f>
        <v>COMP</v>
      </c>
      <c r="E639" s="15" t="s">
        <v>2939</v>
      </c>
      <c r="F639" s="15" t="s">
        <v>17437</v>
      </c>
      <c r="G639" s="15" t="s">
        <v>17438</v>
      </c>
      <c r="H639" s="15" t="s">
        <v>2785</v>
      </c>
      <c r="I639" s="17">
        <v>37209.0</v>
      </c>
      <c r="J639" s="15">
        <v>2019.0</v>
      </c>
      <c r="K639" s="15" t="s">
        <v>2786</v>
      </c>
      <c r="L639" s="15" t="s">
        <v>2787</v>
      </c>
      <c r="M639" s="18"/>
      <c r="N639" s="15" t="s">
        <v>17439</v>
      </c>
      <c r="O639" s="15" t="s">
        <v>807</v>
      </c>
      <c r="P639" s="19" t="s">
        <v>17440</v>
      </c>
      <c r="Q639" s="15">
        <v>9.112640264E9</v>
      </c>
      <c r="R639" s="15">
        <v>9.112640264E9</v>
      </c>
      <c r="S639" s="15">
        <v>9.356396375E9</v>
      </c>
      <c r="T639" s="15" t="s">
        <v>17441</v>
      </c>
      <c r="U639" s="15" t="s">
        <v>17442</v>
      </c>
      <c r="V639" s="15" t="s">
        <v>17443</v>
      </c>
      <c r="W639" s="15" t="s">
        <v>17444</v>
      </c>
      <c r="X639" s="15">
        <v>66.8</v>
      </c>
      <c r="Y639" s="15" t="s">
        <v>2795</v>
      </c>
      <c r="Z639" s="15">
        <v>7.19</v>
      </c>
      <c r="AA639" s="15">
        <v>6.71</v>
      </c>
      <c r="AB639" s="15" t="s">
        <v>17445</v>
      </c>
      <c r="AC639" s="15" t="s">
        <v>17445</v>
      </c>
      <c r="AD639" s="15" t="s">
        <v>17445</v>
      </c>
      <c r="AE639" s="15" t="s">
        <v>17445</v>
      </c>
      <c r="AF639" s="15">
        <v>7.0</v>
      </c>
      <c r="AG639" s="15">
        <v>7.37</v>
      </c>
      <c r="AH639" s="15">
        <v>71.38</v>
      </c>
      <c r="AI639" s="18"/>
      <c r="AJ639" s="15" t="s">
        <v>2797</v>
      </c>
      <c r="AK639" s="15" t="s">
        <v>2787</v>
      </c>
      <c r="AL639" s="15" t="s">
        <v>2796</v>
      </c>
      <c r="AM639" s="15" t="s">
        <v>2796</v>
      </c>
      <c r="AN639" s="15" t="s">
        <v>2787</v>
      </c>
      <c r="AO639" s="15" t="s">
        <v>17446</v>
      </c>
      <c r="AP639" s="15" t="s">
        <v>2796</v>
      </c>
      <c r="AQ639" s="15" t="s">
        <v>17447</v>
      </c>
      <c r="AR639" s="18"/>
      <c r="AS639" s="18"/>
      <c r="AT639" s="18"/>
      <c r="AU639" s="18"/>
      <c r="AV639" s="18"/>
      <c r="AW639" s="15" t="s">
        <v>17448</v>
      </c>
      <c r="AX639" s="18"/>
      <c r="AY639" s="15" t="s">
        <v>17449</v>
      </c>
      <c r="AZ639" s="15" t="s">
        <v>5260</v>
      </c>
      <c r="BA639" s="15" t="s">
        <v>17450</v>
      </c>
      <c r="BB639" s="15" t="s">
        <v>7462</v>
      </c>
      <c r="BC639" s="15" t="s">
        <v>4241</v>
      </c>
      <c r="BD639" s="15" t="s">
        <v>2807</v>
      </c>
      <c r="BE639" s="15" t="s">
        <v>2796</v>
      </c>
      <c r="BF639" s="18"/>
      <c r="BG639" s="18"/>
      <c r="BH639" s="18"/>
      <c r="BI639" s="18"/>
      <c r="BJ639" s="19" t="s">
        <v>17451</v>
      </c>
      <c r="BK639" s="19" t="s">
        <v>17452</v>
      </c>
      <c r="BL639" s="18"/>
      <c r="BM639" s="18"/>
      <c r="BN639" s="28" t="s">
        <v>2931</v>
      </c>
      <c r="BO639" s="19" t="s">
        <v>17453</v>
      </c>
      <c r="BP639" s="18"/>
      <c r="BQ639" s="18"/>
      <c r="BR639" s="18"/>
      <c r="BS639" s="18"/>
      <c r="BT639" s="18"/>
      <c r="BU639" s="18"/>
      <c r="BV639" s="18"/>
      <c r="BW639" s="18"/>
      <c r="BX639" s="18"/>
      <c r="BY639" s="18" t="str">
        <f t="shared" si="108"/>
        <v>COMP</v>
      </c>
      <c r="BZ639" s="18" t="str">
        <f t="shared" si="100"/>
        <v/>
      </c>
      <c r="CA639" s="18" t="str">
        <f t="shared" si="101"/>
        <v/>
      </c>
      <c r="CB639" s="15" t="s">
        <v>2908</v>
      </c>
      <c r="CC639" s="15" t="s">
        <v>2908</v>
      </c>
      <c r="CD639" s="25" t="s">
        <v>2797</v>
      </c>
      <c r="CE639" s="18"/>
      <c r="CF639" s="18"/>
      <c r="CG639" s="18"/>
    </row>
    <row r="640" ht="18.75" hidden="1" customHeight="1">
      <c r="A640" s="14">
        <v>44722.927395983796</v>
      </c>
      <c r="B640" s="15" t="s">
        <v>873</v>
      </c>
      <c r="C640" s="16" t="s">
        <v>17454</v>
      </c>
      <c r="D640" s="15" t="str">
        <f>IFERROR(__xludf.DUMMYFUNCTION("QUERY(TY_ALL_2023_Batch!$A$1:$E$824, ""SELECT E WHERE C='""&amp;B640&amp;""'"", 0)"),"COMP")</f>
        <v>COMP</v>
      </c>
      <c r="E640" s="15" t="s">
        <v>3498</v>
      </c>
      <c r="F640" s="15" t="s">
        <v>16286</v>
      </c>
      <c r="G640" s="15" t="s">
        <v>4471</v>
      </c>
      <c r="H640" s="15" t="s">
        <v>2785</v>
      </c>
      <c r="I640" s="17">
        <v>36824.0</v>
      </c>
      <c r="J640" s="15">
        <v>2019.0</v>
      </c>
      <c r="K640" s="15" t="s">
        <v>2786</v>
      </c>
      <c r="L640" s="15" t="s">
        <v>2787</v>
      </c>
      <c r="M640" s="18"/>
      <c r="N640" s="15" t="s">
        <v>17455</v>
      </c>
      <c r="O640" s="15" t="s">
        <v>873</v>
      </c>
      <c r="P640" s="19" t="s">
        <v>17456</v>
      </c>
      <c r="Q640" s="15">
        <v>9.623464717E9</v>
      </c>
      <c r="R640" s="15">
        <v>9.623464717E9</v>
      </c>
      <c r="S640" s="15">
        <v>9.623464717E9</v>
      </c>
      <c r="T640" s="15" t="s">
        <v>17457</v>
      </c>
      <c r="U640" s="15" t="s">
        <v>17458</v>
      </c>
      <c r="V640" s="15" t="s">
        <v>17459</v>
      </c>
      <c r="W640" s="15" t="s">
        <v>17460</v>
      </c>
      <c r="X640" s="15">
        <v>70.0</v>
      </c>
      <c r="Y640" s="15" t="s">
        <v>2795</v>
      </c>
      <c r="Z640" s="15">
        <v>8.05</v>
      </c>
      <c r="AA640" s="15">
        <v>8.05</v>
      </c>
      <c r="AB640" s="15" t="s">
        <v>2796</v>
      </c>
      <c r="AC640" s="15" t="s">
        <v>2796</v>
      </c>
      <c r="AD640" s="15" t="s">
        <v>2796</v>
      </c>
      <c r="AE640" s="15" t="s">
        <v>2796</v>
      </c>
      <c r="AF640" s="15">
        <v>7.84</v>
      </c>
      <c r="AG640" s="15">
        <v>8.38</v>
      </c>
      <c r="AH640" s="15">
        <v>79.0</v>
      </c>
      <c r="AI640" s="18"/>
      <c r="AJ640" s="15" t="s">
        <v>2787</v>
      </c>
      <c r="AK640" s="15" t="s">
        <v>2787</v>
      </c>
      <c r="AL640" s="15">
        <v>508.0</v>
      </c>
      <c r="AM640" s="15">
        <v>620.0</v>
      </c>
      <c r="AN640" s="15" t="s">
        <v>2787</v>
      </c>
      <c r="AO640" s="15" t="s">
        <v>2796</v>
      </c>
      <c r="AP640" s="15" t="s">
        <v>17461</v>
      </c>
      <c r="AQ640" s="15" t="s">
        <v>8408</v>
      </c>
      <c r="AR640" s="15" t="s">
        <v>17462</v>
      </c>
      <c r="AS640" s="18"/>
      <c r="AT640" s="18"/>
      <c r="AU640" s="15" t="s">
        <v>2796</v>
      </c>
      <c r="AV640" s="15" t="s">
        <v>17463</v>
      </c>
      <c r="AW640" s="15" t="s">
        <v>17464</v>
      </c>
      <c r="AX640" s="15" t="s">
        <v>17465</v>
      </c>
      <c r="AY640" s="15" t="s">
        <v>17466</v>
      </c>
      <c r="AZ640" s="15" t="s">
        <v>5335</v>
      </c>
      <c r="BA640" s="15" t="s">
        <v>5552</v>
      </c>
      <c r="BB640" s="15" t="s">
        <v>5871</v>
      </c>
      <c r="BC640" s="15" t="s">
        <v>17467</v>
      </c>
      <c r="BD640" s="15" t="s">
        <v>7553</v>
      </c>
      <c r="BE640" s="15" t="s">
        <v>2796</v>
      </c>
      <c r="BF640" s="18"/>
      <c r="BG640" s="18"/>
      <c r="BH640" s="18"/>
      <c r="BI640" s="15" t="s">
        <v>17468</v>
      </c>
      <c r="BJ640" s="19" t="s">
        <v>17469</v>
      </c>
      <c r="BK640" s="19" t="s">
        <v>17470</v>
      </c>
      <c r="BL640" s="18"/>
      <c r="BM640" s="18"/>
      <c r="BN640" s="19" t="s">
        <v>17471</v>
      </c>
      <c r="BO640" s="19" t="s">
        <v>17472</v>
      </c>
      <c r="BP640" s="19" t="s">
        <v>17473</v>
      </c>
      <c r="BQ640" s="26"/>
      <c r="BR640" s="26"/>
      <c r="BS640" s="26"/>
      <c r="BT640" s="26"/>
      <c r="BU640" s="26"/>
      <c r="BV640" s="26"/>
      <c r="BW640" s="26"/>
      <c r="BX640" s="26"/>
      <c r="BY640" s="18" t="str">
        <f t="shared" si="108"/>
        <v>COMP</v>
      </c>
      <c r="BZ640" s="18" t="str">
        <f t="shared" si="100"/>
        <v/>
      </c>
      <c r="CA640" s="18" t="str">
        <f t="shared" si="101"/>
        <v/>
      </c>
      <c r="CB640" s="15" t="s">
        <v>2908</v>
      </c>
      <c r="CC640" s="15" t="s">
        <v>2908</v>
      </c>
      <c r="CD640" s="25" t="s">
        <v>2797</v>
      </c>
      <c r="CE640" s="18"/>
      <c r="CF640" s="18"/>
      <c r="CG640" s="18"/>
    </row>
    <row r="641" ht="18.75" hidden="1" customHeight="1">
      <c r="A641" s="14">
        <v>44722.82905598379</v>
      </c>
      <c r="B641" s="15" t="s">
        <v>783</v>
      </c>
      <c r="C641" s="16" t="s">
        <v>17474</v>
      </c>
      <c r="D641" s="15" t="str">
        <f>IFERROR(__xludf.DUMMYFUNCTION("QUERY(TY_ALL_2023_Batch!$A$1:$E$824, ""SELECT E WHERE C='""&amp;B641&amp;""'"", 0)"),"COMP")</f>
        <v>COMP</v>
      </c>
      <c r="E641" s="15" t="s">
        <v>7627</v>
      </c>
      <c r="F641" s="15" t="s">
        <v>2939</v>
      </c>
      <c r="G641" s="15" t="s">
        <v>17475</v>
      </c>
      <c r="H641" s="15" t="s">
        <v>2785</v>
      </c>
      <c r="I641" s="17">
        <v>36808.0</v>
      </c>
      <c r="J641" s="15">
        <v>2019.0</v>
      </c>
      <c r="K641" s="15" t="s">
        <v>2786</v>
      </c>
      <c r="L641" s="15" t="s">
        <v>2787</v>
      </c>
      <c r="M641" s="18"/>
      <c r="N641" s="15" t="s">
        <v>17476</v>
      </c>
      <c r="O641" s="15" t="s">
        <v>783</v>
      </c>
      <c r="P641" s="19" t="s">
        <v>17477</v>
      </c>
      <c r="Q641" s="15">
        <v>9.890399407E9</v>
      </c>
      <c r="R641" s="15">
        <v>9.890399407E9</v>
      </c>
      <c r="S641" s="18"/>
      <c r="T641" s="15" t="s">
        <v>17478</v>
      </c>
      <c r="U641" s="15" t="s">
        <v>17479</v>
      </c>
      <c r="V641" s="15" t="s">
        <v>17480</v>
      </c>
      <c r="W641" s="18"/>
      <c r="X641" s="15">
        <v>95.0</v>
      </c>
      <c r="Y641" s="15" t="s">
        <v>2795</v>
      </c>
      <c r="Z641" s="15">
        <v>9.1</v>
      </c>
      <c r="AA641" s="15">
        <v>8.9</v>
      </c>
      <c r="AB641" s="15" t="s">
        <v>2796</v>
      </c>
      <c r="AC641" s="15" t="s">
        <v>2796</v>
      </c>
      <c r="AD641" s="15" t="s">
        <v>2796</v>
      </c>
      <c r="AE641" s="15" t="s">
        <v>2796</v>
      </c>
      <c r="AF641" s="15">
        <v>8.43</v>
      </c>
      <c r="AG641" s="15">
        <v>8.51</v>
      </c>
      <c r="AH641" s="15">
        <v>75.0</v>
      </c>
      <c r="AI641" s="18"/>
      <c r="AJ641" s="15" t="s">
        <v>2787</v>
      </c>
      <c r="AK641" s="15" t="s">
        <v>2787</v>
      </c>
      <c r="AL641" s="15">
        <v>596.66</v>
      </c>
      <c r="AM641" s="15">
        <v>738.33</v>
      </c>
      <c r="AN641" s="15" t="s">
        <v>2797</v>
      </c>
      <c r="AO641" s="18"/>
      <c r="AP641" s="18"/>
      <c r="AQ641" s="15" t="s">
        <v>17481</v>
      </c>
      <c r="AR641" s="18"/>
      <c r="AS641" s="18"/>
      <c r="AT641" s="18"/>
      <c r="AU641" s="18"/>
      <c r="AV641" s="15" t="s">
        <v>17482</v>
      </c>
      <c r="AW641" s="15" t="s">
        <v>17483</v>
      </c>
      <c r="AX641" s="18"/>
      <c r="AY641" s="15" t="s">
        <v>17484</v>
      </c>
      <c r="AZ641" s="15" t="s">
        <v>5287</v>
      </c>
      <c r="BA641" s="15" t="s">
        <v>6216</v>
      </c>
      <c r="BB641" s="15" t="s">
        <v>6582</v>
      </c>
      <c r="BC641" s="15" t="s">
        <v>3686</v>
      </c>
      <c r="BD641" s="15" t="s">
        <v>12299</v>
      </c>
      <c r="BE641" s="15" t="s">
        <v>17485</v>
      </c>
      <c r="BF641" s="18"/>
      <c r="BG641" s="18"/>
      <c r="BH641" s="18"/>
      <c r="BI641" s="18"/>
      <c r="BJ641" s="19" t="s">
        <v>17486</v>
      </c>
      <c r="BK641" s="19" t="s">
        <v>17487</v>
      </c>
      <c r="BL641" s="19" t="s">
        <v>17488</v>
      </c>
      <c r="BM641" s="19" t="s">
        <v>17489</v>
      </c>
      <c r="BN641" s="28" t="s">
        <v>2931</v>
      </c>
      <c r="BO641" s="19" t="s">
        <v>17490</v>
      </c>
      <c r="BP641" s="18"/>
      <c r="BQ641" s="18"/>
      <c r="BR641" s="18"/>
      <c r="BS641" s="18"/>
      <c r="BT641" s="18"/>
      <c r="BU641" s="18"/>
      <c r="BV641" s="18"/>
      <c r="BW641" s="18"/>
      <c r="BX641" s="18"/>
      <c r="BY641" s="18" t="str">
        <f t="shared" si="108"/>
        <v>COMP</v>
      </c>
      <c r="BZ641" s="24" t="str">
        <f t="shared" si="100"/>
        <v>https://drive.google.com/open?id=1gFEC21cekSrznQk6hdRjEBc5qSdhE0gR</v>
      </c>
      <c r="CA641" s="24" t="str">
        <f t="shared" si="101"/>
        <v>https://drive.google.com/open?id=18l6XCOsUk8RJFUsw_8aG3sElWCZXBS0y</v>
      </c>
      <c r="CB641" s="15" t="s">
        <v>2821</v>
      </c>
      <c r="CC641" s="15" t="s">
        <v>2821</v>
      </c>
      <c r="CD641" s="25" t="s">
        <v>2797</v>
      </c>
      <c r="CE641" s="18"/>
      <c r="CF641" s="18"/>
      <c r="CG641" s="18"/>
    </row>
    <row r="642" ht="18.75" hidden="1" customHeight="1">
      <c r="A642" s="14">
        <v>44722.8258453125</v>
      </c>
      <c r="B642" s="15" t="s">
        <v>885</v>
      </c>
      <c r="C642" s="16" t="s">
        <v>17491</v>
      </c>
      <c r="D642" s="15" t="str">
        <f>IFERROR(__xludf.DUMMYFUNCTION("QUERY(TY_ALL_2023_Batch!$A$1:$E$824, ""SELECT E WHERE C='""&amp;B642&amp;""'"", 0)"),"COMP")</f>
        <v>COMP</v>
      </c>
      <c r="E642" s="15" t="s">
        <v>17492</v>
      </c>
      <c r="F642" s="18"/>
      <c r="G642" s="15" t="s">
        <v>11981</v>
      </c>
      <c r="H642" s="15" t="s">
        <v>2785</v>
      </c>
      <c r="I642" s="17">
        <v>37116.0</v>
      </c>
      <c r="J642" s="15">
        <v>2019.0</v>
      </c>
      <c r="K642" s="15" t="s">
        <v>2786</v>
      </c>
      <c r="L642" s="15" t="s">
        <v>2787</v>
      </c>
      <c r="M642" s="18"/>
      <c r="N642" s="15" t="s">
        <v>17493</v>
      </c>
      <c r="O642" s="15" t="s">
        <v>885</v>
      </c>
      <c r="P642" s="19" t="s">
        <v>17494</v>
      </c>
      <c r="Q642" s="15">
        <v>9.325748622E9</v>
      </c>
      <c r="R642" s="15">
        <v>9.325748622E9</v>
      </c>
      <c r="S642" s="18"/>
      <c r="T642" s="15" t="s">
        <v>2796</v>
      </c>
      <c r="U642" s="15" t="s">
        <v>2796</v>
      </c>
      <c r="V642" s="15" t="s">
        <v>17495</v>
      </c>
      <c r="W642" s="15" t="s">
        <v>17496</v>
      </c>
      <c r="X642" s="15">
        <v>89.0</v>
      </c>
      <c r="Y642" s="15" t="s">
        <v>2795</v>
      </c>
      <c r="Z642" s="15">
        <v>8.43</v>
      </c>
      <c r="AA642" s="15">
        <v>8.56</v>
      </c>
      <c r="AB642" s="15" t="s">
        <v>2796</v>
      </c>
      <c r="AC642" s="15" t="s">
        <v>2796</v>
      </c>
      <c r="AD642" s="15" t="s">
        <v>2796</v>
      </c>
      <c r="AE642" s="15" t="s">
        <v>2796</v>
      </c>
      <c r="AF642" s="15">
        <v>8.19</v>
      </c>
      <c r="AG642" s="15">
        <v>8.54</v>
      </c>
      <c r="AH642" s="15">
        <v>76.0</v>
      </c>
      <c r="AI642" s="18"/>
      <c r="AJ642" s="15" t="s">
        <v>2787</v>
      </c>
      <c r="AK642" s="15" t="s">
        <v>2787</v>
      </c>
      <c r="AL642" s="18"/>
      <c r="AM642" s="18"/>
      <c r="AN642" s="15" t="s">
        <v>2797</v>
      </c>
      <c r="AO642" s="18"/>
      <c r="AP642" s="18"/>
      <c r="AQ642" s="15" t="s">
        <v>17497</v>
      </c>
      <c r="AR642" s="18"/>
      <c r="AS642" s="18"/>
      <c r="AT642" s="18"/>
      <c r="AU642" s="18"/>
      <c r="AV642" s="15" t="s">
        <v>17498</v>
      </c>
      <c r="AW642" s="15" t="s">
        <v>17499</v>
      </c>
      <c r="AX642" s="18"/>
      <c r="AY642" s="15" t="s">
        <v>17500</v>
      </c>
      <c r="AZ642" s="15" t="s">
        <v>5625</v>
      </c>
      <c r="BA642" s="15" t="s">
        <v>2806</v>
      </c>
      <c r="BB642" s="15" t="s">
        <v>3462</v>
      </c>
      <c r="BC642" s="15" t="s">
        <v>5604</v>
      </c>
      <c r="BD642" s="15" t="s">
        <v>2807</v>
      </c>
      <c r="BE642" s="15" t="s">
        <v>17501</v>
      </c>
      <c r="BF642" s="18"/>
      <c r="BG642" s="18"/>
      <c r="BH642" s="18"/>
      <c r="BI642" s="18"/>
      <c r="BJ642" s="19" t="s">
        <v>17502</v>
      </c>
      <c r="BK642" s="19" t="s">
        <v>17503</v>
      </c>
      <c r="BL642" s="18"/>
      <c r="BM642" s="18"/>
      <c r="BN642" s="19" t="s">
        <v>17504</v>
      </c>
      <c r="BO642" s="19" t="s">
        <v>17505</v>
      </c>
      <c r="BP642" s="18"/>
      <c r="BQ642" s="18"/>
      <c r="BR642" s="18"/>
      <c r="BS642" s="18"/>
      <c r="BT642" s="18"/>
      <c r="BU642" s="18"/>
      <c r="BV642" s="18"/>
      <c r="BW642" s="18"/>
      <c r="BX642" s="18"/>
      <c r="BY642" s="18" t="str">
        <f t="shared" si="108"/>
        <v>COMP</v>
      </c>
      <c r="BZ642" s="18" t="str">
        <f t="shared" si="100"/>
        <v/>
      </c>
      <c r="CA642" s="18" t="str">
        <f t="shared" si="101"/>
        <v/>
      </c>
      <c r="CB642" s="15" t="s">
        <v>2908</v>
      </c>
      <c r="CC642" s="15" t="s">
        <v>2908</v>
      </c>
      <c r="CD642" s="25" t="s">
        <v>2797</v>
      </c>
      <c r="CE642" s="18"/>
      <c r="CF642" s="18"/>
      <c r="CG642" s="18"/>
    </row>
    <row r="643" ht="18.75" hidden="1" customHeight="1">
      <c r="A643" s="14">
        <v>44722.94475064815</v>
      </c>
      <c r="B643" s="15" t="s">
        <v>780</v>
      </c>
      <c r="C643" s="16" t="s">
        <v>17506</v>
      </c>
      <c r="D643" s="15" t="str">
        <f>IFERROR(__xludf.DUMMYFUNCTION("QUERY(TY_ALL_2023_Batch!$A$1:$E$824, ""SELECT E WHERE C='""&amp;B643&amp;""'"", 0)"),"COMP")</f>
        <v>COMP</v>
      </c>
      <c r="E643" s="15" t="s">
        <v>13988</v>
      </c>
      <c r="F643" s="15" t="s">
        <v>16303</v>
      </c>
      <c r="G643" s="15" t="s">
        <v>17507</v>
      </c>
      <c r="H643" s="15" t="s">
        <v>2785</v>
      </c>
      <c r="I643" s="17">
        <v>36798.0</v>
      </c>
      <c r="J643" s="15">
        <v>2019.0</v>
      </c>
      <c r="K643" s="15" t="s">
        <v>2786</v>
      </c>
      <c r="L643" s="15" t="s">
        <v>2787</v>
      </c>
      <c r="M643" s="18"/>
      <c r="N643" s="15" t="s">
        <v>17508</v>
      </c>
      <c r="O643" s="15" t="s">
        <v>17509</v>
      </c>
      <c r="P643" s="19" t="s">
        <v>17510</v>
      </c>
      <c r="Q643" s="15">
        <v>9.112916534E9</v>
      </c>
      <c r="R643" s="15">
        <v>9.112916534E9</v>
      </c>
      <c r="S643" s="15">
        <v>9.112916534E9</v>
      </c>
      <c r="T643" s="15" t="s">
        <v>17511</v>
      </c>
      <c r="U643" s="15" t="s">
        <v>17512</v>
      </c>
      <c r="V643" s="15" t="s">
        <v>17513</v>
      </c>
      <c r="W643" s="18"/>
      <c r="X643" s="15">
        <v>78.4</v>
      </c>
      <c r="Y643" s="15" t="s">
        <v>2795</v>
      </c>
      <c r="Z643" s="15">
        <v>8.55</v>
      </c>
      <c r="AA643" s="15">
        <v>8.76</v>
      </c>
      <c r="AB643" s="15" t="s">
        <v>2796</v>
      </c>
      <c r="AC643" s="15" t="s">
        <v>2796</v>
      </c>
      <c r="AD643" s="15" t="s">
        <v>2796</v>
      </c>
      <c r="AE643" s="15" t="s">
        <v>2796</v>
      </c>
      <c r="AF643" s="15">
        <v>8.47</v>
      </c>
      <c r="AG643" s="15">
        <v>8.57</v>
      </c>
      <c r="AH643" s="15">
        <v>62.46</v>
      </c>
      <c r="AI643" s="18"/>
      <c r="AJ643" s="15" t="s">
        <v>2787</v>
      </c>
      <c r="AK643" s="15" t="s">
        <v>2787</v>
      </c>
      <c r="AL643" s="18"/>
      <c r="AM643" s="15">
        <v>624.0</v>
      </c>
      <c r="AN643" s="15" t="s">
        <v>2787</v>
      </c>
      <c r="AO643" s="15" t="s">
        <v>2796</v>
      </c>
      <c r="AP643" s="15" t="s">
        <v>3275</v>
      </c>
      <c r="AQ643" s="15" t="s">
        <v>11399</v>
      </c>
      <c r="AR643" s="15" t="s">
        <v>17514</v>
      </c>
      <c r="AS643" s="18"/>
      <c r="AT643" s="18"/>
      <c r="AU643" s="18"/>
      <c r="AV643" s="15" t="s">
        <v>17515</v>
      </c>
      <c r="AW643" s="15" t="s">
        <v>17516</v>
      </c>
      <c r="AX643" s="18"/>
      <c r="AY643" s="15" t="s">
        <v>17517</v>
      </c>
      <c r="AZ643" s="15" t="s">
        <v>5335</v>
      </c>
      <c r="BA643" s="15" t="s">
        <v>17518</v>
      </c>
      <c r="BB643" s="15" t="s">
        <v>17519</v>
      </c>
      <c r="BC643" s="15" t="s">
        <v>10220</v>
      </c>
      <c r="BD643" s="15" t="s">
        <v>2807</v>
      </c>
      <c r="BE643" s="15" t="s">
        <v>17520</v>
      </c>
      <c r="BF643" s="15" t="s">
        <v>2796</v>
      </c>
      <c r="BG643" s="15" t="s">
        <v>2796</v>
      </c>
      <c r="BH643" s="15" t="s">
        <v>17521</v>
      </c>
      <c r="BI643" s="15" t="s">
        <v>2796</v>
      </c>
      <c r="BJ643" s="19" t="s">
        <v>17522</v>
      </c>
      <c r="BK643" s="19" t="s">
        <v>17523</v>
      </c>
      <c r="BL643" s="18"/>
      <c r="BM643" s="18"/>
      <c r="BN643" s="19" t="s">
        <v>17524</v>
      </c>
      <c r="BO643" s="19" t="s">
        <v>17525</v>
      </c>
      <c r="BP643" s="19" t="s">
        <v>17526</v>
      </c>
      <c r="BQ643" s="26"/>
      <c r="BR643" s="26"/>
      <c r="BS643" s="26"/>
      <c r="BT643" s="26"/>
      <c r="BU643" s="26"/>
      <c r="BV643" s="26"/>
      <c r="BW643" s="26"/>
      <c r="BX643" s="26"/>
      <c r="BY643" s="18" t="str">
        <f t="shared" si="108"/>
        <v>COMP</v>
      </c>
      <c r="BZ643" s="18" t="str">
        <f t="shared" si="100"/>
        <v/>
      </c>
      <c r="CA643" s="18" t="str">
        <f t="shared" si="101"/>
        <v/>
      </c>
      <c r="CB643" s="15" t="s">
        <v>2908</v>
      </c>
      <c r="CC643" s="15" t="s">
        <v>2908</v>
      </c>
      <c r="CD643" s="25" t="s">
        <v>2797</v>
      </c>
      <c r="CE643" s="18"/>
      <c r="CF643" s="18"/>
      <c r="CG643" s="18"/>
    </row>
    <row r="644" ht="18.75" hidden="1" customHeight="1">
      <c r="A644" s="14">
        <v>44722.89612642361</v>
      </c>
      <c r="B644" s="15" t="s">
        <v>621</v>
      </c>
      <c r="C644" s="16" t="s">
        <v>17527</v>
      </c>
      <c r="D644" s="15" t="str">
        <f>IFERROR(__xludf.DUMMYFUNCTION("QUERY(TY_ALL_2023_Batch!$A$1:$E$824, ""SELECT E WHERE C='""&amp;B644&amp;""'"", 0)"),"COMP")</f>
        <v>COMP</v>
      </c>
      <c r="E644" s="15" t="s">
        <v>14175</v>
      </c>
      <c r="F644" s="15" t="s">
        <v>17528</v>
      </c>
      <c r="G644" s="15" t="s">
        <v>17529</v>
      </c>
      <c r="H644" s="15" t="s">
        <v>2785</v>
      </c>
      <c r="I644" s="17">
        <v>37448.0</v>
      </c>
      <c r="J644" s="15">
        <v>2019.0</v>
      </c>
      <c r="K644" s="15" t="s">
        <v>2786</v>
      </c>
      <c r="L644" s="15" t="s">
        <v>2787</v>
      </c>
      <c r="M644" s="18"/>
      <c r="N644" s="15" t="s">
        <v>17530</v>
      </c>
      <c r="O644" s="15" t="s">
        <v>621</v>
      </c>
      <c r="P644" s="19" t="s">
        <v>17531</v>
      </c>
      <c r="Q644" s="15">
        <v>7.49903901E9</v>
      </c>
      <c r="R644" s="15">
        <v>8.698448948E9</v>
      </c>
      <c r="S644" s="18"/>
      <c r="T644" s="15" t="s">
        <v>17532</v>
      </c>
      <c r="U644" s="15" t="s">
        <v>17533</v>
      </c>
      <c r="V644" s="15" t="s">
        <v>17534</v>
      </c>
      <c r="W644" s="15" t="s">
        <v>17535</v>
      </c>
      <c r="X644" s="15">
        <v>89.4</v>
      </c>
      <c r="Y644" s="15" t="s">
        <v>2795</v>
      </c>
      <c r="Z644" s="15">
        <v>9.29</v>
      </c>
      <c r="AA644" s="15">
        <v>9.24</v>
      </c>
      <c r="AB644" s="15" t="s">
        <v>2796</v>
      </c>
      <c r="AC644" s="15" t="s">
        <v>2796</v>
      </c>
      <c r="AD644" s="15" t="s">
        <v>2796</v>
      </c>
      <c r="AE644" s="15" t="s">
        <v>2796</v>
      </c>
      <c r="AF644" s="15">
        <v>8.84</v>
      </c>
      <c r="AG644" s="15">
        <v>9.29</v>
      </c>
      <c r="AH644" s="15">
        <v>94.4</v>
      </c>
      <c r="AI644" s="18"/>
      <c r="AJ644" s="15" t="s">
        <v>2787</v>
      </c>
      <c r="AK644" s="15" t="s">
        <v>2787</v>
      </c>
      <c r="AL644" s="15">
        <v>581.0</v>
      </c>
      <c r="AM644" s="15">
        <v>648.0</v>
      </c>
      <c r="AN644" s="15" t="s">
        <v>2787</v>
      </c>
      <c r="AO644" s="15" t="s">
        <v>2796</v>
      </c>
      <c r="AP644" s="15" t="s">
        <v>17536</v>
      </c>
      <c r="AQ644" s="15" t="s">
        <v>5356</v>
      </c>
      <c r="AR644" s="15" t="s">
        <v>17537</v>
      </c>
      <c r="AS644" s="15" t="s">
        <v>17538</v>
      </c>
      <c r="AT644" s="15" t="s">
        <v>2796</v>
      </c>
      <c r="AU644" s="18"/>
      <c r="AV644" s="15" t="s">
        <v>11718</v>
      </c>
      <c r="AW644" s="15" t="s">
        <v>17539</v>
      </c>
      <c r="AX644" s="15" t="s">
        <v>2796</v>
      </c>
      <c r="AY644" s="15" t="s">
        <v>17540</v>
      </c>
      <c r="AZ644" s="15" t="s">
        <v>5335</v>
      </c>
      <c r="BA644" s="15" t="s">
        <v>17541</v>
      </c>
      <c r="BB644" s="15" t="s">
        <v>5871</v>
      </c>
      <c r="BC644" s="15" t="s">
        <v>5394</v>
      </c>
      <c r="BD644" s="15" t="s">
        <v>17542</v>
      </c>
      <c r="BE644" s="15" t="s">
        <v>2796</v>
      </c>
      <c r="BF644" s="18"/>
      <c r="BG644" s="18"/>
      <c r="BH644" s="18"/>
      <c r="BI644" s="15" t="s">
        <v>17543</v>
      </c>
      <c r="BJ644" s="19" t="s">
        <v>17544</v>
      </c>
      <c r="BK644" s="19" t="s">
        <v>17545</v>
      </c>
      <c r="BL644" s="18"/>
      <c r="BM644" s="19" t="s">
        <v>17546</v>
      </c>
      <c r="BN644" s="19" t="s">
        <v>17547</v>
      </c>
      <c r="BO644" s="19" t="s">
        <v>17548</v>
      </c>
      <c r="BP644" s="19" t="s">
        <v>17549</v>
      </c>
      <c r="BQ644" s="26"/>
      <c r="BR644" s="26"/>
      <c r="BS644" s="26"/>
      <c r="BT644" s="26"/>
      <c r="BU644" s="26"/>
      <c r="BV644" s="26"/>
      <c r="BW644" s="26"/>
      <c r="BX644" s="26"/>
      <c r="BY644" s="18" t="str">
        <f t="shared" si="108"/>
        <v>COMP</v>
      </c>
      <c r="BZ644" s="18" t="str">
        <f t="shared" si="100"/>
        <v/>
      </c>
      <c r="CA644" s="24" t="str">
        <f t="shared" si="101"/>
        <v>https://drive.google.com/open?id=1JJ8G6s9HSYu3Vy62fzQRZvERda_kX1HR</v>
      </c>
      <c r="CB644" s="15" t="s">
        <v>2908</v>
      </c>
      <c r="CC644" s="15" t="s">
        <v>2821</v>
      </c>
      <c r="CD644" s="25" t="s">
        <v>2797</v>
      </c>
      <c r="CE644" s="18"/>
      <c r="CF644" s="18"/>
      <c r="CG644" s="18"/>
    </row>
    <row r="645" ht="18.75" hidden="1" customHeight="1">
      <c r="A645" s="14">
        <v>44722.84937951389</v>
      </c>
      <c r="B645" s="15" t="s">
        <v>606</v>
      </c>
      <c r="C645" s="16" t="s">
        <v>17550</v>
      </c>
      <c r="D645" s="15" t="str">
        <f>IFERROR(__xludf.DUMMYFUNCTION("QUERY(TY_ALL_2023_Batch!$A$1:$E$824, ""SELECT E WHERE C='""&amp;B645&amp;""'"", 0)"),"COMP")</f>
        <v>COMP</v>
      </c>
      <c r="E645" s="15" t="s">
        <v>5324</v>
      </c>
      <c r="F645" s="15" t="s">
        <v>5352</v>
      </c>
      <c r="G645" s="15" t="s">
        <v>17551</v>
      </c>
      <c r="H645" s="15" t="s">
        <v>2826</v>
      </c>
      <c r="I645" s="17">
        <v>37279.0</v>
      </c>
      <c r="J645" s="15">
        <v>2019.0</v>
      </c>
      <c r="K645" s="15" t="s">
        <v>2786</v>
      </c>
      <c r="L645" s="15" t="s">
        <v>2787</v>
      </c>
      <c r="M645" s="18"/>
      <c r="N645" s="15" t="s">
        <v>17552</v>
      </c>
      <c r="O645" s="15" t="s">
        <v>606</v>
      </c>
      <c r="P645" s="19" t="s">
        <v>17553</v>
      </c>
      <c r="Q645" s="15">
        <v>7.666246433E9</v>
      </c>
      <c r="R645" s="15">
        <v>7.666246433E9</v>
      </c>
      <c r="S645" s="15">
        <v>7.666246433E9</v>
      </c>
      <c r="T645" s="15" t="s">
        <v>17554</v>
      </c>
      <c r="U645" s="15" t="s">
        <v>17555</v>
      </c>
      <c r="V645" s="15" t="s">
        <v>17556</v>
      </c>
      <c r="W645" s="18"/>
      <c r="X645" s="15">
        <v>85.0</v>
      </c>
      <c r="Y645" s="15" t="s">
        <v>2795</v>
      </c>
      <c r="Z645" s="15">
        <v>8.14</v>
      </c>
      <c r="AA645" s="15">
        <v>7.43</v>
      </c>
      <c r="AB645" s="15" t="s">
        <v>2796</v>
      </c>
      <c r="AC645" s="15" t="s">
        <v>2796</v>
      </c>
      <c r="AD645" s="15" t="s">
        <v>2796</v>
      </c>
      <c r="AE645" s="15" t="s">
        <v>2796</v>
      </c>
      <c r="AF645" s="15">
        <v>8.05</v>
      </c>
      <c r="AG645" s="15">
        <v>7.9</v>
      </c>
      <c r="AH645" s="15">
        <v>62.0</v>
      </c>
      <c r="AI645" s="18"/>
      <c r="AJ645" s="15" t="s">
        <v>2787</v>
      </c>
      <c r="AK645" s="15" t="s">
        <v>2787</v>
      </c>
      <c r="AL645" s="15">
        <v>12.0</v>
      </c>
      <c r="AM645" s="15">
        <v>12.0</v>
      </c>
      <c r="AN645" s="15" t="s">
        <v>2797</v>
      </c>
      <c r="AO645" s="15" t="s">
        <v>6951</v>
      </c>
      <c r="AP645" s="15" t="s">
        <v>6951</v>
      </c>
      <c r="AQ645" s="15" t="s">
        <v>17557</v>
      </c>
      <c r="AR645" s="15" t="s">
        <v>17558</v>
      </c>
      <c r="AS645" s="15" t="s">
        <v>17559</v>
      </c>
      <c r="AT645" s="15" t="s">
        <v>6951</v>
      </c>
      <c r="AU645" s="15" t="s">
        <v>17560</v>
      </c>
      <c r="AV645" s="15" t="s">
        <v>17561</v>
      </c>
      <c r="AW645" s="15" t="s">
        <v>17562</v>
      </c>
      <c r="AX645" s="18"/>
      <c r="AY645" s="15" t="s">
        <v>6951</v>
      </c>
      <c r="AZ645" s="15" t="s">
        <v>5260</v>
      </c>
      <c r="BA645" s="15" t="s">
        <v>6216</v>
      </c>
      <c r="BB645" s="15" t="s">
        <v>17563</v>
      </c>
      <c r="BC645" s="15" t="s">
        <v>17564</v>
      </c>
      <c r="BD645" s="15" t="s">
        <v>2807</v>
      </c>
      <c r="BE645" s="15" t="s">
        <v>2796</v>
      </c>
      <c r="BF645" s="15" t="s">
        <v>2796</v>
      </c>
      <c r="BG645" s="15" t="s">
        <v>2796</v>
      </c>
      <c r="BH645" s="15" t="s">
        <v>2796</v>
      </c>
      <c r="BI645" s="15" t="s">
        <v>17565</v>
      </c>
      <c r="BJ645" s="19" t="s">
        <v>17566</v>
      </c>
      <c r="BK645" s="19" t="s">
        <v>17567</v>
      </c>
      <c r="BL645" s="19" t="s">
        <v>17568</v>
      </c>
      <c r="BM645" s="19" t="s">
        <v>17569</v>
      </c>
      <c r="BN645" s="19" t="s">
        <v>17570</v>
      </c>
      <c r="BO645" s="19" t="s">
        <v>17571</v>
      </c>
      <c r="BP645" s="19" t="s">
        <v>17572</v>
      </c>
      <c r="BQ645" s="26"/>
      <c r="BR645" s="26"/>
      <c r="BS645" s="26"/>
      <c r="BT645" s="26"/>
      <c r="BU645" s="26"/>
      <c r="BV645" s="26"/>
      <c r="BW645" s="26"/>
      <c r="BX645" s="26"/>
      <c r="BY645" s="18" t="str">
        <f t="shared" si="108"/>
        <v>COMP</v>
      </c>
      <c r="BZ645" s="24" t="str">
        <f t="shared" si="100"/>
        <v>https://drive.google.com/open?id=1VEE4q03GBgw3wvf_Y_ocCZxJ3jPaDGV6</v>
      </c>
      <c r="CA645" s="24" t="str">
        <f t="shared" si="101"/>
        <v>https://drive.google.com/open?id=1w_s4IQwzyjE_i6f_SL0CuFct0BAwDrSB</v>
      </c>
      <c r="CB645" s="15" t="s">
        <v>2821</v>
      </c>
      <c r="CC645" s="15" t="s">
        <v>2821</v>
      </c>
      <c r="CD645" s="25" t="s">
        <v>2797</v>
      </c>
      <c r="CE645" s="18"/>
      <c r="CF645" s="18"/>
      <c r="CG645" s="18"/>
    </row>
    <row r="646" ht="18.75" hidden="1" customHeight="1">
      <c r="A646" s="14">
        <v>44722.88053371527</v>
      </c>
      <c r="B646" s="15" t="s">
        <v>561</v>
      </c>
      <c r="C646" s="16" t="s">
        <v>17573</v>
      </c>
      <c r="D646" s="15" t="str">
        <f>IFERROR(__xludf.DUMMYFUNCTION("QUERY(TY_ALL_2023_Batch!$A$1:$E$824, ""SELECT E WHERE C='""&amp;B646&amp;""'"", 0)"),"COMP")</f>
        <v>COMP</v>
      </c>
      <c r="E646" s="15" t="s">
        <v>17574</v>
      </c>
      <c r="F646" s="18"/>
      <c r="G646" s="15" t="s">
        <v>4542</v>
      </c>
      <c r="H646" s="15" t="s">
        <v>2785</v>
      </c>
      <c r="I646" s="17">
        <v>37077.0</v>
      </c>
      <c r="J646" s="15">
        <v>2019.0</v>
      </c>
      <c r="K646" s="15" t="s">
        <v>2786</v>
      </c>
      <c r="L646" s="15" t="s">
        <v>2787</v>
      </c>
      <c r="M646" s="18"/>
      <c r="N646" s="15" t="s">
        <v>17575</v>
      </c>
      <c r="O646" s="15" t="s">
        <v>561</v>
      </c>
      <c r="P646" s="19" t="s">
        <v>17576</v>
      </c>
      <c r="Q646" s="15">
        <v>9.14978705E9</v>
      </c>
      <c r="R646" s="15">
        <v>9.14978705E9</v>
      </c>
      <c r="S646" s="15">
        <v>9.419328205E9</v>
      </c>
      <c r="T646" s="15" t="s">
        <v>17577</v>
      </c>
      <c r="U646" s="15" t="s">
        <v>17578</v>
      </c>
      <c r="V646" s="15" t="s">
        <v>17579</v>
      </c>
      <c r="W646" s="15" t="s">
        <v>17580</v>
      </c>
      <c r="X646" s="15">
        <v>93.1</v>
      </c>
      <c r="Y646" s="15" t="s">
        <v>2795</v>
      </c>
      <c r="Z646" s="15">
        <v>9.57</v>
      </c>
      <c r="AA646" s="15">
        <v>9.05</v>
      </c>
      <c r="AB646" s="15" t="s">
        <v>2796</v>
      </c>
      <c r="AC646" s="15" t="s">
        <v>2796</v>
      </c>
      <c r="AD646" s="15" t="s">
        <v>2796</v>
      </c>
      <c r="AE646" s="15" t="s">
        <v>2796</v>
      </c>
      <c r="AF646" s="15">
        <v>9.1</v>
      </c>
      <c r="AG646" s="15">
        <v>9.42</v>
      </c>
      <c r="AH646" s="15">
        <v>88.4</v>
      </c>
      <c r="AI646" s="18"/>
      <c r="AJ646" s="15" t="s">
        <v>2787</v>
      </c>
      <c r="AK646" s="15" t="s">
        <v>2787</v>
      </c>
      <c r="AL646" s="15">
        <v>635.0</v>
      </c>
      <c r="AM646" s="15">
        <v>667.0</v>
      </c>
      <c r="AN646" s="15" t="s">
        <v>2797</v>
      </c>
      <c r="AO646" s="15" t="s">
        <v>2796</v>
      </c>
      <c r="AP646" s="15" t="s">
        <v>2796</v>
      </c>
      <c r="AQ646" s="15" t="s">
        <v>5415</v>
      </c>
      <c r="AR646" s="15" t="s">
        <v>17581</v>
      </c>
      <c r="AS646" s="15" t="s">
        <v>2796</v>
      </c>
      <c r="AT646" s="15" t="s">
        <v>2796</v>
      </c>
      <c r="AU646" s="15" t="s">
        <v>17582</v>
      </c>
      <c r="AV646" s="15" t="s">
        <v>17583</v>
      </c>
      <c r="AW646" s="15" t="s">
        <v>17584</v>
      </c>
      <c r="AX646" s="15" t="s">
        <v>2796</v>
      </c>
      <c r="AY646" s="15" t="s">
        <v>17585</v>
      </c>
      <c r="AZ646" s="15" t="s">
        <v>5287</v>
      </c>
      <c r="BA646" s="15" t="s">
        <v>17586</v>
      </c>
      <c r="BB646" s="15" t="s">
        <v>5803</v>
      </c>
      <c r="BC646" s="15" t="s">
        <v>17587</v>
      </c>
      <c r="BD646" s="15" t="s">
        <v>17588</v>
      </c>
      <c r="BE646" s="15" t="s">
        <v>17589</v>
      </c>
      <c r="BF646" s="18"/>
      <c r="BG646" s="18"/>
      <c r="BH646" s="18"/>
      <c r="BI646" s="18"/>
      <c r="BJ646" s="19" t="s">
        <v>17590</v>
      </c>
      <c r="BK646" s="19" t="s">
        <v>17591</v>
      </c>
      <c r="BL646" s="18"/>
      <c r="BM646" s="18"/>
      <c r="BN646" s="19" t="s">
        <v>17592</v>
      </c>
      <c r="BO646" s="19" t="s">
        <v>17593</v>
      </c>
      <c r="BP646" s="19" t="s">
        <v>17594</v>
      </c>
      <c r="BQ646" s="26"/>
      <c r="BR646" s="26"/>
      <c r="BS646" s="26"/>
      <c r="BT646" s="26"/>
      <c r="BU646" s="26"/>
      <c r="BV646" s="26"/>
      <c r="BW646" s="26"/>
      <c r="BX646" s="26"/>
      <c r="BY646" s="18" t="str">
        <f t="shared" si="108"/>
        <v>COMP</v>
      </c>
      <c r="BZ646" s="18" t="str">
        <f t="shared" si="100"/>
        <v/>
      </c>
      <c r="CA646" s="18" t="str">
        <f t="shared" si="101"/>
        <v/>
      </c>
      <c r="CB646" s="15" t="s">
        <v>2908</v>
      </c>
      <c r="CC646" s="15" t="s">
        <v>2908</v>
      </c>
      <c r="CD646" s="25" t="s">
        <v>2797</v>
      </c>
      <c r="CE646" s="18"/>
      <c r="CF646" s="18"/>
      <c r="CG646" s="18"/>
    </row>
    <row r="647" ht="18.75" hidden="1" customHeight="1">
      <c r="A647" s="14">
        <v>44722.470659212966</v>
      </c>
      <c r="B647" s="15" t="s">
        <v>630</v>
      </c>
      <c r="C647" s="16" t="s">
        <v>17595</v>
      </c>
      <c r="D647" s="15" t="str">
        <f>IFERROR(__xludf.DUMMYFUNCTION("QUERY(TY_ALL_2023_Batch!$A$1:$E$824, ""SELECT E WHERE C='""&amp;B647&amp;""'"", 0)"),"COMP")</f>
        <v>COMP</v>
      </c>
      <c r="E647" s="15" t="s">
        <v>6742</v>
      </c>
      <c r="F647" s="15" t="s">
        <v>17596</v>
      </c>
      <c r="G647" s="15" t="s">
        <v>9956</v>
      </c>
      <c r="H647" s="15" t="s">
        <v>2785</v>
      </c>
      <c r="I647" s="17">
        <v>37140.0</v>
      </c>
      <c r="J647" s="15">
        <v>2019.0</v>
      </c>
      <c r="K647" s="15" t="s">
        <v>2786</v>
      </c>
      <c r="L647" s="15" t="s">
        <v>2787</v>
      </c>
      <c r="M647" s="18"/>
      <c r="N647" s="15" t="s">
        <v>17597</v>
      </c>
      <c r="O647" s="15" t="s">
        <v>630</v>
      </c>
      <c r="P647" s="19" t="s">
        <v>17598</v>
      </c>
      <c r="Q647" s="15">
        <v>9.307850107E9</v>
      </c>
      <c r="R647" s="15">
        <v>9.307850107E9</v>
      </c>
      <c r="S647" s="18"/>
      <c r="T647" s="15" t="s">
        <v>17596</v>
      </c>
      <c r="U647" s="15" t="s">
        <v>3677</v>
      </c>
      <c r="V647" s="15" t="s">
        <v>17599</v>
      </c>
      <c r="W647" s="15" t="s">
        <v>17600</v>
      </c>
      <c r="X647" s="15">
        <v>91.2</v>
      </c>
      <c r="Y647" s="15" t="s">
        <v>2795</v>
      </c>
      <c r="Z647" s="15">
        <v>8.52</v>
      </c>
      <c r="AA647" s="15">
        <v>9.32</v>
      </c>
      <c r="AB647" s="15" t="s">
        <v>2796</v>
      </c>
      <c r="AC647" s="15" t="s">
        <v>2796</v>
      </c>
      <c r="AD647" s="15" t="s">
        <v>2796</v>
      </c>
      <c r="AE647" s="15" t="s">
        <v>2796</v>
      </c>
      <c r="AF647" s="15">
        <v>8.52</v>
      </c>
      <c r="AG647" s="15">
        <v>9.32</v>
      </c>
      <c r="AH647" s="15">
        <v>71.69</v>
      </c>
      <c r="AI647" s="18"/>
      <c r="AJ647" s="15" t="s">
        <v>2787</v>
      </c>
      <c r="AK647" s="15" t="s">
        <v>2787</v>
      </c>
      <c r="AL647" s="15">
        <v>650.0</v>
      </c>
      <c r="AM647" s="15">
        <v>688.33</v>
      </c>
      <c r="AN647" s="15" t="s">
        <v>2787</v>
      </c>
      <c r="AO647" s="18"/>
      <c r="AP647" s="15" t="s">
        <v>17601</v>
      </c>
      <c r="AQ647" s="15" t="s">
        <v>2796</v>
      </c>
      <c r="AR647" s="15" t="s">
        <v>17602</v>
      </c>
      <c r="AS647" s="15" t="s">
        <v>2796</v>
      </c>
      <c r="AT647" s="15" t="s">
        <v>2796</v>
      </c>
      <c r="AU647" s="15" t="s">
        <v>17603</v>
      </c>
      <c r="AV647" s="15" t="s">
        <v>17604</v>
      </c>
      <c r="AW647" s="15" t="s">
        <v>17605</v>
      </c>
      <c r="AX647" s="18"/>
      <c r="AY647" s="15" t="s">
        <v>17606</v>
      </c>
      <c r="AZ647" s="15" t="s">
        <v>5335</v>
      </c>
      <c r="BA647" s="15" t="s">
        <v>5951</v>
      </c>
      <c r="BB647" s="15" t="s">
        <v>3514</v>
      </c>
      <c r="BC647" s="15" t="s">
        <v>4644</v>
      </c>
      <c r="BD647" s="15" t="s">
        <v>2807</v>
      </c>
      <c r="BE647" s="15" t="s">
        <v>2796</v>
      </c>
      <c r="BF647" s="18"/>
      <c r="BG647" s="18"/>
      <c r="BH647" s="18"/>
      <c r="BI647" s="15" t="s">
        <v>17607</v>
      </c>
      <c r="BJ647" s="19" t="s">
        <v>17608</v>
      </c>
      <c r="BK647" s="19" t="s">
        <v>17609</v>
      </c>
      <c r="BL647" s="19" t="s">
        <v>17610</v>
      </c>
      <c r="BM647" s="20" t="s">
        <v>17611</v>
      </c>
      <c r="BN647" s="19" t="s">
        <v>17612</v>
      </c>
      <c r="BO647" s="19" t="s">
        <v>17613</v>
      </c>
      <c r="BP647" s="19" t="s">
        <v>17614</v>
      </c>
      <c r="BQ647" s="26"/>
      <c r="BR647" s="26"/>
      <c r="BS647" s="26"/>
      <c r="BT647" s="26"/>
      <c r="BU647" s="26"/>
      <c r="BV647" s="26"/>
      <c r="BW647" s="26"/>
      <c r="BX647" s="26"/>
      <c r="BY647" s="18" t="str">
        <f t="shared" si="108"/>
        <v>COMP</v>
      </c>
      <c r="BZ647" s="24" t="str">
        <f t="shared" si="100"/>
        <v>https://drive.google.com/open?id=1BN0Ml2lxePewX40VSnMfxkVa756AMtnM</v>
      </c>
      <c r="CA647" s="24" t="str">
        <f t="shared" si="101"/>
        <v>https://drive.google.com/open?id=1kUH_mF72pvnXexZbR0SbU_3UeQo2LNt7</v>
      </c>
      <c r="CB647" s="15" t="s">
        <v>2821</v>
      </c>
      <c r="CC647" s="15" t="s">
        <v>2821</v>
      </c>
      <c r="CD647" s="25" t="s">
        <v>2797</v>
      </c>
      <c r="CE647" s="18"/>
      <c r="CF647" s="18"/>
      <c r="CG647" s="18"/>
    </row>
    <row r="648" ht="18.75" hidden="1" customHeight="1">
      <c r="A648" s="14">
        <v>44722.92560204861</v>
      </c>
      <c r="B648" s="15" t="s">
        <v>642</v>
      </c>
      <c r="C648" s="16" t="s">
        <v>17615</v>
      </c>
      <c r="D648" s="15" t="str">
        <f>IFERROR(__xludf.DUMMYFUNCTION("QUERY(TY_ALL_2023_Batch!$A$1:$E$824, ""SELECT E WHERE C='""&amp;B648&amp;""'"", 0)"),"COMP")</f>
        <v>COMP</v>
      </c>
      <c r="E648" s="15" t="s">
        <v>6294</v>
      </c>
      <c r="F648" s="15" t="s">
        <v>11036</v>
      </c>
      <c r="G648" s="15" t="s">
        <v>17616</v>
      </c>
      <c r="H648" s="15" t="s">
        <v>2785</v>
      </c>
      <c r="I648" s="17">
        <v>37184.0</v>
      </c>
      <c r="J648" s="15">
        <v>2019.0</v>
      </c>
      <c r="K648" s="15" t="s">
        <v>2786</v>
      </c>
      <c r="L648" s="15" t="s">
        <v>2787</v>
      </c>
      <c r="M648" s="18"/>
      <c r="N648" s="15" t="s">
        <v>17617</v>
      </c>
      <c r="O648" s="15" t="s">
        <v>642</v>
      </c>
      <c r="P648" s="19" t="s">
        <v>17618</v>
      </c>
      <c r="Q648" s="15">
        <v>9.307719398E9</v>
      </c>
      <c r="R648" s="15">
        <v>9.307719398E9</v>
      </c>
      <c r="S648" s="15">
        <v>9.404105164E9</v>
      </c>
      <c r="T648" s="15" t="s">
        <v>17619</v>
      </c>
      <c r="U648" s="15" t="s">
        <v>17620</v>
      </c>
      <c r="V648" s="15" t="s">
        <v>17621</v>
      </c>
      <c r="W648" s="15" t="s">
        <v>17622</v>
      </c>
      <c r="X648" s="15">
        <v>94.4</v>
      </c>
      <c r="Y648" s="15" t="s">
        <v>2795</v>
      </c>
      <c r="Z648" s="15">
        <v>9.71</v>
      </c>
      <c r="AA648" s="15">
        <v>9.86</v>
      </c>
      <c r="AB648" s="15" t="s">
        <v>2796</v>
      </c>
      <c r="AC648" s="15" t="s">
        <v>2796</v>
      </c>
      <c r="AD648" s="15" t="s">
        <v>2796</v>
      </c>
      <c r="AE648" s="15" t="s">
        <v>2796</v>
      </c>
      <c r="AF648" s="15">
        <v>9.29</v>
      </c>
      <c r="AG648" s="15">
        <v>9.58</v>
      </c>
      <c r="AH648" s="15">
        <v>81.23</v>
      </c>
      <c r="AI648" s="18"/>
      <c r="AJ648" s="15" t="s">
        <v>2787</v>
      </c>
      <c r="AK648" s="15" t="s">
        <v>2787</v>
      </c>
      <c r="AL648" s="15">
        <v>713.33</v>
      </c>
      <c r="AM648" s="15">
        <v>681.67</v>
      </c>
      <c r="AN648" s="15" t="s">
        <v>2797</v>
      </c>
      <c r="AO648" s="18"/>
      <c r="AP648" s="18"/>
      <c r="AQ648" s="15" t="s">
        <v>5356</v>
      </c>
      <c r="AR648" s="18"/>
      <c r="AS648" s="18"/>
      <c r="AT648" s="18"/>
      <c r="AU648" s="15" t="s">
        <v>17623</v>
      </c>
      <c r="AV648" s="15" t="s">
        <v>17624</v>
      </c>
      <c r="AW648" s="15" t="s">
        <v>17625</v>
      </c>
      <c r="AX648" s="18"/>
      <c r="AY648" s="15" t="s">
        <v>17626</v>
      </c>
      <c r="AZ648" s="15" t="s">
        <v>5335</v>
      </c>
      <c r="BA648" s="15" t="s">
        <v>11356</v>
      </c>
      <c r="BB648" s="15" t="s">
        <v>5337</v>
      </c>
      <c r="BC648" s="15" t="s">
        <v>5577</v>
      </c>
      <c r="BD648" s="15" t="s">
        <v>2807</v>
      </c>
      <c r="BE648" s="15" t="s">
        <v>17627</v>
      </c>
      <c r="BF648" s="18"/>
      <c r="BG648" s="18"/>
      <c r="BH648" s="15" t="s">
        <v>17628</v>
      </c>
      <c r="BI648" s="18"/>
      <c r="BJ648" s="19" t="s">
        <v>17629</v>
      </c>
      <c r="BK648" s="19" t="s">
        <v>17630</v>
      </c>
      <c r="BL648" s="18"/>
      <c r="BM648" s="18"/>
      <c r="BN648" s="19" t="s">
        <v>17631</v>
      </c>
      <c r="BO648" s="19" t="s">
        <v>17632</v>
      </c>
      <c r="BP648" s="19" t="s">
        <v>17633</v>
      </c>
      <c r="BQ648" s="26"/>
      <c r="BR648" s="26"/>
      <c r="BS648" s="26"/>
      <c r="BT648" s="26"/>
      <c r="BU648" s="26"/>
      <c r="BV648" s="26"/>
      <c r="BW648" s="26"/>
      <c r="BX648" s="26"/>
      <c r="BY648" s="18" t="str">
        <f t="shared" si="108"/>
        <v>COMP</v>
      </c>
      <c r="BZ648" s="18" t="str">
        <f t="shared" si="100"/>
        <v/>
      </c>
      <c r="CA648" s="18" t="str">
        <f t="shared" si="101"/>
        <v/>
      </c>
      <c r="CB648" s="15" t="s">
        <v>2908</v>
      </c>
      <c r="CC648" s="15" t="s">
        <v>2908</v>
      </c>
      <c r="CD648" s="25" t="s">
        <v>2797</v>
      </c>
      <c r="CE648" s="18"/>
      <c r="CF648" s="18"/>
      <c r="CG648" s="18"/>
    </row>
    <row r="649" ht="18.75" hidden="1" customHeight="1">
      <c r="A649" s="14">
        <v>44722.77587931713</v>
      </c>
      <c r="B649" s="15" t="s">
        <v>969</v>
      </c>
      <c r="C649" s="16" t="s">
        <v>17634</v>
      </c>
      <c r="D649" s="15" t="str">
        <f>IFERROR(__xludf.DUMMYFUNCTION("QUERY(TY_ALL_2023_Batch!$A$1:$E$824, ""SELECT E WHERE C='""&amp;B649&amp;""'"", 0)"),"COMP")</f>
        <v>COMP</v>
      </c>
      <c r="E649" s="15" t="s">
        <v>17635</v>
      </c>
      <c r="F649" s="15" t="s">
        <v>3247</v>
      </c>
      <c r="G649" s="15" t="s">
        <v>17636</v>
      </c>
      <c r="H649" s="15" t="s">
        <v>2785</v>
      </c>
      <c r="I649" s="17">
        <v>36977.0</v>
      </c>
      <c r="J649" s="15">
        <v>2019.0</v>
      </c>
      <c r="K649" s="15" t="s">
        <v>2786</v>
      </c>
      <c r="L649" s="15" t="s">
        <v>2787</v>
      </c>
      <c r="M649" s="18"/>
      <c r="N649" s="15" t="s">
        <v>17637</v>
      </c>
      <c r="O649" s="15" t="s">
        <v>969</v>
      </c>
      <c r="P649" s="19" t="s">
        <v>17638</v>
      </c>
      <c r="Q649" s="15">
        <v>7.666992339E9</v>
      </c>
      <c r="R649" s="15">
        <v>7.666992339E9</v>
      </c>
      <c r="S649" s="18"/>
      <c r="T649" s="15" t="s">
        <v>3247</v>
      </c>
      <c r="U649" s="15" t="s">
        <v>5189</v>
      </c>
      <c r="V649" s="15" t="s">
        <v>17639</v>
      </c>
      <c r="W649" s="18"/>
      <c r="X649" s="15">
        <v>94.0</v>
      </c>
      <c r="Y649" s="15" t="s">
        <v>2795</v>
      </c>
      <c r="Z649" s="15">
        <v>9.19</v>
      </c>
      <c r="AA649" s="15">
        <v>7.57</v>
      </c>
      <c r="AB649" s="15" t="s">
        <v>2796</v>
      </c>
      <c r="AC649" s="15" t="s">
        <v>2796</v>
      </c>
      <c r="AD649" s="15" t="s">
        <v>2796</v>
      </c>
      <c r="AE649" s="15" t="s">
        <v>2796</v>
      </c>
      <c r="AF649" s="15">
        <v>8.26</v>
      </c>
      <c r="AG649" s="15">
        <v>7.19</v>
      </c>
      <c r="AH649" s="15">
        <v>71.23</v>
      </c>
      <c r="AI649" s="18"/>
      <c r="AJ649" s="15" t="s">
        <v>2787</v>
      </c>
      <c r="AK649" s="15" t="s">
        <v>2787</v>
      </c>
      <c r="AL649" s="15">
        <v>563.33</v>
      </c>
      <c r="AM649" s="15">
        <v>665.3</v>
      </c>
      <c r="AN649" s="15" t="s">
        <v>2797</v>
      </c>
      <c r="AO649" s="15" t="s">
        <v>2796</v>
      </c>
      <c r="AP649" s="15" t="s">
        <v>2796</v>
      </c>
      <c r="AQ649" s="15" t="s">
        <v>17640</v>
      </c>
      <c r="AR649" s="18"/>
      <c r="AS649" s="15" t="s">
        <v>17641</v>
      </c>
      <c r="AT649" s="18"/>
      <c r="AU649" s="15" t="s">
        <v>17642</v>
      </c>
      <c r="AV649" s="15" t="s">
        <v>17643</v>
      </c>
      <c r="AW649" s="15" t="s">
        <v>17644</v>
      </c>
      <c r="AX649" s="18"/>
      <c r="AY649" s="15" t="s">
        <v>17645</v>
      </c>
      <c r="AZ649" s="15" t="s">
        <v>5260</v>
      </c>
      <c r="BA649" s="15" t="s">
        <v>2806</v>
      </c>
      <c r="BB649" s="15" t="s">
        <v>4504</v>
      </c>
      <c r="BC649" s="15" t="s">
        <v>5554</v>
      </c>
      <c r="BD649" s="15" t="s">
        <v>17646</v>
      </c>
      <c r="BE649" s="15" t="s">
        <v>17647</v>
      </c>
      <c r="BF649" s="18"/>
      <c r="BG649" s="18"/>
      <c r="BH649" s="18"/>
      <c r="BI649" s="15" t="s">
        <v>17648</v>
      </c>
      <c r="BJ649" s="19" t="s">
        <v>17649</v>
      </c>
      <c r="BK649" s="19" t="s">
        <v>17650</v>
      </c>
      <c r="BL649" s="19" t="s">
        <v>17651</v>
      </c>
      <c r="BM649" s="20" t="s">
        <v>17652</v>
      </c>
      <c r="BN649" s="19" t="s">
        <v>17653</v>
      </c>
      <c r="BO649" s="19" t="s">
        <v>17654</v>
      </c>
      <c r="BP649" s="18"/>
      <c r="BQ649" s="18"/>
      <c r="BR649" s="18"/>
      <c r="BS649" s="18"/>
      <c r="BT649" s="18"/>
      <c r="BU649" s="18"/>
      <c r="BV649" s="18"/>
      <c r="BW649" s="18"/>
      <c r="BX649" s="18"/>
      <c r="BY649" s="18" t="str">
        <f t="shared" si="108"/>
        <v>COMP</v>
      </c>
      <c r="BZ649" s="24" t="str">
        <f t="shared" si="100"/>
        <v>https://drive.google.com/open?id=1uRgSwSW3FHh5eP6B4aUclo7P9bce7rOj</v>
      </c>
      <c r="CA649" s="24" t="str">
        <f t="shared" si="101"/>
        <v>https://drive.google.com/open?id=17xFYfyTMN92CBXr-6nZYQO0nUpdM1dVW</v>
      </c>
      <c r="CB649" s="15" t="s">
        <v>2821</v>
      </c>
      <c r="CC649" s="15" t="s">
        <v>2821</v>
      </c>
      <c r="CD649" s="25" t="s">
        <v>2797</v>
      </c>
      <c r="CE649" s="18"/>
      <c r="CF649" s="18"/>
      <c r="CG649" s="18"/>
    </row>
    <row r="650" ht="18.75" hidden="1" customHeight="1">
      <c r="A650" s="14">
        <v>44722.88655505787</v>
      </c>
      <c r="B650" s="15" t="s">
        <v>705</v>
      </c>
      <c r="C650" s="16" t="s">
        <v>17655</v>
      </c>
      <c r="D650" s="15" t="str">
        <f>IFERROR(__xludf.DUMMYFUNCTION("QUERY(TY_ALL_2023_Batch!$A$1:$E$824, ""SELECT E WHERE C='""&amp;B650&amp;""'"", 0)"),"COMP")</f>
        <v>COMP</v>
      </c>
      <c r="E650" s="15" t="s">
        <v>3097</v>
      </c>
      <c r="F650" s="15" t="s">
        <v>8761</v>
      </c>
      <c r="G650" s="15" t="s">
        <v>17656</v>
      </c>
      <c r="H650" s="15" t="s">
        <v>2785</v>
      </c>
      <c r="I650" s="17">
        <v>37256.0</v>
      </c>
      <c r="J650" s="15">
        <v>2019.0</v>
      </c>
      <c r="K650" s="15" t="s">
        <v>2786</v>
      </c>
      <c r="L650" s="15" t="s">
        <v>2787</v>
      </c>
      <c r="M650" s="18"/>
      <c r="N650" s="15" t="s">
        <v>17657</v>
      </c>
      <c r="O650" s="15" t="s">
        <v>705</v>
      </c>
      <c r="P650" s="19" t="s">
        <v>17658</v>
      </c>
      <c r="Q650" s="15">
        <v>9.172310389E9</v>
      </c>
      <c r="R650" s="15">
        <v>9.172310389E9</v>
      </c>
      <c r="S650" s="15">
        <v>8.76691352E9</v>
      </c>
      <c r="T650" s="15" t="s">
        <v>17659</v>
      </c>
      <c r="U650" s="15" t="s">
        <v>17660</v>
      </c>
      <c r="V650" s="15" t="s">
        <v>17661</v>
      </c>
      <c r="W650" s="18"/>
      <c r="X650" s="15">
        <v>94.6</v>
      </c>
      <c r="Y650" s="15" t="s">
        <v>2795</v>
      </c>
      <c r="Z650" s="15">
        <v>9.57</v>
      </c>
      <c r="AA650" s="15">
        <v>9.48</v>
      </c>
      <c r="AB650" s="15" t="s">
        <v>2796</v>
      </c>
      <c r="AC650" s="15" t="s">
        <v>2796</v>
      </c>
      <c r="AD650" s="15" t="s">
        <v>2796</v>
      </c>
      <c r="AE650" s="15" t="s">
        <v>2796</v>
      </c>
      <c r="AF650" s="15">
        <v>9.14</v>
      </c>
      <c r="AG650" s="15">
        <v>9.28</v>
      </c>
      <c r="AH650" s="15">
        <v>74.77</v>
      </c>
      <c r="AI650" s="18"/>
      <c r="AJ650" s="15" t="s">
        <v>2787</v>
      </c>
      <c r="AK650" s="15" t="s">
        <v>2787</v>
      </c>
      <c r="AL650" s="15">
        <v>79.0</v>
      </c>
      <c r="AM650" s="15">
        <v>96.0</v>
      </c>
      <c r="AN650" s="15" t="s">
        <v>2797</v>
      </c>
      <c r="AO650" s="15" t="s">
        <v>2796</v>
      </c>
      <c r="AP650" s="15" t="s">
        <v>2796</v>
      </c>
      <c r="AQ650" s="15" t="s">
        <v>6576</v>
      </c>
      <c r="AR650" s="18"/>
      <c r="AS650" s="15" t="s">
        <v>6576</v>
      </c>
      <c r="AT650" s="15" t="s">
        <v>2796</v>
      </c>
      <c r="AU650" s="15" t="s">
        <v>17662</v>
      </c>
      <c r="AV650" s="15" t="s">
        <v>17663</v>
      </c>
      <c r="AW650" s="15" t="s">
        <v>17664</v>
      </c>
      <c r="AX650" s="15" t="s">
        <v>17665</v>
      </c>
      <c r="AY650" s="15" t="s">
        <v>17666</v>
      </c>
      <c r="AZ650" s="15" t="s">
        <v>5335</v>
      </c>
      <c r="BA650" s="15" t="s">
        <v>17667</v>
      </c>
      <c r="BB650" s="15" t="s">
        <v>17668</v>
      </c>
      <c r="BC650" s="15" t="s">
        <v>17669</v>
      </c>
      <c r="BD650" s="15" t="s">
        <v>2807</v>
      </c>
      <c r="BE650" s="15" t="s">
        <v>17670</v>
      </c>
      <c r="BF650" s="15" t="s">
        <v>2796</v>
      </c>
      <c r="BG650" s="15" t="s">
        <v>2796</v>
      </c>
      <c r="BH650" s="15" t="s">
        <v>17671</v>
      </c>
      <c r="BI650" s="15" t="s">
        <v>17672</v>
      </c>
      <c r="BJ650" s="19" t="s">
        <v>17673</v>
      </c>
      <c r="BK650" s="19" t="s">
        <v>17674</v>
      </c>
      <c r="BL650" s="19" t="s">
        <v>17675</v>
      </c>
      <c r="BM650" s="19" t="s">
        <v>17676</v>
      </c>
      <c r="BN650" s="19" t="s">
        <v>17677</v>
      </c>
      <c r="BO650" s="19" t="s">
        <v>17678</v>
      </c>
      <c r="BP650" s="19" t="s">
        <v>17679</v>
      </c>
      <c r="BQ650" s="26"/>
      <c r="BR650" s="26"/>
      <c r="BS650" s="26"/>
      <c r="BT650" s="26"/>
      <c r="BU650" s="26"/>
      <c r="BV650" s="26"/>
      <c r="BW650" s="26"/>
      <c r="BX650" s="26"/>
      <c r="BY650" s="18" t="str">
        <f t="shared" si="108"/>
        <v>COMP</v>
      </c>
      <c r="BZ650" s="24" t="str">
        <f t="shared" si="100"/>
        <v>https://drive.google.com/open?id=10whI8cYExcwq67gignH4rylBOkr8N2tu</v>
      </c>
      <c r="CA650" s="24" t="str">
        <f t="shared" si="101"/>
        <v>https://drive.google.com/open?id=1VlHY7GU-XO3lkc6dmQglS1kS1GDc9Ti2</v>
      </c>
      <c r="CB650" s="15" t="s">
        <v>6645</v>
      </c>
      <c r="CC650" s="15" t="s">
        <v>6645</v>
      </c>
      <c r="CD650" s="25" t="s">
        <v>2797</v>
      </c>
      <c r="CE650" s="18"/>
      <c r="CF650" s="18"/>
      <c r="CG650" s="18"/>
    </row>
    <row r="651" ht="18.75" hidden="1" customHeight="1">
      <c r="A651" s="14">
        <v>44722.96745960648</v>
      </c>
      <c r="B651" s="15" t="s">
        <v>687</v>
      </c>
      <c r="C651" s="16" t="s">
        <v>17680</v>
      </c>
      <c r="D651" s="15" t="str">
        <f>IFERROR(__xludf.DUMMYFUNCTION("QUERY(TY_ALL_2023_Batch!$A$1:$E$824, ""SELECT E WHERE C='""&amp;B651&amp;""'"", 0)"),"COMP")</f>
        <v>COMP</v>
      </c>
      <c r="E651" s="15" t="s">
        <v>17681</v>
      </c>
      <c r="F651" s="15" t="s">
        <v>13117</v>
      </c>
      <c r="G651" s="15" t="s">
        <v>17682</v>
      </c>
      <c r="H651" s="15" t="s">
        <v>2785</v>
      </c>
      <c r="I651" s="17">
        <v>36798.0</v>
      </c>
      <c r="J651" s="15">
        <v>2019.0</v>
      </c>
      <c r="K651" s="15" t="s">
        <v>2786</v>
      </c>
      <c r="L651" s="15" t="s">
        <v>2787</v>
      </c>
      <c r="M651" s="18"/>
      <c r="N651" s="15" t="s">
        <v>17683</v>
      </c>
      <c r="O651" s="15" t="s">
        <v>687</v>
      </c>
      <c r="P651" s="19" t="s">
        <v>17684</v>
      </c>
      <c r="Q651" s="15">
        <v>8.080333593E9</v>
      </c>
      <c r="R651" s="15">
        <v>7.62063331E9</v>
      </c>
      <c r="S651" s="15">
        <v>8.080333593E9</v>
      </c>
      <c r="T651" s="15" t="s">
        <v>17685</v>
      </c>
      <c r="U651" s="15" t="s">
        <v>17686</v>
      </c>
      <c r="V651" s="15" t="s">
        <v>17687</v>
      </c>
      <c r="W651" s="18"/>
      <c r="X651" s="15">
        <v>91.2</v>
      </c>
      <c r="Y651" s="15" t="s">
        <v>2795</v>
      </c>
      <c r="Z651" s="15">
        <v>9.2</v>
      </c>
      <c r="AA651" s="15">
        <v>8.71</v>
      </c>
      <c r="AB651" s="15" t="s">
        <v>2796</v>
      </c>
      <c r="AC651" s="15" t="s">
        <v>2796</v>
      </c>
      <c r="AD651" s="15" t="s">
        <v>2796</v>
      </c>
      <c r="AE651" s="15" t="s">
        <v>2796</v>
      </c>
      <c r="AF651" s="15">
        <v>9.0</v>
      </c>
      <c r="AG651" s="15">
        <v>8.53</v>
      </c>
      <c r="AH651" s="15">
        <v>73.69</v>
      </c>
      <c r="AI651" s="18"/>
      <c r="AJ651" s="15" t="s">
        <v>2787</v>
      </c>
      <c r="AK651" s="15" t="s">
        <v>2787</v>
      </c>
      <c r="AL651" s="15">
        <v>603.0</v>
      </c>
      <c r="AM651" s="15">
        <v>631.0</v>
      </c>
      <c r="AN651" s="15" t="s">
        <v>2797</v>
      </c>
      <c r="AO651" s="15" t="s">
        <v>2796</v>
      </c>
      <c r="AP651" s="15" t="s">
        <v>2796</v>
      </c>
      <c r="AQ651" s="15" t="s">
        <v>9389</v>
      </c>
      <c r="AR651" s="18"/>
      <c r="AS651" s="15" t="s">
        <v>17688</v>
      </c>
      <c r="AT651" s="15" t="s">
        <v>2796</v>
      </c>
      <c r="AU651" s="15" t="s">
        <v>16025</v>
      </c>
      <c r="AV651" s="15" t="s">
        <v>16025</v>
      </c>
      <c r="AW651" s="15" t="s">
        <v>17689</v>
      </c>
      <c r="AX651" s="15" t="s">
        <v>2796</v>
      </c>
      <c r="AY651" s="15" t="s">
        <v>17689</v>
      </c>
      <c r="AZ651" s="15" t="s">
        <v>5260</v>
      </c>
      <c r="BA651" s="15" t="s">
        <v>5552</v>
      </c>
      <c r="BB651" s="15" t="s">
        <v>3514</v>
      </c>
      <c r="BC651" s="15" t="s">
        <v>3686</v>
      </c>
      <c r="BD651" s="15" t="s">
        <v>2807</v>
      </c>
      <c r="BE651" s="15" t="s">
        <v>2796</v>
      </c>
      <c r="BF651" s="15" t="s">
        <v>2796</v>
      </c>
      <c r="BG651" s="15" t="s">
        <v>2796</v>
      </c>
      <c r="BH651" s="18"/>
      <c r="BI651" s="15" t="s">
        <v>17690</v>
      </c>
      <c r="BJ651" s="19" t="s">
        <v>17691</v>
      </c>
      <c r="BK651" s="19" t="s">
        <v>17692</v>
      </c>
      <c r="BL651" s="19" t="s">
        <v>17693</v>
      </c>
      <c r="BM651" s="19" t="s">
        <v>17694</v>
      </c>
      <c r="BN651" s="19" t="s">
        <v>17695</v>
      </c>
      <c r="BO651" s="19" t="s">
        <v>17696</v>
      </c>
      <c r="BP651" s="18"/>
      <c r="BQ651" s="18"/>
      <c r="BR651" s="18"/>
      <c r="BS651" s="18"/>
      <c r="BT651" s="18"/>
      <c r="BU651" s="18"/>
      <c r="BV651" s="18"/>
      <c r="BW651" s="18"/>
      <c r="BX651" s="18"/>
      <c r="BY651" s="18" t="str">
        <f t="shared" si="108"/>
        <v>COMP</v>
      </c>
      <c r="BZ651" s="24" t="str">
        <f t="shared" si="100"/>
        <v>https://drive.google.com/open?id=1Od6fiQA8axxcEWsQRiyjxLZeGCDiS-Ng</v>
      </c>
      <c r="CA651" s="24" t="str">
        <f t="shared" si="101"/>
        <v>https://drive.google.com/open?id=10E29lIWgPzQPExo292u1j-ZMi6HShiAs</v>
      </c>
      <c r="CB651" s="15" t="s">
        <v>2821</v>
      </c>
      <c r="CC651" s="15" t="s">
        <v>2821</v>
      </c>
      <c r="CD651" s="25" t="s">
        <v>2797</v>
      </c>
      <c r="CE651" s="18"/>
      <c r="CF651" s="18"/>
      <c r="CG651" s="18"/>
    </row>
    <row r="652" ht="18.75" hidden="1" customHeight="1">
      <c r="A652" s="14">
        <v>44722.498628009256</v>
      </c>
      <c r="B652" s="15" t="s">
        <v>759</v>
      </c>
      <c r="C652" s="16" t="s">
        <v>17697</v>
      </c>
      <c r="D652" s="15" t="str">
        <f>IFERROR(__xludf.DUMMYFUNCTION("QUERY(TY_ALL_2023_Batch!$A$1:$E$824, ""SELECT E WHERE C='""&amp;B652&amp;""'"", 0)"),"COMP")</f>
        <v>COMP</v>
      </c>
      <c r="E652" s="15" t="s">
        <v>17698</v>
      </c>
      <c r="F652" s="15" t="s">
        <v>4317</v>
      </c>
      <c r="G652" s="15" t="s">
        <v>11913</v>
      </c>
      <c r="H652" s="15" t="s">
        <v>2785</v>
      </c>
      <c r="I652" s="17">
        <v>36625.0</v>
      </c>
      <c r="J652" s="15">
        <v>2019.0</v>
      </c>
      <c r="K652" s="15" t="s">
        <v>2786</v>
      </c>
      <c r="L652" s="15" t="s">
        <v>2787</v>
      </c>
      <c r="M652" s="18"/>
      <c r="N652" s="15" t="s">
        <v>17699</v>
      </c>
      <c r="O652" s="15" t="s">
        <v>759</v>
      </c>
      <c r="P652" s="19" t="s">
        <v>17700</v>
      </c>
      <c r="Q652" s="15">
        <v>7.666758789E9</v>
      </c>
      <c r="R652" s="15">
        <v>7.666758789E9</v>
      </c>
      <c r="S652" s="15">
        <v>9.405548321E9</v>
      </c>
      <c r="T652" s="15" t="s">
        <v>17701</v>
      </c>
      <c r="U652" s="15" t="s">
        <v>17702</v>
      </c>
      <c r="V652" s="15" t="s">
        <v>17703</v>
      </c>
      <c r="W652" s="15" t="s">
        <v>17704</v>
      </c>
      <c r="X652" s="15">
        <v>89.4</v>
      </c>
      <c r="Y652" s="15" t="s">
        <v>2795</v>
      </c>
      <c r="Z652" s="15">
        <v>8.81</v>
      </c>
      <c r="AA652" s="15">
        <v>8.81</v>
      </c>
      <c r="AB652" s="15" t="s">
        <v>2796</v>
      </c>
      <c r="AC652" s="15" t="s">
        <v>2796</v>
      </c>
      <c r="AD652" s="15" t="s">
        <v>2796</v>
      </c>
      <c r="AE652" s="15" t="s">
        <v>2796</v>
      </c>
      <c r="AF652" s="15">
        <v>7.74</v>
      </c>
      <c r="AG652" s="15">
        <v>7.74</v>
      </c>
      <c r="AH652" s="15">
        <v>73.4</v>
      </c>
      <c r="AI652" s="18"/>
      <c r="AJ652" s="15" t="s">
        <v>2787</v>
      </c>
      <c r="AK652" s="15" t="s">
        <v>2787</v>
      </c>
      <c r="AL652" s="15">
        <v>680.0</v>
      </c>
      <c r="AM652" s="15">
        <v>650.0</v>
      </c>
      <c r="AN652" s="15" t="s">
        <v>2797</v>
      </c>
      <c r="AO652" s="18"/>
      <c r="AP652" s="18"/>
      <c r="AQ652" s="15" t="s">
        <v>17705</v>
      </c>
      <c r="AR652" s="18"/>
      <c r="AS652" s="18"/>
      <c r="AT652" s="18"/>
      <c r="AU652" s="15" t="s">
        <v>17706</v>
      </c>
      <c r="AV652" s="15" t="s">
        <v>17707</v>
      </c>
      <c r="AW652" s="15" t="s">
        <v>17708</v>
      </c>
      <c r="AX652" s="18"/>
      <c r="AY652" s="15" t="s">
        <v>17709</v>
      </c>
      <c r="AZ652" s="15" t="s">
        <v>5625</v>
      </c>
      <c r="BA652" s="15" t="s">
        <v>6216</v>
      </c>
      <c r="BB652" s="15" t="s">
        <v>4554</v>
      </c>
      <c r="BC652" s="15" t="s">
        <v>3686</v>
      </c>
      <c r="BD652" s="15" t="s">
        <v>17710</v>
      </c>
      <c r="BE652" s="15" t="s">
        <v>17711</v>
      </c>
      <c r="BF652" s="18"/>
      <c r="BG652" s="18"/>
      <c r="BH652" s="15" t="s">
        <v>17712</v>
      </c>
      <c r="BI652" s="15" t="s">
        <v>17713</v>
      </c>
      <c r="BJ652" s="19" t="s">
        <v>17714</v>
      </c>
      <c r="BK652" s="19" t="s">
        <v>17715</v>
      </c>
      <c r="BL652" s="19" t="s">
        <v>17716</v>
      </c>
      <c r="BM652" s="19" t="s">
        <v>17717</v>
      </c>
      <c r="BN652" s="19" t="s">
        <v>17718</v>
      </c>
      <c r="BO652" s="19" t="s">
        <v>17719</v>
      </c>
      <c r="BP652" s="19" t="s">
        <v>17720</v>
      </c>
      <c r="BQ652" s="26"/>
      <c r="BR652" s="26"/>
      <c r="BS652" s="26"/>
      <c r="BT652" s="26"/>
      <c r="BU652" s="26"/>
      <c r="BV652" s="26"/>
      <c r="BW652" s="26"/>
      <c r="BX652" s="26"/>
      <c r="BY652" s="18" t="str">
        <f t="shared" si="108"/>
        <v>COMP</v>
      </c>
      <c r="BZ652" s="24" t="str">
        <f t="shared" si="100"/>
        <v>https://drive.google.com/open?id=17L7-gIJfdw_-nheavT2ehMWUMyfmFnEK</v>
      </c>
      <c r="CA652" s="24" t="str">
        <f t="shared" si="101"/>
        <v>https://drive.google.com/open?id=1rRAxFIPoewERl3-_4MkeqkAR6H-1bxtl</v>
      </c>
      <c r="CB652" s="15" t="s">
        <v>2821</v>
      </c>
      <c r="CC652" s="15" t="s">
        <v>2821</v>
      </c>
      <c r="CD652" s="25" t="s">
        <v>2797</v>
      </c>
      <c r="CE652" s="18"/>
      <c r="CF652" s="18"/>
      <c r="CG652" s="18"/>
    </row>
    <row r="653" ht="18.75" hidden="1" customHeight="1">
      <c r="A653" s="14">
        <v>44722.99727451389</v>
      </c>
      <c r="B653" s="15" t="s">
        <v>900</v>
      </c>
      <c r="C653" s="16" t="s">
        <v>17721</v>
      </c>
      <c r="D653" s="15" t="str">
        <f>IFERROR(__xludf.DUMMYFUNCTION("QUERY(TY_ALL_2023_Batch!$A$1:$E$824, ""SELECT E WHERE C='""&amp;B653&amp;""'"", 0)"),"COMP")</f>
        <v>COMP</v>
      </c>
      <c r="E653" s="15" t="s">
        <v>17722</v>
      </c>
      <c r="F653" s="18"/>
      <c r="G653" s="15" t="s">
        <v>17723</v>
      </c>
      <c r="H653" s="15" t="s">
        <v>2785</v>
      </c>
      <c r="I653" s="17">
        <v>36316.0</v>
      </c>
      <c r="J653" s="15">
        <v>2019.0</v>
      </c>
      <c r="K653" s="15" t="s">
        <v>2786</v>
      </c>
      <c r="L653" s="15" t="s">
        <v>2787</v>
      </c>
      <c r="M653" s="18"/>
      <c r="N653" s="15" t="s">
        <v>17724</v>
      </c>
      <c r="O653" s="15" t="s">
        <v>900</v>
      </c>
      <c r="P653" s="19" t="s">
        <v>17725</v>
      </c>
      <c r="Q653" s="15">
        <v>6.200995481E9</v>
      </c>
      <c r="R653" s="15">
        <v>6.200995481E9</v>
      </c>
      <c r="S653" s="18"/>
      <c r="T653" s="15" t="s">
        <v>17726</v>
      </c>
      <c r="U653" s="15" t="s">
        <v>17727</v>
      </c>
      <c r="V653" s="15" t="s">
        <v>17728</v>
      </c>
      <c r="W653" s="15" t="s">
        <v>17729</v>
      </c>
      <c r="X653" s="15">
        <v>95.0</v>
      </c>
      <c r="Y653" s="15" t="s">
        <v>2795</v>
      </c>
      <c r="Z653" s="15">
        <v>9.53</v>
      </c>
      <c r="AA653" s="15">
        <v>8.9</v>
      </c>
      <c r="AB653" s="15" t="s">
        <v>2796</v>
      </c>
      <c r="AC653" s="15" t="s">
        <v>2796</v>
      </c>
      <c r="AD653" s="15" t="s">
        <v>2796</v>
      </c>
      <c r="AE653" s="15" t="s">
        <v>2796</v>
      </c>
      <c r="AF653" s="15">
        <v>9.37</v>
      </c>
      <c r="AG653" s="15">
        <v>9.43</v>
      </c>
      <c r="AH653" s="15">
        <v>92.0</v>
      </c>
      <c r="AI653" s="18"/>
      <c r="AJ653" s="15" t="s">
        <v>2787</v>
      </c>
      <c r="AK653" s="15" t="s">
        <v>2787</v>
      </c>
      <c r="AL653" s="18"/>
      <c r="AM653" s="18"/>
      <c r="AN653" s="15" t="s">
        <v>2797</v>
      </c>
      <c r="AO653" s="18"/>
      <c r="AP653" s="18"/>
      <c r="AQ653" s="15" t="s">
        <v>5282</v>
      </c>
      <c r="AR653" s="18"/>
      <c r="AS653" s="18"/>
      <c r="AT653" s="18"/>
      <c r="AU653" s="18"/>
      <c r="AV653" s="18"/>
      <c r="AW653" s="15" t="s">
        <v>17730</v>
      </c>
      <c r="AX653" s="18"/>
      <c r="AY653" s="15" t="s">
        <v>17731</v>
      </c>
      <c r="AZ653" s="15" t="s">
        <v>5625</v>
      </c>
      <c r="BA653" s="15" t="s">
        <v>5951</v>
      </c>
      <c r="BB653" s="15" t="s">
        <v>5673</v>
      </c>
      <c r="BC653" s="15" t="s">
        <v>5705</v>
      </c>
      <c r="BD653" s="15" t="s">
        <v>4556</v>
      </c>
      <c r="BE653" s="15" t="s">
        <v>2796</v>
      </c>
      <c r="BF653" s="18"/>
      <c r="BG653" s="18"/>
      <c r="BH653" s="18"/>
      <c r="BI653" s="18"/>
      <c r="BJ653" s="19" t="s">
        <v>17732</v>
      </c>
      <c r="BK653" s="19" t="s">
        <v>17733</v>
      </c>
      <c r="BL653" s="18"/>
      <c r="BM653" s="18"/>
      <c r="BN653" s="18"/>
      <c r="BO653" s="19" t="s">
        <v>17734</v>
      </c>
      <c r="BP653" s="18"/>
      <c r="BQ653" s="18"/>
      <c r="BR653" s="18"/>
      <c r="BS653" s="18"/>
      <c r="BT653" s="18"/>
      <c r="BU653" s="18"/>
      <c r="BV653" s="18"/>
      <c r="BW653" s="18"/>
      <c r="BX653" s="18"/>
      <c r="BY653" s="18" t="str">
        <f t="shared" si="108"/>
        <v>COMP</v>
      </c>
      <c r="BZ653" s="18" t="str">
        <f t="shared" si="100"/>
        <v/>
      </c>
      <c r="CA653" s="18" t="str">
        <f t="shared" si="101"/>
        <v/>
      </c>
      <c r="CB653" s="15" t="s">
        <v>2908</v>
      </c>
      <c r="CC653" s="15" t="s">
        <v>2908</v>
      </c>
      <c r="CD653" s="25" t="s">
        <v>2797</v>
      </c>
      <c r="CE653" s="18"/>
      <c r="CF653" s="18"/>
      <c r="CG653" s="18"/>
    </row>
    <row r="654" ht="18.75" hidden="1" customHeight="1">
      <c r="A654" s="14">
        <v>44722.90214381945</v>
      </c>
      <c r="B654" s="15" t="s">
        <v>792</v>
      </c>
      <c r="C654" s="16" t="s">
        <v>17735</v>
      </c>
      <c r="D654" s="15" t="str">
        <f>IFERROR(__xludf.DUMMYFUNCTION("QUERY(TY_ALL_2023_Batch!$A$1:$E$824, ""SELECT E WHERE C='""&amp;B654&amp;""'"", 0)"),"COMP")</f>
        <v>COMP</v>
      </c>
      <c r="E654" s="15" t="s">
        <v>7854</v>
      </c>
      <c r="F654" s="15" t="s">
        <v>17736</v>
      </c>
      <c r="G654" s="15" t="s">
        <v>17737</v>
      </c>
      <c r="H654" s="15" t="s">
        <v>2785</v>
      </c>
      <c r="I654" s="17">
        <v>36636.0</v>
      </c>
      <c r="J654" s="15">
        <v>2019.0</v>
      </c>
      <c r="K654" s="15" t="s">
        <v>2786</v>
      </c>
      <c r="L654" s="15" t="s">
        <v>2787</v>
      </c>
      <c r="M654" s="18"/>
      <c r="N654" s="15" t="s">
        <v>17738</v>
      </c>
      <c r="O654" s="15" t="s">
        <v>792</v>
      </c>
      <c r="P654" s="19" t="s">
        <v>17739</v>
      </c>
      <c r="Q654" s="15">
        <v>9.30751555E9</v>
      </c>
      <c r="R654" s="15">
        <v>9.30751555E9</v>
      </c>
      <c r="S654" s="15">
        <v>9.850020515E9</v>
      </c>
      <c r="T654" s="15" t="s">
        <v>17736</v>
      </c>
      <c r="U654" s="15" t="s">
        <v>4037</v>
      </c>
      <c r="V654" s="15" t="s">
        <v>17740</v>
      </c>
      <c r="W654" s="15" t="s">
        <v>17741</v>
      </c>
      <c r="X654" s="15">
        <v>94.4</v>
      </c>
      <c r="Y654" s="15" t="s">
        <v>2795</v>
      </c>
      <c r="Z654" s="15">
        <v>6.5</v>
      </c>
      <c r="AA654" s="15">
        <v>5.0</v>
      </c>
      <c r="AB654" s="15" t="s">
        <v>2796</v>
      </c>
      <c r="AC654" s="15" t="s">
        <v>2796</v>
      </c>
      <c r="AD654" s="15">
        <v>8.21</v>
      </c>
      <c r="AE654" s="15">
        <v>7.0</v>
      </c>
      <c r="AF654" s="15">
        <v>8.21</v>
      </c>
      <c r="AG654" s="15">
        <v>7.6</v>
      </c>
      <c r="AH654" s="15">
        <v>83.0</v>
      </c>
      <c r="AI654" s="18"/>
      <c r="AJ654" s="15" t="s">
        <v>2797</v>
      </c>
      <c r="AK654" s="15" t="s">
        <v>2787</v>
      </c>
      <c r="AL654" s="18"/>
      <c r="AM654" s="18"/>
      <c r="AN654" s="15" t="s">
        <v>2797</v>
      </c>
      <c r="AO654" s="18"/>
      <c r="AP654" s="18"/>
      <c r="AQ654" s="15" t="s">
        <v>2796</v>
      </c>
      <c r="AR654" s="15" t="s">
        <v>5773</v>
      </c>
      <c r="AS654" s="15" t="s">
        <v>2908</v>
      </c>
      <c r="AT654" s="15" t="s">
        <v>2797</v>
      </c>
      <c r="AU654" s="15" t="s">
        <v>17742</v>
      </c>
      <c r="AV654" s="15" t="s">
        <v>17743</v>
      </c>
      <c r="AW654" s="15" t="s">
        <v>17744</v>
      </c>
      <c r="AX654" s="15" t="s">
        <v>17745</v>
      </c>
      <c r="AY654" s="15" t="s">
        <v>17746</v>
      </c>
      <c r="AZ654" s="15" t="s">
        <v>5625</v>
      </c>
      <c r="BA654" s="15" t="s">
        <v>5468</v>
      </c>
      <c r="BB654" s="15" t="s">
        <v>4504</v>
      </c>
      <c r="BC654" s="15" t="s">
        <v>17747</v>
      </c>
      <c r="BD654" s="15" t="s">
        <v>2807</v>
      </c>
      <c r="BE654" s="15" t="s">
        <v>2796</v>
      </c>
      <c r="BF654" s="18"/>
      <c r="BG654" s="18"/>
      <c r="BH654" s="18"/>
      <c r="BI654" s="18"/>
      <c r="BJ654" s="19" t="s">
        <v>17748</v>
      </c>
      <c r="BK654" s="19" t="s">
        <v>17749</v>
      </c>
      <c r="BL654" s="18"/>
      <c r="BM654" s="18"/>
      <c r="BN654" s="18"/>
      <c r="BO654" s="19" t="s">
        <v>17750</v>
      </c>
      <c r="BP654" s="18"/>
      <c r="BQ654" s="18"/>
      <c r="BR654" s="18"/>
      <c r="BS654" s="18"/>
      <c r="BT654" s="18"/>
      <c r="BU654" s="18"/>
      <c r="BV654" s="18"/>
      <c r="BW654" s="18"/>
      <c r="BX654" s="18"/>
      <c r="BY654" s="18" t="str">
        <f t="shared" si="108"/>
        <v>COMP</v>
      </c>
      <c r="BZ654" s="18" t="str">
        <f t="shared" si="100"/>
        <v/>
      </c>
      <c r="CA654" s="18" t="str">
        <f t="shared" si="101"/>
        <v/>
      </c>
      <c r="CB654" s="15" t="s">
        <v>2908</v>
      </c>
      <c r="CC654" s="15" t="s">
        <v>2908</v>
      </c>
      <c r="CD654" s="25" t="s">
        <v>2797</v>
      </c>
      <c r="CE654" s="18"/>
      <c r="CF654" s="18"/>
      <c r="CG654" s="18"/>
    </row>
    <row r="655" ht="18.75" hidden="1" customHeight="1">
      <c r="A655" s="14">
        <v>44711.99498340278</v>
      </c>
      <c r="B655" s="15" t="s">
        <v>903</v>
      </c>
      <c r="C655" s="16" t="s">
        <v>17751</v>
      </c>
      <c r="D655" s="15" t="str">
        <f>IFERROR(__xludf.DUMMYFUNCTION("QUERY(TY_ALL_2023_Batch!$A$1:$E$824, ""SELECT E WHERE C='""&amp;B655&amp;""'"", 0)"),"COMP")</f>
        <v>COMP</v>
      </c>
      <c r="E655" s="15" t="s">
        <v>13002</v>
      </c>
      <c r="F655" s="15" t="s">
        <v>5816</v>
      </c>
      <c r="G655" s="15" t="s">
        <v>17752</v>
      </c>
      <c r="H655" s="15" t="s">
        <v>2785</v>
      </c>
      <c r="I655" s="17">
        <v>37301.0</v>
      </c>
      <c r="J655" s="15">
        <v>2019.0</v>
      </c>
      <c r="K655" s="15" t="s">
        <v>2786</v>
      </c>
      <c r="L655" s="15" t="s">
        <v>2787</v>
      </c>
      <c r="M655" s="18"/>
      <c r="N655" s="15" t="s">
        <v>17753</v>
      </c>
      <c r="O655" s="15" t="s">
        <v>17754</v>
      </c>
      <c r="P655" s="18"/>
      <c r="Q655" s="15">
        <v>8.003594828E9</v>
      </c>
      <c r="R655" s="15">
        <v>8.003594828E9</v>
      </c>
      <c r="S655" s="15">
        <v>8.003594828E9</v>
      </c>
      <c r="T655" s="15" t="s">
        <v>17755</v>
      </c>
      <c r="U655" s="15" t="s">
        <v>17756</v>
      </c>
      <c r="V655" s="15" t="s">
        <v>17757</v>
      </c>
      <c r="W655" s="18"/>
      <c r="X655" s="15">
        <v>62.0</v>
      </c>
      <c r="Y655" s="15" t="s">
        <v>2795</v>
      </c>
      <c r="Z655" s="15">
        <v>6.8</v>
      </c>
      <c r="AA655" s="15">
        <v>6.0</v>
      </c>
      <c r="AB655" s="15" t="s">
        <v>5798</v>
      </c>
      <c r="AC655" s="15" t="s">
        <v>5798</v>
      </c>
      <c r="AD655" s="15" t="s">
        <v>5798</v>
      </c>
      <c r="AE655" s="15" t="s">
        <v>5798</v>
      </c>
      <c r="AF655" s="15">
        <v>7.1</v>
      </c>
      <c r="AG655" s="15">
        <v>6.9</v>
      </c>
      <c r="AH655" s="15">
        <v>58.0</v>
      </c>
      <c r="AI655" s="18"/>
      <c r="AJ655" s="15" t="s">
        <v>2787</v>
      </c>
      <c r="AK655" s="15" t="s">
        <v>2787</v>
      </c>
      <c r="AL655" s="18"/>
      <c r="AM655" s="18"/>
      <c r="AN655" s="15" t="s">
        <v>2787</v>
      </c>
      <c r="AO655" s="15" t="s">
        <v>17758</v>
      </c>
      <c r="AP655" s="15" t="s">
        <v>17758</v>
      </c>
      <c r="AQ655" s="15" t="s">
        <v>17759</v>
      </c>
      <c r="AR655" s="18"/>
      <c r="AS655" s="18"/>
      <c r="AT655" s="18"/>
      <c r="AU655" s="18"/>
      <c r="AV655" s="15" t="s">
        <v>17760</v>
      </c>
      <c r="AW655" s="15" t="s">
        <v>17761</v>
      </c>
      <c r="AX655" s="18"/>
      <c r="AY655" s="15" t="s">
        <v>17762</v>
      </c>
      <c r="AZ655" s="15" t="s">
        <v>4670</v>
      </c>
      <c r="BA655" s="15" t="s">
        <v>4727</v>
      </c>
      <c r="BB655" s="15" t="s">
        <v>17763</v>
      </c>
      <c r="BC655" s="15" t="s">
        <v>4217</v>
      </c>
      <c r="BD655" s="15" t="s">
        <v>17764</v>
      </c>
      <c r="BE655" s="15" t="s">
        <v>5798</v>
      </c>
      <c r="BF655" s="18"/>
      <c r="BG655" s="18"/>
      <c r="BH655" s="18"/>
      <c r="BI655" s="15" t="s">
        <v>17765</v>
      </c>
      <c r="BJ655" s="19" t="s">
        <v>17766</v>
      </c>
      <c r="BK655" s="19" t="s">
        <v>17767</v>
      </c>
      <c r="BL655" s="18"/>
      <c r="BM655" s="18"/>
      <c r="BN655" s="18"/>
      <c r="BO655" s="19" t="s">
        <v>17768</v>
      </c>
      <c r="BP655" s="18"/>
      <c r="BQ655" s="18"/>
      <c r="BR655" s="18"/>
      <c r="BS655" s="18"/>
      <c r="BT655" s="18"/>
      <c r="BU655" s="18"/>
      <c r="BV655" s="18"/>
      <c r="BW655" s="18"/>
      <c r="BX655" s="18"/>
      <c r="BY655" s="18" t="str">
        <f t="shared" si="108"/>
        <v>COMP</v>
      </c>
      <c r="BZ655" s="18" t="str">
        <f t="shared" si="100"/>
        <v/>
      </c>
      <c r="CA655" s="18" t="str">
        <f t="shared" si="101"/>
        <v/>
      </c>
      <c r="CB655" s="15" t="s">
        <v>2908</v>
      </c>
      <c r="CC655" s="15" t="s">
        <v>2908</v>
      </c>
      <c r="CD655" s="25" t="s">
        <v>2797</v>
      </c>
      <c r="CE655" s="18"/>
      <c r="CF655" s="18"/>
      <c r="CG655" s="18"/>
    </row>
    <row r="656" ht="18.75" hidden="1" customHeight="1">
      <c r="A656" s="14">
        <v>44723.014125208334</v>
      </c>
      <c r="B656" s="15" t="s">
        <v>747</v>
      </c>
      <c r="C656" s="16" t="s">
        <v>17769</v>
      </c>
      <c r="D656" s="15" t="str">
        <f>IFERROR(__xludf.DUMMYFUNCTION("QUERY(TY_ALL_2023_Batch!$A$1:$E$824, ""SELECT E WHERE C='""&amp;B656&amp;""'"", 0)"),"COMP")</f>
        <v>COMP</v>
      </c>
      <c r="E656" s="15" t="s">
        <v>4447</v>
      </c>
      <c r="F656" s="15" t="s">
        <v>5506</v>
      </c>
      <c r="G656" s="15" t="s">
        <v>2784</v>
      </c>
      <c r="H656" s="15" t="s">
        <v>2785</v>
      </c>
      <c r="I656" s="17">
        <v>37245.0</v>
      </c>
      <c r="J656" s="15">
        <v>2019.0</v>
      </c>
      <c r="K656" s="15" t="s">
        <v>2786</v>
      </c>
      <c r="L656" s="15" t="s">
        <v>2787</v>
      </c>
      <c r="M656" s="18"/>
      <c r="N656" s="15" t="s">
        <v>17770</v>
      </c>
      <c r="O656" s="15" t="s">
        <v>747</v>
      </c>
      <c r="P656" s="19" t="s">
        <v>17771</v>
      </c>
      <c r="Q656" s="15">
        <v>8.390165026E9</v>
      </c>
      <c r="R656" s="15">
        <v>8.390165026E9</v>
      </c>
      <c r="S656" s="18"/>
      <c r="T656" s="15" t="s">
        <v>5506</v>
      </c>
      <c r="U656" s="15" t="s">
        <v>4661</v>
      </c>
      <c r="V656" s="15" t="s">
        <v>17772</v>
      </c>
      <c r="W656" s="15" t="s">
        <v>17772</v>
      </c>
      <c r="X656" s="15">
        <v>92.2</v>
      </c>
      <c r="Y656" s="15" t="s">
        <v>2795</v>
      </c>
      <c r="Z656" s="15">
        <v>9.29</v>
      </c>
      <c r="AA656" s="15">
        <v>9.52</v>
      </c>
      <c r="AB656" s="15" t="s">
        <v>2796</v>
      </c>
      <c r="AC656" s="15" t="s">
        <v>2796</v>
      </c>
      <c r="AD656" s="15" t="s">
        <v>2796</v>
      </c>
      <c r="AE656" s="15" t="s">
        <v>2796</v>
      </c>
      <c r="AF656" s="15">
        <v>6.79</v>
      </c>
      <c r="AG656" s="15">
        <v>9.1</v>
      </c>
      <c r="AH656" s="15">
        <v>68.2</v>
      </c>
      <c r="AI656" s="18"/>
      <c r="AJ656" s="15" t="s">
        <v>2787</v>
      </c>
      <c r="AK656" s="15" t="s">
        <v>2787</v>
      </c>
      <c r="AL656" s="18"/>
      <c r="AM656" s="18"/>
      <c r="AN656" s="15" t="s">
        <v>2787</v>
      </c>
      <c r="AO656" s="18"/>
      <c r="AP656" s="15" t="s">
        <v>17773</v>
      </c>
      <c r="AQ656" s="15" t="s">
        <v>2796</v>
      </c>
      <c r="AR656" s="18"/>
      <c r="AS656" s="15" t="s">
        <v>5356</v>
      </c>
      <c r="AT656" s="18"/>
      <c r="AU656" s="15" t="s">
        <v>17774</v>
      </c>
      <c r="AV656" s="15" t="s">
        <v>17775</v>
      </c>
      <c r="AW656" s="15" t="s">
        <v>17776</v>
      </c>
      <c r="AX656" s="18"/>
      <c r="AY656" s="15" t="s">
        <v>17777</v>
      </c>
      <c r="AZ656" s="15" t="s">
        <v>5335</v>
      </c>
      <c r="BA656" s="15" t="s">
        <v>2806</v>
      </c>
      <c r="BB656" s="15" t="s">
        <v>5649</v>
      </c>
      <c r="BC656" s="15" t="s">
        <v>5577</v>
      </c>
      <c r="BD656" s="15" t="s">
        <v>2807</v>
      </c>
      <c r="BE656" s="15" t="s">
        <v>17778</v>
      </c>
      <c r="BF656" s="15" t="s">
        <v>17779</v>
      </c>
      <c r="BG656" s="18"/>
      <c r="BH656" s="18"/>
      <c r="BI656" s="15" t="s">
        <v>17780</v>
      </c>
      <c r="BJ656" s="19" t="s">
        <v>17781</v>
      </c>
      <c r="BK656" s="19" t="s">
        <v>17782</v>
      </c>
      <c r="BL656" s="18"/>
      <c r="BM656" s="18"/>
      <c r="BN656" s="18"/>
      <c r="BO656" s="19" t="s">
        <v>17783</v>
      </c>
      <c r="BP656" s="18"/>
      <c r="BQ656" s="18"/>
      <c r="BR656" s="18"/>
      <c r="BS656" s="18"/>
      <c r="BT656" s="18"/>
      <c r="BU656" s="18"/>
      <c r="BV656" s="18"/>
      <c r="BW656" s="18"/>
      <c r="BX656" s="18"/>
      <c r="BY656" s="18" t="str">
        <f t="shared" si="108"/>
        <v>COMP</v>
      </c>
      <c r="BZ656" s="18" t="str">
        <f t="shared" si="100"/>
        <v/>
      </c>
      <c r="CA656" s="18" t="str">
        <f t="shared" si="101"/>
        <v/>
      </c>
      <c r="CB656" s="15" t="s">
        <v>2908</v>
      </c>
      <c r="CC656" s="15" t="s">
        <v>2908</v>
      </c>
      <c r="CD656" s="25" t="s">
        <v>2797</v>
      </c>
      <c r="CE656" s="18"/>
      <c r="CF656" s="18"/>
      <c r="CG656" s="18"/>
    </row>
    <row r="657" ht="18.75" hidden="1" customHeight="1">
      <c r="A657" s="14">
        <v>44722.99906666667</v>
      </c>
      <c r="B657" s="15" t="s">
        <v>750</v>
      </c>
      <c r="C657" s="16" t="s">
        <v>17784</v>
      </c>
      <c r="D657" s="15" t="str">
        <f>IFERROR(__xludf.DUMMYFUNCTION("QUERY(TY_ALL_2023_Batch!$A$1:$E$824, ""SELECT E WHERE C='""&amp;B657&amp;""'"", 0)"),"COMP")</f>
        <v>COMP</v>
      </c>
      <c r="E657" s="15" t="s">
        <v>3378</v>
      </c>
      <c r="F657" s="15" t="s">
        <v>13236</v>
      </c>
      <c r="G657" s="15" t="s">
        <v>17785</v>
      </c>
      <c r="H657" s="15" t="s">
        <v>2785</v>
      </c>
      <c r="I657" s="17">
        <v>36904.0</v>
      </c>
      <c r="J657" s="15">
        <v>2019.0</v>
      </c>
      <c r="K657" s="15" t="s">
        <v>2786</v>
      </c>
      <c r="L657" s="15" t="s">
        <v>2787</v>
      </c>
      <c r="M657" s="18"/>
      <c r="N657" s="15" t="s">
        <v>17786</v>
      </c>
      <c r="O657" s="15" t="s">
        <v>750</v>
      </c>
      <c r="P657" s="19" t="s">
        <v>17787</v>
      </c>
      <c r="Q657" s="15">
        <v>9.518958549E9</v>
      </c>
      <c r="R657" s="15">
        <v>9.518958549E9</v>
      </c>
      <c r="S657" s="15">
        <v>9.764494643E9</v>
      </c>
      <c r="T657" s="15" t="s">
        <v>13236</v>
      </c>
      <c r="U657" s="15" t="s">
        <v>3083</v>
      </c>
      <c r="V657" s="15" t="s">
        <v>17788</v>
      </c>
      <c r="W657" s="15" t="s">
        <v>17788</v>
      </c>
      <c r="X657" s="15">
        <v>76.4</v>
      </c>
      <c r="Y657" s="15" t="s">
        <v>2795</v>
      </c>
      <c r="Z657" s="15">
        <v>8.95</v>
      </c>
      <c r="AA657" s="15">
        <v>8.76</v>
      </c>
      <c r="AB657" s="15" t="s">
        <v>2796</v>
      </c>
      <c r="AC657" s="15" t="s">
        <v>2796</v>
      </c>
      <c r="AD657" s="15" t="s">
        <v>2796</v>
      </c>
      <c r="AE657" s="15" t="s">
        <v>2796</v>
      </c>
      <c r="AF657" s="15">
        <v>6.74</v>
      </c>
      <c r="AG657" s="15">
        <v>8.05</v>
      </c>
      <c r="AH657" s="15">
        <v>70.31</v>
      </c>
      <c r="AI657" s="18"/>
      <c r="AJ657" s="15" t="s">
        <v>2787</v>
      </c>
      <c r="AK657" s="15" t="s">
        <v>2787</v>
      </c>
      <c r="AL657" s="18"/>
      <c r="AM657" s="18"/>
      <c r="AN657" s="15" t="s">
        <v>2787</v>
      </c>
      <c r="AO657" s="18"/>
      <c r="AP657" s="15" t="s">
        <v>17789</v>
      </c>
      <c r="AQ657" s="15" t="s">
        <v>7038</v>
      </c>
      <c r="AR657" s="15" t="s">
        <v>17790</v>
      </c>
      <c r="AS657" s="18"/>
      <c r="AT657" s="18"/>
      <c r="AU657" s="18"/>
      <c r="AV657" s="15" t="s">
        <v>17791</v>
      </c>
      <c r="AW657" s="15" t="s">
        <v>17792</v>
      </c>
      <c r="AX657" s="15" t="s">
        <v>17793</v>
      </c>
      <c r="AY657" s="15" t="s">
        <v>17794</v>
      </c>
      <c r="AZ657" s="15" t="s">
        <v>5625</v>
      </c>
      <c r="BA657" s="15" t="s">
        <v>5870</v>
      </c>
      <c r="BB657" s="15" t="s">
        <v>5673</v>
      </c>
      <c r="BC657" s="15" t="s">
        <v>3686</v>
      </c>
      <c r="BD657" s="15" t="s">
        <v>2807</v>
      </c>
      <c r="BE657" s="15" t="s">
        <v>2796</v>
      </c>
      <c r="BF657" s="18"/>
      <c r="BG657" s="18"/>
      <c r="BH657" s="18"/>
      <c r="BI657" s="15" t="s">
        <v>17795</v>
      </c>
      <c r="BJ657" s="19" t="s">
        <v>17796</v>
      </c>
      <c r="BK657" s="19" t="s">
        <v>17797</v>
      </c>
      <c r="BL657" s="18"/>
      <c r="BM657" s="18"/>
      <c r="BN657" s="19" t="s">
        <v>17798</v>
      </c>
      <c r="BO657" s="19" t="s">
        <v>17799</v>
      </c>
      <c r="BP657" s="18"/>
      <c r="BQ657" s="18"/>
      <c r="BR657" s="18"/>
      <c r="BS657" s="18"/>
      <c r="BT657" s="18"/>
      <c r="BU657" s="18"/>
      <c r="BV657" s="18"/>
      <c r="BW657" s="18"/>
      <c r="BX657" s="18"/>
      <c r="BY657" s="18" t="str">
        <f t="shared" si="108"/>
        <v>COMP</v>
      </c>
      <c r="BZ657" s="18" t="str">
        <f t="shared" si="100"/>
        <v/>
      </c>
      <c r="CA657" s="18" t="str">
        <f t="shared" si="101"/>
        <v/>
      </c>
      <c r="CB657" s="15" t="s">
        <v>2908</v>
      </c>
      <c r="CC657" s="15" t="s">
        <v>2908</v>
      </c>
      <c r="CD657" s="25" t="s">
        <v>2797</v>
      </c>
      <c r="CE657" s="18"/>
      <c r="CF657" s="18"/>
      <c r="CG657" s="18"/>
    </row>
    <row r="658" ht="18.75" hidden="1" customHeight="1">
      <c r="A658" s="14">
        <v>44714.58681472222</v>
      </c>
      <c r="B658" s="15" t="s">
        <v>840</v>
      </c>
      <c r="C658" s="16" t="s">
        <v>17800</v>
      </c>
      <c r="D658" s="15" t="str">
        <f>IFERROR(__xludf.DUMMYFUNCTION("QUERY(TY_ALL_2023_Batch!$A$1:$E$824, ""SELECT E WHERE C='""&amp;B658&amp;""'"", 0)"),"COMP")</f>
        <v>COMP</v>
      </c>
      <c r="E658" s="15" t="s">
        <v>17801</v>
      </c>
      <c r="F658" s="18"/>
      <c r="G658" s="15" t="s">
        <v>5816</v>
      </c>
      <c r="H658" s="15" t="s">
        <v>2785</v>
      </c>
      <c r="I658" s="17">
        <v>36758.0</v>
      </c>
      <c r="J658" s="15">
        <v>2019.0</v>
      </c>
      <c r="K658" s="15" t="s">
        <v>2786</v>
      </c>
      <c r="L658" s="15" t="s">
        <v>2787</v>
      </c>
      <c r="M658" s="18"/>
      <c r="N658" s="15" t="s">
        <v>17802</v>
      </c>
      <c r="O658" s="15" t="s">
        <v>840</v>
      </c>
      <c r="P658" s="18"/>
      <c r="Q658" s="15">
        <v>8.130810418E9</v>
      </c>
      <c r="R658" s="15">
        <v>8.130810418E9</v>
      </c>
      <c r="S658" s="15">
        <v>9.801859859E9</v>
      </c>
      <c r="T658" s="15" t="s">
        <v>17803</v>
      </c>
      <c r="U658" s="15" t="s">
        <v>17804</v>
      </c>
      <c r="V658" s="15" t="s">
        <v>17805</v>
      </c>
      <c r="W658" s="15" t="s">
        <v>17806</v>
      </c>
      <c r="X658" s="15">
        <v>90.6</v>
      </c>
      <c r="Y658" s="15" t="s">
        <v>2795</v>
      </c>
      <c r="Z658" s="15">
        <v>9.05</v>
      </c>
      <c r="AA658" s="15">
        <v>8.43</v>
      </c>
      <c r="AB658" s="15">
        <v>8.71</v>
      </c>
      <c r="AC658" s="15" t="s">
        <v>2796</v>
      </c>
      <c r="AD658" s="15" t="s">
        <v>2796</v>
      </c>
      <c r="AE658" s="15" t="s">
        <v>2796</v>
      </c>
      <c r="AF658" s="15">
        <v>8.31</v>
      </c>
      <c r="AG658" s="15">
        <v>9.05</v>
      </c>
      <c r="AH658" s="15">
        <v>55.0</v>
      </c>
      <c r="AI658" s="18"/>
      <c r="AJ658" s="15" t="s">
        <v>2787</v>
      </c>
      <c r="AK658" s="15" t="s">
        <v>2787</v>
      </c>
      <c r="AL658" s="15">
        <v>698.3</v>
      </c>
      <c r="AM658" s="15">
        <v>690.0</v>
      </c>
      <c r="AN658" s="15" t="s">
        <v>2787</v>
      </c>
      <c r="AO658" s="15" t="s">
        <v>2796</v>
      </c>
      <c r="AP658" s="15" t="s">
        <v>3275</v>
      </c>
      <c r="AQ658" s="15" t="s">
        <v>17807</v>
      </c>
      <c r="AR658" s="18"/>
      <c r="AS658" s="18"/>
      <c r="AT658" s="18"/>
      <c r="AU658" s="18"/>
      <c r="AV658" s="15" t="s">
        <v>17808</v>
      </c>
      <c r="AW658" s="15" t="s">
        <v>17809</v>
      </c>
      <c r="AX658" s="18"/>
      <c r="AY658" s="15" t="s">
        <v>17810</v>
      </c>
      <c r="AZ658" s="15" t="s">
        <v>5335</v>
      </c>
      <c r="BA658" s="15" t="s">
        <v>5552</v>
      </c>
      <c r="BB658" s="15" t="s">
        <v>5626</v>
      </c>
      <c r="BC658" s="15" t="s">
        <v>5705</v>
      </c>
      <c r="BD658" s="15" t="s">
        <v>3393</v>
      </c>
      <c r="BE658" s="15" t="s">
        <v>2796</v>
      </c>
      <c r="BF658" s="18"/>
      <c r="BG658" s="18"/>
      <c r="BH658" s="18"/>
      <c r="BI658" s="18"/>
      <c r="BJ658" s="19" t="s">
        <v>17811</v>
      </c>
      <c r="BK658" s="19" t="s">
        <v>17812</v>
      </c>
      <c r="BL658" s="19" t="s">
        <v>17813</v>
      </c>
      <c r="BM658" s="19" t="s">
        <v>17814</v>
      </c>
      <c r="BN658" s="19" t="s">
        <v>17815</v>
      </c>
      <c r="BO658" s="19" t="s">
        <v>17816</v>
      </c>
      <c r="BP658" s="19" t="s">
        <v>17817</v>
      </c>
      <c r="BQ658" s="26"/>
      <c r="BR658" s="26"/>
      <c r="BS658" s="26"/>
      <c r="BT658" s="26"/>
      <c r="BU658" s="26"/>
      <c r="BV658" s="26"/>
      <c r="BW658" s="26"/>
      <c r="BX658" s="26"/>
      <c r="BY658" s="18" t="str">
        <f t="shared" si="108"/>
        <v>COMP</v>
      </c>
      <c r="BZ658" s="24" t="str">
        <f t="shared" si="100"/>
        <v>https://drive.google.com/open?id=1NNuiXfwQM-VpeT2HrBaGVZ38zFZoPdvN</v>
      </c>
      <c r="CA658" s="24" t="str">
        <f t="shared" si="101"/>
        <v>https://drive.google.com/open?id=1EJblnOGIy0NgR88O1FZlPOb4mK1CrpzL</v>
      </c>
      <c r="CB658" s="15" t="s">
        <v>2821</v>
      </c>
      <c r="CC658" s="15" t="s">
        <v>2821</v>
      </c>
      <c r="CD658" s="25" t="s">
        <v>2797</v>
      </c>
      <c r="CE658" s="18"/>
      <c r="CF658" s="18"/>
      <c r="CG658" s="18"/>
    </row>
    <row r="659" ht="18.75" hidden="1" customHeight="1">
      <c r="A659" s="14">
        <v>44722.88693738426</v>
      </c>
      <c r="B659" s="15" t="s">
        <v>717</v>
      </c>
      <c r="C659" s="16" t="s">
        <v>17818</v>
      </c>
      <c r="D659" s="15" t="str">
        <f>IFERROR(__xludf.DUMMYFUNCTION("QUERY(TY_ALL_2023_Batch!$A$1:$E$824, ""SELECT E WHERE C='""&amp;B659&amp;""'"", 0)"),"COMP")</f>
        <v>COMP</v>
      </c>
      <c r="E659" s="15" t="s">
        <v>9632</v>
      </c>
      <c r="F659" s="15" t="s">
        <v>17819</v>
      </c>
      <c r="G659" s="15" t="s">
        <v>17820</v>
      </c>
      <c r="H659" s="15" t="s">
        <v>2785</v>
      </c>
      <c r="I659" s="17">
        <v>36755.0</v>
      </c>
      <c r="J659" s="15">
        <v>2019.0</v>
      </c>
      <c r="K659" s="15" t="s">
        <v>2786</v>
      </c>
      <c r="L659" s="15" t="s">
        <v>2787</v>
      </c>
      <c r="M659" s="18"/>
      <c r="N659" s="15" t="s">
        <v>17821</v>
      </c>
      <c r="O659" s="15" t="s">
        <v>717</v>
      </c>
      <c r="P659" s="19" t="s">
        <v>17822</v>
      </c>
      <c r="Q659" s="15">
        <v>7.768989938E9</v>
      </c>
      <c r="R659" s="15">
        <v>7.768989938E9</v>
      </c>
      <c r="S659" s="18"/>
      <c r="T659" s="15" t="s">
        <v>17819</v>
      </c>
      <c r="U659" s="15" t="s">
        <v>10657</v>
      </c>
      <c r="V659" s="15" t="s">
        <v>17823</v>
      </c>
      <c r="W659" s="18"/>
      <c r="X659" s="15">
        <v>83.4</v>
      </c>
      <c r="Y659" s="15" t="s">
        <v>2795</v>
      </c>
      <c r="Z659" s="15">
        <v>10.0</v>
      </c>
      <c r="AA659" s="15">
        <v>9.9</v>
      </c>
      <c r="AB659" s="15" t="s">
        <v>2796</v>
      </c>
      <c r="AC659" s="15" t="s">
        <v>2796</v>
      </c>
      <c r="AD659" s="15" t="s">
        <v>3005</v>
      </c>
      <c r="AE659" s="15" t="s">
        <v>2796</v>
      </c>
      <c r="AF659" s="15">
        <v>9.68</v>
      </c>
      <c r="AG659" s="15">
        <v>9.86</v>
      </c>
      <c r="AH659" s="15">
        <v>73.08</v>
      </c>
      <c r="AI659" s="18"/>
      <c r="AJ659" s="15" t="s">
        <v>2787</v>
      </c>
      <c r="AK659" s="15" t="s">
        <v>2787</v>
      </c>
      <c r="AL659" s="15">
        <v>658.0</v>
      </c>
      <c r="AM659" s="15">
        <v>663.0</v>
      </c>
      <c r="AN659" s="15" t="s">
        <v>2797</v>
      </c>
      <c r="AO659" s="18"/>
      <c r="AP659" s="18"/>
      <c r="AQ659" s="15" t="s">
        <v>5415</v>
      </c>
      <c r="AR659" s="15" t="s">
        <v>5356</v>
      </c>
      <c r="AS659" s="18"/>
      <c r="AT659" s="18"/>
      <c r="AU659" s="15" t="s">
        <v>17824</v>
      </c>
      <c r="AV659" s="15" t="s">
        <v>17825</v>
      </c>
      <c r="AW659" s="15" t="s">
        <v>17826</v>
      </c>
      <c r="AX659" s="18"/>
      <c r="AY659" s="15" t="s">
        <v>17827</v>
      </c>
      <c r="AZ659" s="15" t="s">
        <v>5335</v>
      </c>
      <c r="BA659" s="15" t="s">
        <v>6146</v>
      </c>
      <c r="BB659" s="15" t="s">
        <v>17828</v>
      </c>
      <c r="BC659" s="15" t="s">
        <v>17829</v>
      </c>
      <c r="BD659" s="15" t="s">
        <v>2807</v>
      </c>
      <c r="BE659" s="15" t="s">
        <v>17830</v>
      </c>
      <c r="BF659" s="15" t="s">
        <v>17831</v>
      </c>
      <c r="BG659" s="18"/>
      <c r="BH659" s="18"/>
      <c r="BI659" s="15" t="s">
        <v>17832</v>
      </c>
      <c r="BJ659" s="19" t="s">
        <v>17833</v>
      </c>
      <c r="BK659" s="19" t="s">
        <v>17834</v>
      </c>
      <c r="BL659" s="19" t="s">
        <v>17835</v>
      </c>
      <c r="BM659" s="19" t="s">
        <v>17836</v>
      </c>
      <c r="BN659" s="19" t="s">
        <v>17837</v>
      </c>
      <c r="BO659" s="19" t="s">
        <v>17838</v>
      </c>
      <c r="BP659" s="19" t="s">
        <v>17839</v>
      </c>
      <c r="BQ659" s="26"/>
      <c r="BR659" s="26"/>
      <c r="BS659" s="26"/>
      <c r="BT659" s="26"/>
      <c r="BU659" s="26"/>
      <c r="BV659" s="26"/>
      <c r="BW659" s="26"/>
      <c r="BX659" s="26"/>
      <c r="BY659" s="18" t="str">
        <f t="shared" si="108"/>
        <v>COMP</v>
      </c>
      <c r="BZ659" s="24" t="str">
        <f t="shared" si="100"/>
        <v>https://drive.google.com/open?id=1P6gyoNlk5CkajHFDvHIn4ucx3dB0Qc4R</v>
      </c>
      <c r="CA659" s="24" t="str">
        <f t="shared" si="101"/>
        <v>https://drive.google.com/open?id=1SmQRQYZ1lNgQ4EPHqHMIoTnVAlEspTaS</v>
      </c>
      <c r="CB659" s="15" t="s">
        <v>2821</v>
      </c>
      <c r="CC659" s="15" t="s">
        <v>2821</v>
      </c>
      <c r="CD659" s="25" t="s">
        <v>2797</v>
      </c>
      <c r="CE659" s="18"/>
      <c r="CF659" s="18"/>
      <c r="CG659" s="18"/>
    </row>
    <row r="660" ht="18.75" hidden="1" customHeight="1">
      <c r="A660" s="14">
        <v>44722.98311439814</v>
      </c>
      <c r="B660" s="15" t="s">
        <v>726</v>
      </c>
      <c r="C660" s="16" t="s">
        <v>17840</v>
      </c>
      <c r="D660" s="15" t="str">
        <f>IFERROR(__xludf.DUMMYFUNCTION("QUERY(TY_ALL_2023_Batch!$A$1:$E$824, ""SELECT E WHERE C='""&amp;B660&amp;""'"", 0)"),"COMP")</f>
        <v>COMP</v>
      </c>
      <c r="E660" s="15" t="s">
        <v>7663</v>
      </c>
      <c r="F660" s="15" t="s">
        <v>17841</v>
      </c>
      <c r="G660" s="15" t="s">
        <v>17842</v>
      </c>
      <c r="H660" s="15" t="s">
        <v>2785</v>
      </c>
      <c r="I660" s="17">
        <v>36943.0</v>
      </c>
      <c r="J660" s="15">
        <v>2019.0</v>
      </c>
      <c r="K660" s="15" t="s">
        <v>2786</v>
      </c>
      <c r="L660" s="15" t="s">
        <v>2787</v>
      </c>
      <c r="M660" s="18"/>
      <c r="N660" s="15" t="s">
        <v>17843</v>
      </c>
      <c r="O660" s="15" t="s">
        <v>726</v>
      </c>
      <c r="P660" s="19" t="s">
        <v>17844</v>
      </c>
      <c r="Q660" s="15">
        <v>8.080962637E9</v>
      </c>
      <c r="R660" s="15">
        <v>7.558351727E9</v>
      </c>
      <c r="S660" s="18"/>
      <c r="T660" s="15" t="s">
        <v>17841</v>
      </c>
      <c r="U660" s="15" t="s">
        <v>17845</v>
      </c>
      <c r="V660" s="15" t="s">
        <v>17846</v>
      </c>
      <c r="W660" s="18"/>
      <c r="X660" s="15">
        <v>90.0</v>
      </c>
      <c r="Y660" s="15" t="s">
        <v>2795</v>
      </c>
      <c r="Z660" s="15">
        <v>9.48</v>
      </c>
      <c r="AA660" s="15">
        <v>9.1</v>
      </c>
      <c r="AB660" s="15" t="s">
        <v>2796</v>
      </c>
      <c r="AC660" s="15" t="s">
        <v>2796</v>
      </c>
      <c r="AD660" s="15" t="s">
        <v>2796</v>
      </c>
      <c r="AE660" s="15" t="s">
        <v>2796</v>
      </c>
      <c r="AF660" s="15">
        <v>8.63</v>
      </c>
      <c r="AG660" s="15">
        <v>8.95</v>
      </c>
      <c r="AH660" s="15">
        <v>76.31</v>
      </c>
      <c r="AI660" s="18"/>
      <c r="AJ660" s="15" t="s">
        <v>2787</v>
      </c>
      <c r="AK660" s="15" t="s">
        <v>2787</v>
      </c>
      <c r="AL660" s="15">
        <v>92.333333333333</v>
      </c>
      <c r="AM660" s="15">
        <v>95.333333333333</v>
      </c>
      <c r="AN660" s="15" t="s">
        <v>2797</v>
      </c>
      <c r="AO660" s="18"/>
      <c r="AP660" s="18"/>
      <c r="AQ660" s="15" t="s">
        <v>17847</v>
      </c>
      <c r="AR660" s="15" t="s">
        <v>8198</v>
      </c>
      <c r="AS660" s="15" t="s">
        <v>17848</v>
      </c>
      <c r="AT660" s="18"/>
      <c r="AU660" s="15" t="s">
        <v>17849</v>
      </c>
      <c r="AV660" s="15" t="s">
        <v>17850</v>
      </c>
      <c r="AW660" s="15" t="s">
        <v>17851</v>
      </c>
      <c r="AX660" s="18"/>
      <c r="AY660" s="15" t="s">
        <v>17852</v>
      </c>
      <c r="AZ660" s="15" t="s">
        <v>5260</v>
      </c>
      <c r="BA660" s="15" t="s">
        <v>17853</v>
      </c>
      <c r="BB660" s="15" t="s">
        <v>5803</v>
      </c>
      <c r="BC660" s="15" t="s">
        <v>4746</v>
      </c>
      <c r="BD660" s="15" t="s">
        <v>2842</v>
      </c>
      <c r="BE660" s="15" t="s">
        <v>2796</v>
      </c>
      <c r="BF660" s="18"/>
      <c r="BG660" s="18"/>
      <c r="BH660" s="15" t="s">
        <v>17854</v>
      </c>
      <c r="BI660" s="18"/>
      <c r="BJ660" s="19" t="s">
        <v>17855</v>
      </c>
      <c r="BK660" s="19" t="s">
        <v>17856</v>
      </c>
      <c r="BL660" s="18"/>
      <c r="BM660" s="18"/>
      <c r="BN660" s="18"/>
      <c r="BO660" s="19" t="s">
        <v>17857</v>
      </c>
      <c r="BP660" s="18"/>
      <c r="BQ660" s="18"/>
      <c r="BR660" s="18"/>
      <c r="BS660" s="18"/>
      <c r="BT660" s="18"/>
      <c r="BU660" s="18"/>
      <c r="BV660" s="18"/>
      <c r="BW660" s="18"/>
      <c r="BX660" s="18"/>
      <c r="BY660" s="18" t="str">
        <f t="shared" si="108"/>
        <v>COMP</v>
      </c>
      <c r="BZ660" s="18" t="str">
        <f t="shared" si="100"/>
        <v/>
      </c>
      <c r="CA660" s="18" t="str">
        <f t="shared" si="101"/>
        <v/>
      </c>
      <c r="CB660" s="15" t="s">
        <v>2908</v>
      </c>
      <c r="CC660" s="15" t="s">
        <v>2908</v>
      </c>
      <c r="CD660" s="25" t="s">
        <v>2797</v>
      </c>
      <c r="CE660" s="18"/>
      <c r="CF660" s="18"/>
      <c r="CG660" s="18"/>
    </row>
    <row r="661" ht="18.75" hidden="1" customHeight="1">
      <c r="A661" s="14">
        <v>44722.888437974536</v>
      </c>
      <c r="B661" s="15" t="s">
        <v>699</v>
      </c>
      <c r="C661" s="16" t="s">
        <v>17858</v>
      </c>
      <c r="D661" s="15" t="str">
        <f>IFERROR(__xludf.DUMMYFUNCTION("QUERY(TY_ALL_2023_Batch!$A$1:$E$824, ""SELECT E WHERE C='""&amp;B661&amp;""'"", 0)"),"COMP")</f>
        <v>COMP</v>
      </c>
      <c r="E661" s="15" t="s">
        <v>4684</v>
      </c>
      <c r="F661" s="15" t="s">
        <v>10821</v>
      </c>
      <c r="G661" s="15" t="s">
        <v>5691</v>
      </c>
      <c r="H661" s="15" t="s">
        <v>2826</v>
      </c>
      <c r="I661" s="17">
        <v>36815.0</v>
      </c>
      <c r="J661" s="15">
        <v>2019.0</v>
      </c>
      <c r="K661" s="15" t="s">
        <v>2786</v>
      </c>
      <c r="L661" s="15" t="s">
        <v>2787</v>
      </c>
      <c r="M661" s="18"/>
      <c r="N661" s="15" t="s">
        <v>17859</v>
      </c>
      <c r="O661" s="15" t="s">
        <v>17860</v>
      </c>
      <c r="P661" s="19" t="s">
        <v>17861</v>
      </c>
      <c r="Q661" s="15">
        <v>9.766615429E9</v>
      </c>
      <c r="R661" s="15">
        <v>9.766615429E9</v>
      </c>
      <c r="S661" s="15">
        <v>9.730157775E9</v>
      </c>
      <c r="T661" s="15" t="s">
        <v>17862</v>
      </c>
      <c r="U661" s="15" t="s">
        <v>17863</v>
      </c>
      <c r="V661" s="15" t="s">
        <v>17864</v>
      </c>
      <c r="W661" s="18"/>
      <c r="X661" s="15">
        <v>79.0</v>
      </c>
      <c r="Y661" s="15" t="s">
        <v>2795</v>
      </c>
      <c r="Z661" s="15">
        <v>7.86</v>
      </c>
      <c r="AA661" s="15">
        <v>7.93</v>
      </c>
      <c r="AB661" s="15">
        <v>7.86</v>
      </c>
      <c r="AC661" s="15" t="s">
        <v>2796</v>
      </c>
      <c r="AD661" s="15" t="s">
        <v>2796</v>
      </c>
      <c r="AE661" s="15" t="s">
        <v>2796</v>
      </c>
      <c r="AF661" s="15">
        <v>7.86</v>
      </c>
      <c r="AG661" s="15">
        <v>7.33</v>
      </c>
      <c r="AH661" s="15">
        <v>63.0</v>
      </c>
      <c r="AI661" s="18"/>
      <c r="AJ661" s="15" t="s">
        <v>2787</v>
      </c>
      <c r="AK661" s="15" t="s">
        <v>2787</v>
      </c>
      <c r="AL661" s="18"/>
      <c r="AM661" s="18"/>
      <c r="AN661" s="15" t="s">
        <v>2797</v>
      </c>
      <c r="AO661" s="15" t="s">
        <v>2796</v>
      </c>
      <c r="AP661" s="15" t="s">
        <v>2796</v>
      </c>
      <c r="AQ661" s="15" t="s">
        <v>17865</v>
      </c>
      <c r="AR661" s="15" t="s">
        <v>17866</v>
      </c>
      <c r="AS661" s="15" t="s">
        <v>17867</v>
      </c>
      <c r="AT661" s="18"/>
      <c r="AU661" s="15" t="s">
        <v>17868</v>
      </c>
      <c r="AV661" s="15" t="s">
        <v>17869</v>
      </c>
      <c r="AW661" s="15" t="s">
        <v>17870</v>
      </c>
      <c r="AX661" s="18"/>
      <c r="AY661" s="15" t="s">
        <v>17871</v>
      </c>
      <c r="AZ661" s="15" t="s">
        <v>5335</v>
      </c>
      <c r="BA661" s="15" t="s">
        <v>5552</v>
      </c>
      <c r="BB661" s="15" t="s">
        <v>7864</v>
      </c>
      <c r="BC661" s="15" t="s">
        <v>5604</v>
      </c>
      <c r="BD661" s="15" t="s">
        <v>3393</v>
      </c>
      <c r="BE661" s="15" t="s">
        <v>17872</v>
      </c>
      <c r="BF661" s="18"/>
      <c r="BG661" s="18"/>
      <c r="BH661" s="15" t="s">
        <v>17873</v>
      </c>
      <c r="BI661" s="18"/>
      <c r="BJ661" s="19" t="s">
        <v>17874</v>
      </c>
      <c r="BK661" s="19" t="s">
        <v>17875</v>
      </c>
      <c r="BL661" s="18"/>
      <c r="BM661" s="18"/>
      <c r="BN661" s="19" t="s">
        <v>17876</v>
      </c>
      <c r="BO661" s="19" t="s">
        <v>17877</v>
      </c>
      <c r="BP661" s="19" t="s">
        <v>17878</v>
      </c>
      <c r="BQ661" s="26"/>
      <c r="BR661" s="26"/>
      <c r="BS661" s="26"/>
      <c r="BT661" s="26"/>
      <c r="BU661" s="26"/>
      <c r="BV661" s="26"/>
      <c r="BW661" s="26"/>
      <c r="BX661" s="26"/>
      <c r="BY661" s="18" t="str">
        <f t="shared" si="108"/>
        <v>COMP</v>
      </c>
      <c r="BZ661" s="18" t="str">
        <f t="shared" si="100"/>
        <v/>
      </c>
      <c r="CA661" s="18" t="str">
        <f t="shared" si="101"/>
        <v/>
      </c>
      <c r="CB661" s="15" t="s">
        <v>2908</v>
      </c>
      <c r="CC661" s="15" t="s">
        <v>2908</v>
      </c>
      <c r="CD661" s="25" t="s">
        <v>2797</v>
      </c>
      <c r="CE661" s="18"/>
      <c r="CF661" s="18"/>
      <c r="CG661" s="18"/>
    </row>
    <row r="662" ht="18.75" hidden="1" customHeight="1">
      <c r="A662" s="14">
        <v>44723.28945703704</v>
      </c>
      <c r="B662" s="15" t="s">
        <v>708</v>
      </c>
      <c r="C662" s="16" t="s">
        <v>17879</v>
      </c>
      <c r="D662" s="15" t="str">
        <f>IFERROR(__xludf.DUMMYFUNCTION("QUERY(TY_ALL_2023_Batch!$A$1:$E$824, ""SELECT E WHERE C='""&amp;B662&amp;""'"", 0)"),"COMP")</f>
        <v>COMP</v>
      </c>
      <c r="E662" s="15" t="s">
        <v>17880</v>
      </c>
      <c r="F662" s="15" t="s">
        <v>17881</v>
      </c>
      <c r="G662" s="15" t="s">
        <v>8085</v>
      </c>
      <c r="H662" s="15" t="s">
        <v>2785</v>
      </c>
      <c r="I662" s="17">
        <v>36396.0</v>
      </c>
      <c r="J662" s="15">
        <v>2019.0</v>
      </c>
      <c r="K662" s="15" t="s">
        <v>2786</v>
      </c>
      <c r="L662" s="15" t="s">
        <v>2787</v>
      </c>
      <c r="M662" s="18"/>
      <c r="N662" s="15" t="s">
        <v>17882</v>
      </c>
      <c r="O662" s="15" t="s">
        <v>17883</v>
      </c>
      <c r="P662" s="19" t="s">
        <v>17884</v>
      </c>
      <c r="Q662" s="15">
        <v>9.657607292E9</v>
      </c>
      <c r="R662" s="15">
        <v>9.657607292E9</v>
      </c>
      <c r="S662" s="15">
        <v>9.356957631E9</v>
      </c>
      <c r="T662" s="15" t="s">
        <v>17885</v>
      </c>
      <c r="U662" s="15" t="s">
        <v>3677</v>
      </c>
      <c r="V662" s="15" t="s">
        <v>17886</v>
      </c>
      <c r="W662" s="15" t="s">
        <v>17886</v>
      </c>
      <c r="X662" s="15">
        <v>70.6</v>
      </c>
      <c r="Y662" s="15" t="s">
        <v>2795</v>
      </c>
      <c r="Z662" s="15">
        <v>7.0</v>
      </c>
      <c r="AA662" s="15">
        <v>7.0</v>
      </c>
      <c r="AB662" s="15">
        <v>7.0</v>
      </c>
      <c r="AC662" s="15">
        <v>7.0</v>
      </c>
      <c r="AD662" s="15">
        <v>7.0</v>
      </c>
      <c r="AE662" s="15">
        <v>7.0</v>
      </c>
      <c r="AF662" s="15">
        <v>6.0</v>
      </c>
      <c r="AG662" s="15">
        <v>7.0</v>
      </c>
      <c r="AH662" s="15">
        <v>56.0</v>
      </c>
      <c r="AI662" s="18"/>
      <c r="AJ662" s="15" t="s">
        <v>2787</v>
      </c>
      <c r="AK662" s="15" t="s">
        <v>2797</v>
      </c>
      <c r="AL662" s="15">
        <v>70.0</v>
      </c>
      <c r="AM662" s="15" t="s">
        <v>4724</v>
      </c>
      <c r="AN662" s="15" t="s">
        <v>2787</v>
      </c>
      <c r="AO662" s="15" t="s">
        <v>17887</v>
      </c>
      <c r="AP662" s="18"/>
      <c r="AQ662" s="15" t="s">
        <v>2797</v>
      </c>
      <c r="AR662" s="15" t="s">
        <v>17888</v>
      </c>
      <c r="AS662" s="18"/>
      <c r="AT662" s="18"/>
      <c r="AU662" s="15" t="s">
        <v>17889</v>
      </c>
      <c r="AV662" s="15" t="s">
        <v>10934</v>
      </c>
      <c r="AW662" s="15" t="s">
        <v>17890</v>
      </c>
      <c r="AX662" s="15" t="s">
        <v>17891</v>
      </c>
      <c r="AY662" s="15" t="s">
        <v>2797</v>
      </c>
      <c r="AZ662" s="15" t="s">
        <v>5625</v>
      </c>
      <c r="BA662" s="15" t="s">
        <v>5522</v>
      </c>
      <c r="BB662" s="15" t="s">
        <v>6257</v>
      </c>
      <c r="BC662" s="15" t="s">
        <v>17892</v>
      </c>
      <c r="BD662" s="15" t="s">
        <v>2807</v>
      </c>
      <c r="BE662" s="15" t="s">
        <v>17893</v>
      </c>
      <c r="BF662" s="18"/>
      <c r="BG662" s="18"/>
      <c r="BH662" s="18"/>
      <c r="BI662" s="18"/>
      <c r="BJ662" s="19" t="s">
        <v>17884</v>
      </c>
      <c r="BK662" s="19" t="s">
        <v>17894</v>
      </c>
      <c r="BL662" s="18"/>
      <c r="BM662" s="18"/>
      <c r="BN662" s="18"/>
      <c r="BO662" s="19" t="s">
        <v>17895</v>
      </c>
      <c r="BP662" s="18"/>
      <c r="BQ662" s="18"/>
      <c r="BR662" s="18"/>
      <c r="BS662" s="18"/>
      <c r="BT662" s="18"/>
      <c r="BU662" s="18"/>
      <c r="BV662" s="18"/>
      <c r="BW662" s="18"/>
      <c r="BX662" s="18"/>
      <c r="BY662" s="18" t="str">
        <f t="shared" si="108"/>
        <v>COMP</v>
      </c>
      <c r="BZ662" s="18" t="str">
        <f t="shared" si="100"/>
        <v/>
      </c>
      <c r="CA662" s="18" t="str">
        <f t="shared" si="101"/>
        <v/>
      </c>
      <c r="CB662" s="15" t="s">
        <v>2908</v>
      </c>
      <c r="CC662" s="15" t="s">
        <v>2908</v>
      </c>
      <c r="CD662" s="25" t="s">
        <v>2797</v>
      </c>
      <c r="CE662" s="18"/>
      <c r="CF662" s="18"/>
      <c r="CG662" s="18"/>
    </row>
    <row r="663" ht="18.75" hidden="1" customHeight="1">
      <c r="A663" s="14">
        <v>44723.02673471065</v>
      </c>
      <c r="B663" s="15" t="s">
        <v>412</v>
      </c>
      <c r="C663" s="16" t="s">
        <v>17896</v>
      </c>
      <c r="D663" s="15" t="str">
        <f>IFERROR(__xludf.DUMMYFUNCTION("QUERY(TY_ALL_2023_Batch!$A$1:$E$824, ""SELECT E WHERE C='""&amp;B663&amp;""'"", 0)"),"COMP")</f>
        <v>COMP</v>
      </c>
      <c r="E663" s="15" t="s">
        <v>4616</v>
      </c>
      <c r="F663" s="15" t="s">
        <v>4276</v>
      </c>
      <c r="G663" s="15" t="s">
        <v>4936</v>
      </c>
      <c r="H663" s="15" t="s">
        <v>2826</v>
      </c>
      <c r="I663" s="17">
        <v>37072.0</v>
      </c>
      <c r="J663" s="15">
        <v>2020.0</v>
      </c>
      <c r="K663" s="15" t="s">
        <v>2941</v>
      </c>
      <c r="L663" s="15" t="s">
        <v>2787</v>
      </c>
      <c r="M663" s="18"/>
      <c r="N663" s="15" t="s">
        <v>17897</v>
      </c>
      <c r="O663" s="15" t="s">
        <v>412</v>
      </c>
      <c r="P663" s="19" t="s">
        <v>17898</v>
      </c>
      <c r="Q663" s="15">
        <v>8.779744081E9</v>
      </c>
      <c r="R663" s="15">
        <v>8.779744081E9</v>
      </c>
      <c r="S663" s="18"/>
      <c r="T663" s="15" t="s">
        <v>4276</v>
      </c>
      <c r="U663" s="15" t="s">
        <v>12385</v>
      </c>
      <c r="V663" s="15" t="s">
        <v>17899</v>
      </c>
      <c r="W663" s="18"/>
      <c r="X663" s="15">
        <v>79.8</v>
      </c>
      <c r="Y663" s="15" t="s">
        <v>2948</v>
      </c>
      <c r="Z663" s="15">
        <v>8.33</v>
      </c>
      <c r="AA663" s="15">
        <v>8.52</v>
      </c>
      <c r="AB663" s="15" t="s">
        <v>2796</v>
      </c>
      <c r="AC663" s="15" t="s">
        <v>2796</v>
      </c>
      <c r="AD663" s="15" t="s">
        <v>2796</v>
      </c>
      <c r="AE663" s="15" t="s">
        <v>2796</v>
      </c>
      <c r="AF663" s="18"/>
      <c r="AG663" s="18"/>
      <c r="AH663" s="18"/>
      <c r="AI663" s="15">
        <v>91.94</v>
      </c>
      <c r="AJ663" s="15" t="s">
        <v>2787</v>
      </c>
      <c r="AK663" s="15" t="s">
        <v>2787</v>
      </c>
      <c r="AL663" s="15">
        <v>628.333</v>
      </c>
      <c r="AM663" s="15">
        <v>575.0</v>
      </c>
      <c r="AN663" s="15" t="s">
        <v>2797</v>
      </c>
      <c r="AO663" s="18"/>
      <c r="AP663" s="18"/>
      <c r="AQ663" s="15" t="s">
        <v>17900</v>
      </c>
      <c r="AR663" s="18"/>
      <c r="AS663" s="15" t="s">
        <v>17901</v>
      </c>
      <c r="AT663" s="18"/>
      <c r="AU663" s="18"/>
      <c r="AV663" s="18"/>
      <c r="AW663" s="15" t="s">
        <v>17902</v>
      </c>
      <c r="AX663" s="18"/>
      <c r="AY663" s="15" t="s">
        <v>17903</v>
      </c>
      <c r="AZ663" s="15" t="s">
        <v>5260</v>
      </c>
      <c r="BA663" s="15" t="s">
        <v>5870</v>
      </c>
      <c r="BB663" s="15" t="s">
        <v>5871</v>
      </c>
      <c r="BC663" s="15" t="s">
        <v>17747</v>
      </c>
      <c r="BD663" s="15" t="s">
        <v>5422</v>
      </c>
      <c r="BE663" s="15" t="s">
        <v>2796</v>
      </c>
      <c r="BF663" s="18"/>
      <c r="BG663" s="18"/>
      <c r="BH663" s="15" t="s">
        <v>17904</v>
      </c>
      <c r="BI663" s="18"/>
      <c r="BJ663" s="19" t="s">
        <v>17905</v>
      </c>
      <c r="BK663" s="19" t="s">
        <v>17906</v>
      </c>
      <c r="BL663" s="19" t="s">
        <v>17907</v>
      </c>
      <c r="BM663" s="19" t="s">
        <v>17908</v>
      </c>
      <c r="BN663" s="18"/>
      <c r="BO663" s="19" t="s">
        <v>17909</v>
      </c>
      <c r="BP663" s="19" t="s">
        <v>17910</v>
      </c>
      <c r="BQ663" s="26"/>
      <c r="BR663" s="26"/>
      <c r="BS663" s="26"/>
      <c r="BT663" s="26"/>
      <c r="BU663" s="26"/>
      <c r="BV663" s="26"/>
      <c r="BW663" s="26"/>
      <c r="BX663" s="26"/>
      <c r="BY663" s="18" t="str">
        <f t="shared" si="108"/>
        <v>COMP</v>
      </c>
      <c r="BZ663" s="24" t="str">
        <f t="shared" si="100"/>
        <v>https://drive.google.com/open?id=1LLSSJ7FCCOo3FKtTigZThzkfMEpAMVvs</v>
      </c>
      <c r="CA663" s="24" t="str">
        <f t="shared" si="101"/>
        <v>https://drive.google.com/open?id=1ErYTeVQqtIQXw1V1TZLdFVtNWxz-v_kr</v>
      </c>
      <c r="CB663" s="15" t="s">
        <v>2821</v>
      </c>
      <c r="CC663" s="15" t="s">
        <v>2821</v>
      </c>
      <c r="CD663" s="25" t="s">
        <v>2797</v>
      </c>
      <c r="CE663" s="18"/>
      <c r="CF663" s="18"/>
      <c r="CG663" s="18"/>
    </row>
    <row r="664" ht="18.75" hidden="1" customHeight="1">
      <c r="A664" s="14">
        <v>44722.94425351852</v>
      </c>
      <c r="B664" s="15" t="s">
        <v>418</v>
      </c>
      <c r="C664" s="16" t="s">
        <v>17911</v>
      </c>
      <c r="D664" s="15" t="str">
        <f>IFERROR(__xludf.DUMMYFUNCTION("QUERY(TY_ALL_2023_Batch!$A$1:$E$824, ""SELECT E WHERE C='""&amp;B664&amp;""'"", 0)"),"COMP")</f>
        <v>COMP</v>
      </c>
      <c r="E664" s="15" t="s">
        <v>5887</v>
      </c>
      <c r="F664" s="15" t="s">
        <v>6891</v>
      </c>
      <c r="G664" s="15" t="s">
        <v>17912</v>
      </c>
      <c r="H664" s="15" t="s">
        <v>2826</v>
      </c>
      <c r="I664" s="17">
        <v>37209.0</v>
      </c>
      <c r="J664" s="15">
        <v>2020.0</v>
      </c>
      <c r="K664" s="15" t="s">
        <v>2941</v>
      </c>
      <c r="L664" s="15" t="s">
        <v>2787</v>
      </c>
      <c r="M664" s="18"/>
      <c r="N664" s="15" t="s">
        <v>17913</v>
      </c>
      <c r="O664" s="15" t="s">
        <v>418</v>
      </c>
      <c r="P664" s="19" t="s">
        <v>17914</v>
      </c>
      <c r="Q664" s="15">
        <v>7.397863782E9</v>
      </c>
      <c r="R664" s="15">
        <v>7.397863782E9</v>
      </c>
      <c r="S664" s="18"/>
      <c r="T664" s="15" t="s">
        <v>17915</v>
      </c>
      <c r="U664" s="15" t="s">
        <v>5723</v>
      </c>
      <c r="V664" s="15" t="s">
        <v>17916</v>
      </c>
      <c r="W664" s="15" t="s">
        <v>17917</v>
      </c>
      <c r="X664" s="15">
        <v>80.8</v>
      </c>
      <c r="Y664" s="15" t="s">
        <v>2948</v>
      </c>
      <c r="Z664" s="15">
        <v>8.43</v>
      </c>
      <c r="AA664" s="15">
        <v>8.52</v>
      </c>
      <c r="AB664" s="15" t="s">
        <v>2796</v>
      </c>
      <c r="AC664" s="15" t="s">
        <v>2796</v>
      </c>
      <c r="AD664" s="15" t="s">
        <v>2796</v>
      </c>
      <c r="AE664" s="15" t="s">
        <v>2796</v>
      </c>
      <c r="AF664" s="18"/>
      <c r="AG664" s="18"/>
      <c r="AH664" s="18"/>
      <c r="AI664" s="15">
        <v>90.34</v>
      </c>
      <c r="AJ664" s="15" t="s">
        <v>2787</v>
      </c>
      <c r="AK664" s="15" t="s">
        <v>2787</v>
      </c>
      <c r="AL664" s="18"/>
      <c r="AM664" s="18"/>
      <c r="AN664" s="15" t="s">
        <v>2797</v>
      </c>
      <c r="AO664" s="18"/>
      <c r="AP664" s="18"/>
      <c r="AQ664" s="15" t="s">
        <v>17918</v>
      </c>
      <c r="AR664" s="18"/>
      <c r="AS664" s="18"/>
      <c r="AT664" s="18"/>
      <c r="AU664" s="18"/>
      <c r="AV664" s="15" t="s">
        <v>17919</v>
      </c>
      <c r="AW664" s="15" t="s">
        <v>17920</v>
      </c>
      <c r="AX664" s="18"/>
      <c r="AY664" s="15" t="s">
        <v>17921</v>
      </c>
      <c r="AZ664" s="15" t="s">
        <v>4670</v>
      </c>
      <c r="BA664" s="15" t="s">
        <v>5552</v>
      </c>
      <c r="BB664" s="15" t="s">
        <v>5729</v>
      </c>
      <c r="BC664" s="15" t="s">
        <v>5554</v>
      </c>
      <c r="BD664" s="15" t="s">
        <v>2807</v>
      </c>
      <c r="BE664" s="15" t="s">
        <v>2796</v>
      </c>
      <c r="BF664" s="18"/>
      <c r="BG664" s="18"/>
      <c r="BH664" s="18"/>
      <c r="BI664" s="18"/>
      <c r="BJ664" s="19" t="s">
        <v>17922</v>
      </c>
      <c r="BK664" s="19" t="s">
        <v>17923</v>
      </c>
      <c r="BL664" s="18"/>
      <c r="BM664" s="18"/>
      <c r="BN664" s="19" t="s">
        <v>17924</v>
      </c>
      <c r="BO664" s="19" t="s">
        <v>17925</v>
      </c>
      <c r="BP664" s="19" t="s">
        <v>17926</v>
      </c>
      <c r="BQ664" s="26"/>
      <c r="BR664" s="26"/>
      <c r="BS664" s="26"/>
      <c r="BT664" s="26"/>
      <c r="BU664" s="26"/>
      <c r="BV664" s="26"/>
      <c r="BW664" s="26"/>
      <c r="BX664" s="26"/>
      <c r="BY664" s="18" t="str">
        <f t="shared" si="108"/>
        <v>COMP</v>
      </c>
      <c r="BZ664" s="18" t="str">
        <f t="shared" si="100"/>
        <v/>
      </c>
      <c r="CA664" s="18" t="str">
        <f t="shared" si="101"/>
        <v/>
      </c>
      <c r="CB664" s="15" t="s">
        <v>2908</v>
      </c>
      <c r="CC664" s="15" t="s">
        <v>2908</v>
      </c>
      <c r="CD664" s="25" t="s">
        <v>2797</v>
      </c>
      <c r="CE664" s="18"/>
      <c r="CF664" s="18"/>
      <c r="CG664" s="18"/>
    </row>
    <row r="665" ht="18.75" hidden="1" customHeight="1">
      <c r="A665" s="14">
        <v>44712.96360538194</v>
      </c>
      <c r="B665" s="15" t="s">
        <v>1779</v>
      </c>
      <c r="C665" s="16" t="s">
        <v>17927</v>
      </c>
      <c r="D665" s="15" t="str">
        <f>IFERROR(__xludf.DUMMYFUNCTION("QUERY(TY_ALL_2023_Batch!$A$1:$E$824, ""SELECT E WHERE C='""&amp;B665&amp;""'"", 0)"),"E&amp;TC")</f>
        <v>E&amp;TC</v>
      </c>
      <c r="E665" s="15" t="s">
        <v>15362</v>
      </c>
      <c r="F665" s="15" t="s">
        <v>9609</v>
      </c>
      <c r="G665" s="15" t="s">
        <v>17928</v>
      </c>
      <c r="H665" s="15" t="s">
        <v>2785</v>
      </c>
      <c r="I665" s="17">
        <v>37093.0</v>
      </c>
      <c r="J665" s="15">
        <v>2019.0</v>
      </c>
      <c r="K665" s="15" t="s">
        <v>2786</v>
      </c>
      <c r="L665" s="15" t="s">
        <v>2787</v>
      </c>
      <c r="M665" s="18"/>
      <c r="N665" s="15" t="s">
        <v>17929</v>
      </c>
      <c r="O665" s="15" t="s">
        <v>17930</v>
      </c>
      <c r="P665" s="18"/>
      <c r="Q665" s="15">
        <v>7.666088705E9</v>
      </c>
      <c r="R665" s="15">
        <v>7.666088705E9</v>
      </c>
      <c r="S665" s="15">
        <v>8.149232732E9</v>
      </c>
      <c r="T665" s="15" t="s">
        <v>17931</v>
      </c>
      <c r="U665" s="15" t="s">
        <v>17932</v>
      </c>
      <c r="V665" s="15" t="s">
        <v>17933</v>
      </c>
      <c r="W665" s="18"/>
      <c r="X665" s="15">
        <v>90.6</v>
      </c>
      <c r="Y665" s="15" t="s">
        <v>2795</v>
      </c>
      <c r="Z665" s="15">
        <v>6.86</v>
      </c>
      <c r="AA665" s="15">
        <v>6.9</v>
      </c>
      <c r="AB665" s="15" t="s">
        <v>2796</v>
      </c>
      <c r="AC665" s="15" t="s">
        <v>2796</v>
      </c>
      <c r="AD665" s="15" t="s">
        <v>2796</v>
      </c>
      <c r="AE665" s="15" t="s">
        <v>2796</v>
      </c>
      <c r="AF665" s="15">
        <v>9.26</v>
      </c>
      <c r="AG665" s="15">
        <v>8.29</v>
      </c>
      <c r="AH665" s="15">
        <v>74.62</v>
      </c>
      <c r="AI665" s="18"/>
      <c r="AJ665" s="15" t="s">
        <v>2787</v>
      </c>
      <c r="AK665" s="15" t="s">
        <v>2787</v>
      </c>
      <c r="AL665" s="18"/>
      <c r="AM665" s="18"/>
      <c r="AN665" s="15" t="s">
        <v>2787</v>
      </c>
      <c r="AO665" s="18"/>
      <c r="AP665" s="15" t="s">
        <v>17934</v>
      </c>
      <c r="AQ665" s="15" t="s">
        <v>5356</v>
      </c>
      <c r="AR665" s="18"/>
      <c r="AS665" s="18"/>
      <c r="AT665" s="18"/>
      <c r="AU665" s="18"/>
      <c r="AV665" s="18"/>
      <c r="AW665" s="15" t="s">
        <v>2796</v>
      </c>
      <c r="AX665" s="18"/>
      <c r="AY665" s="15" t="s">
        <v>2796</v>
      </c>
      <c r="AZ665" s="15" t="s">
        <v>5335</v>
      </c>
      <c r="BA665" s="15" t="s">
        <v>5552</v>
      </c>
      <c r="BB665" s="15" t="s">
        <v>11926</v>
      </c>
      <c r="BC665" s="15" t="s">
        <v>17935</v>
      </c>
      <c r="BD665" s="15" t="s">
        <v>3393</v>
      </c>
      <c r="BE665" s="15" t="s">
        <v>17936</v>
      </c>
      <c r="BF665" s="15" t="s">
        <v>17937</v>
      </c>
      <c r="BG665" s="18"/>
      <c r="BH665" s="18"/>
      <c r="BI665" s="18"/>
      <c r="BJ665" s="19" t="s">
        <v>17938</v>
      </c>
      <c r="BK665" s="19" t="s">
        <v>17939</v>
      </c>
      <c r="BL665" s="18"/>
      <c r="BM665" s="18"/>
      <c r="BN665" s="19" t="s">
        <v>17940</v>
      </c>
      <c r="BO665" s="19" t="s">
        <v>17941</v>
      </c>
      <c r="BP665" s="19" t="s">
        <v>17942</v>
      </c>
      <c r="BQ665" s="26"/>
      <c r="BR665" s="26"/>
      <c r="BS665" s="26"/>
      <c r="BT665" s="26"/>
      <c r="BU665" s="26"/>
      <c r="BV665" s="26"/>
      <c r="BW665" s="26"/>
      <c r="BX665" s="26"/>
      <c r="BY665" s="18" t="str">
        <f t="shared" si="108"/>
        <v>E&amp;TC</v>
      </c>
      <c r="BZ665" s="18" t="str">
        <f t="shared" si="100"/>
        <v/>
      </c>
      <c r="CA665" s="18" t="str">
        <f t="shared" si="101"/>
        <v/>
      </c>
      <c r="CB665" s="15" t="s">
        <v>2908</v>
      </c>
      <c r="CC665" s="15" t="s">
        <v>2908</v>
      </c>
      <c r="CD665" s="25" t="s">
        <v>2909</v>
      </c>
      <c r="CE665" s="18"/>
      <c r="CF665" s="18"/>
      <c r="CG665" s="18"/>
    </row>
    <row r="666" ht="18.75" hidden="1" customHeight="1">
      <c r="A666" s="14">
        <v>44719.8383727662</v>
      </c>
      <c r="B666" s="15" t="s">
        <v>1872</v>
      </c>
      <c r="C666" s="16" t="s">
        <v>17943</v>
      </c>
      <c r="D666" s="15" t="str">
        <f>IFERROR(__xludf.DUMMYFUNCTION("QUERY(TY_ALL_2023_Batch!$A$1:$E$824, ""SELECT E WHERE C='""&amp;B666&amp;""'"", 0)"),"E&amp;TC")</f>
        <v>E&amp;TC</v>
      </c>
      <c r="E666" s="15" t="s">
        <v>6228</v>
      </c>
      <c r="F666" s="18"/>
      <c r="G666" s="15" t="s">
        <v>5661</v>
      </c>
      <c r="H666" s="15" t="s">
        <v>2785</v>
      </c>
      <c r="I666" s="17">
        <v>36943.0</v>
      </c>
      <c r="J666" s="15">
        <v>2019.0</v>
      </c>
      <c r="K666" s="15" t="s">
        <v>2786</v>
      </c>
      <c r="L666" s="15" t="s">
        <v>2787</v>
      </c>
      <c r="M666" s="18"/>
      <c r="N666" s="15" t="s">
        <v>17944</v>
      </c>
      <c r="O666" s="15" t="s">
        <v>1872</v>
      </c>
      <c r="P666" s="19" t="s">
        <v>17945</v>
      </c>
      <c r="Q666" s="15">
        <v>9.766414829E9</v>
      </c>
      <c r="R666" s="15">
        <v>9.766414829E9</v>
      </c>
      <c r="S666" s="15">
        <v>8.698042021E9</v>
      </c>
      <c r="T666" s="15" t="s">
        <v>17946</v>
      </c>
      <c r="U666" s="15" t="s">
        <v>17947</v>
      </c>
      <c r="V666" s="15" t="s">
        <v>17948</v>
      </c>
      <c r="W666" s="18"/>
      <c r="X666" s="15">
        <v>85.5</v>
      </c>
      <c r="Y666" s="15" t="s">
        <v>2795</v>
      </c>
      <c r="Z666" s="15">
        <v>9.3</v>
      </c>
      <c r="AA666" s="15">
        <v>9.1</v>
      </c>
      <c r="AB666" s="15" t="s">
        <v>2796</v>
      </c>
      <c r="AC666" s="15" t="s">
        <v>2796</v>
      </c>
      <c r="AD666" s="15" t="s">
        <v>2796</v>
      </c>
      <c r="AE666" s="15" t="s">
        <v>2796</v>
      </c>
      <c r="AF666" s="15">
        <v>8.95</v>
      </c>
      <c r="AG666" s="15">
        <v>9.29</v>
      </c>
      <c r="AH666" s="15">
        <v>84.2</v>
      </c>
      <c r="AI666" s="18"/>
      <c r="AJ666" s="15" t="s">
        <v>2787</v>
      </c>
      <c r="AK666" s="15" t="s">
        <v>2787</v>
      </c>
      <c r="AL666" s="15">
        <v>670.0</v>
      </c>
      <c r="AM666" s="15">
        <v>595.0</v>
      </c>
      <c r="AN666" s="15" t="s">
        <v>2797</v>
      </c>
      <c r="AO666" s="18"/>
      <c r="AP666" s="18"/>
      <c r="AQ666" s="15" t="s">
        <v>5356</v>
      </c>
      <c r="AR666" s="15" t="s">
        <v>17949</v>
      </c>
      <c r="AS666" s="15" t="s">
        <v>5464</v>
      </c>
      <c r="AT666" s="18"/>
      <c r="AU666" s="15" t="s">
        <v>17950</v>
      </c>
      <c r="AV666" s="15" t="s">
        <v>17951</v>
      </c>
      <c r="AW666" s="15" t="s">
        <v>17952</v>
      </c>
      <c r="AX666" s="18"/>
      <c r="AY666" s="15" t="s">
        <v>17953</v>
      </c>
      <c r="AZ666" s="15" t="s">
        <v>5287</v>
      </c>
      <c r="BA666" s="15" t="s">
        <v>2839</v>
      </c>
      <c r="BB666" s="15" t="s">
        <v>2807</v>
      </c>
      <c r="BC666" s="15" t="s">
        <v>17954</v>
      </c>
      <c r="BD666" s="15" t="s">
        <v>2807</v>
      </c>
      <c r="BE666" s="15" t="s">
        <v>17955</v>
      </c>
      <c r="BF666" s="15" t="s">
        <v>17956</v>
      </c>
      <c r="BG666" s="18"/>
      <c r="BH666" s="15" t="s">
        <v>5464</v>
      </c>
      <c r="BI666" s="15" t="s">
        <v>17957</v>
      </c>
      <c r="BJ666" s="19" t="s">
        <v>17958</v>
      </c>
      <c r="BK666" s="19" t="s">
        <v>17959</v>
      </c>
      <c r="BL666" s="19" t="s">
        <v>17960</v>
      </c>
      <c r="BM666" s="19" t="s">
        <v>17961</v>
      </c>
      <c r="BN666" s="19" t="s">
        <v>17962</v>
      </c>
      <c r="BO666" s="19" t="s">
        <v>17963</v>
      </c>
      <c r="BP666" s="19" t="s">
        <v>17964</v>
      </c>
      <c r="BQ666" s="26"/>
      <c r="BR666" s="26"/>
      <c r="BS666" s="26"/>
      <c r="BT666" s="26"/>
      <c r="BU666" s="26"/>
      <c r="BV666" s="26"/>
      <c r="BW666" s="26"/>
      <c r="BX666" s="26"/>
      <c r="BY666" s="18" t="str">
        <f t="shared" si="108"/>
        <v>E&amp;TC</v>
      </c>
      <c r="BZ666" s="24" t="str">
        <f t="shared" si="100"/>
        <v>https://drive.google.com/open?id=1qk3HnTZlfOxVgM6LkNHekNycfn4xDYSd</v>
      </c>
      <c r="CA666" s="24" t="str">
        <f t="shared" si="101"/>
        <v>https://drive.google.com/open?id=16iBH6L1zNk4OlyZ_PZop29r9--vDDDcX</v>
      </c>
      <c r="CB666" s="15" t="s">
        <v>2821</v>
      </c>
      <c r="CC666" s="15" t="s">
        <v>2821</v>
      </c>
      <c r="CD666" s="25" t="s">
        <v>2797</v>
      </c>
      <c r="CE666" s="18"/>
      <c r="CF666" s="18"/>
      <c r="CG666" s="18"/>
    </row>
    <row r="667" ht="18.75" hidden="1" customHeight="1">
      <c r="A667" s="14">
        <v>44713.98187392361</v>
      </c>
      <c r="B667" s="15" t="s">
        <v>1671</v>
      </c>
      <c r="C667" s="16" t="s">
        <v>17965</v>
      </c>
      <c r="D667" s="15" t="str">
        <f>IFERROR(__xludf.DUMMYFUNCTION("QUERY(TY_ALL_2023_Batch!$A$1:$E$824, ""SELECT E WHERE C='""&amp;B667&amp;""'"", 0)"),"E&amp;TC")</f>
        <v>E&amp;TC</v>
      </c>
      <c r="E667" s="15" t="s">
        <v>17966</v>
      </c>
      <c r="F667" s="15" t="s">
        <v>17967</v>
      </c>
      <c r="G667" s="15" t="s">
        <v>9658</v>
      </c>
      <c r="H667" s="15" t="s">
        <v>2826</v>
      </c>
      <c r="I667" s="17">
        <v>36947.0</v>
      </c>
      <c r="J667" s="15">
        <v>2019.0</v>
      </c>
      <c r="K667" s="15" t="s">
        <v>2786</v>
      </c>
      <c r="L667" s="15" t="s">
        <v>2787</v>
      </c>
      <c r="M667" s="18"/>
      <c r="N667" s="15" t="s">
        <v>17968</v>
      </c>
      <c r="O667" s="15" t="s">
        <v>1671</v>
      </c>
      <c r="P667" s="18"/>
      <c r="Q667" s="15">
        <v>8.08003446E9</v>
      </c>
      <c r="R667" s="15">
        <v>8.08003446E9</v>
      </c>
      <c r="S667" s="15">
        <v>8.421811459E9</v>
      </c>
      <c r="T667" s="15" t="s">
        <v>17969</v>
      </c>
      <c r="U667" s="15" t="s">
        <v>17970</v>
      </c>
      <c r="V667" s="15" t="s">
        <v>17971</v>
      </c>
      <c r="W667" s="18"/>
      <c r="X667" s="15">
        <v>86.6</v>
      </c>
      <c r="Y667" s="15" t="s">
        <v>2795</v>
      </c>
      <c r="Z667" s="15">
        <v>8.33</v>
      </c>
      <c r="AA667" s="15">
        <v>9.05</v>
      </c>
      <c r="AB667" s="15" t="s">
        <v>2796</v>
      </c>
      <c r="AC667" s="15" t="s">
        <v>2796</v>
      </c>
      <c r="AD667" s="15" t="s">
        <v>2796</v>
      </c>
      <c r="AE667" s="15" t="s">
        <v>2796</v>
      </c>
      <c r="AF667" s="15">
        <v>7.84</v>
      </c>
      <c r="AG667" s="15">
        <v>8.29</v>
      </c>
      <c r="AH667" s="15">
        <v>77.54</v>
      </c>
      <c r="AI667" s="18"/>
      <c r="AJ667" s="15" t="s">
        <v>2787</v>
      </c>
      <c r="AK667" s="15" t="s">
        <v>2787</v>
      </c>
      <c r="AL667" s="18"/>
      <c r="AM667" s="18"/>
      <c r="AN667" s="15" t="s">
        <v>2787</v>
      </c>
      <c r="AO667" s="18"/>
      <c r="AP667" s="18"/>
      <c r="AQ667" s="15" t="s">
        <v>8997</v>
      </c>
      <c r="AR667" s="15" t="s">
        <v>17972</v>
      </c>
      <c r="AS667" s="18"/>
      <c r="AT667" s="15" t="s">
        <v>17973</v>
      </c>
      <c r="AU667" s="18"/>
      <c r="AV667" s="15" t="s">
        <v>17974</v>
      </c>
      <c r="AW667" s="15" t="s">
        <v>2796</v>
      </c>
      <c r="AX667" s="18"/>
      <c r="AY667" s="15" t="s">
        <v>17975</v>
      </c>
      <c r="AZ667" s="15" t="s">
        <v>5335</v>
      </c>
      <c r="BA667" s="15" t="s">
        <v>6926</v>
      </c>
      <c r="BB667" s="15" t="s">
        <v>3109</v>
      </c>
      <c r="BC667" s="15" t="s">
        <v>4746</v>
      </c>
      <c r="BD667" s="15" t="s">
        <v>2807</v>
      </c>
      <c r="BE667" s="15" t="s">
        <v>17976</v>
      </c>
      <c r="BF667" s="18"/>
      <c r="BG667" s="15" t="s">
        <v>17977</v>
      </c>
      <c r="BH667" s="15" t="s">
        <v>17978</v>
      </c>
      <c r="BI667" s="15" t="s">
        <v>17979</v>
      </c>
      <c r="BJ667" s="19" t="s">
        <v>17980</v>
      </c>
      <c r="BK667" s="19" t="s">
        <v>17981</v>
      </c>
      <c r="BL667" s="19" t="s">
        <v>17982</v>
      </c>
      <c r="BM667" s="18"/>
      <c r="BN667" s="19" t="s">
        <v>17983</v>
      </c>
      <c r="BO667" s="19" t="s">
        <v>17984</v>
      </c>
      <c r="BP667" s="19" t="s">
        <v>17985</v>
      </c>
      <c r="BQ667" s="26"/>
      <c r="BR667" s="26"/>
      <c r="BS667" s="26"/>
      <c r="BT667" s="26"/>
      <c r="BU667" s="26"/>
      <c r="BV667" s="26"/>
      <c r="BW667" s="26"/>
      <c r="BX667" s="26"/>
      <c r="BY667" s="18" t="str">
        <f t="shared" si="108"/>
        <v>E&amp;TC</v>
      </c>
      <c r="BZ667" s="24" t="str">
        <f t="shared" si="100"/>
        <v>https://drive.google.com/open?id=1rvSkdELDO7ENkeWAtAtnVd-yp4O5wMSH</v>
      </c>
      <c r="CA667" s="18" t="str">
        <f t="shared" si="101"/>
        <v/>
      </c>
      <c r="CB667" s="15" t="s">
        <v>2821</v>
      </c>
      <c r="CC667" s="15" t="s">
        <v>2908</v>
      </c>
      <c r="CD667" s="25" t="s">
        <v>2797</v>
      </c>
      <c r="CE667" s="18"/>
      <c r="CF667" s="18"/>
      <c r="CG667" s="18"/>
    </row>
    <row r="668" ht="18.75" hidden="1" customHeight="1">
      <c r="A668" s="14">
        <v>44714.06591980324</v>
      </c>
      <c r="B668" s="15" t="s">
        <v>1974</v>
      </c>
      <c r="C668" s="16" t="s">
        <v>17986</v>
      </c>
      <c r="D668" s="15" t="str">
        <f>IFERROR(__xludf.DUMMYFUNCTION("QUERY(TY_ALL_2023_Batch!$A$1:$E$824, ""SELECT E WHERE C='""&amp;B668&amp;""'"", 0)"),"E&amp;TC")</f>
        <v>E&amp;TC</v>
      </c>
      <c r="E668" s="15" t="s">
        <v>17987</v>
      </c>
      <c r="F668" s="18"/>
      <c r="G668" s="15" t="s">
        <v>17988</v>
      </c>
      <c r="H668" s="15" t="s">
        <v>2826</v>
      </c>
      <c r="I668" s="17">
        <v>36799.0</v>
      </c>
      <c r="J668" s="15">
        <v>2019.0</v>
      </c>
      <c r="K668" s="15" t="s">
        <v>2786</v>
      </c>
      <c r="L668" s="15" t="s">
        <v>2787</v>
      </c>
      <c r="M668" s="18"/>
      <c r="N668" s="15" t="s">
        <v>17989</v>
      </c>
      <c r="O668" s="15" t="s">
        <v>1974</v>
      </c>
      <c r="P668" s="18"/>
      <c r="Q668" s="15">
        <v>8.349038008E9</v>
      </c>
      <c r="R668" s="15">
        <v>8.349038008E9</v>
      </c>
      <c r="S668" s="18"/>
      <c r="T668" s="15" t="s">
        <v>17990</v>
      </c>
      <c r="U668" s="15" t="s">
        <v>17991</v>
      </c>
      <c r="V668" s="15" t="s">
        <v>17992</v>
      </c>
      <c r="W668" s="15" t="s">
        <v>17993</v>
      </c>
      <c r="X668" s="15">
        <v>87.4</v>
      </c>
      <c r="Y668" s="15" t="s">
        <v>2795</v>
      </c>
      <c r="Z668" s="15">
        <v>8.52</v>
      </c>
      <c r="AA668" s="15">
        <v>9.25</v>
      </c>
      <c r="AB668" s="15" t="s">
        <v>2796</v>
      </c>
      <c r="AC668" s="15" t="s">
        <v>2796</v>
      </c>
      <c r="AD668" s="15" t="s">
        <v>2796</v>
      </c>
      <c r="AE668" s="15" t="s">
        <v>2796</v>
      </c>
      <c r="AF668" s="15">
        <v>8.68</v>
      </c>
      <c r="AG668" s="15">
        <v>7.86</v>
      </c>
      <c r="AH668" s="15">
        <v>81.4</v>
      </c>
      <c r="AI668" s="18"/>
      <c r="AJ668" s="15" t="s">
        <v>2787</v>
      </c>
      <c r="AK668" s="15" t="s">
        <v>2787</v>
      </c>
      <c r="AL668" s="18"/>
      <c r="AM668" s="18"/>
      <c r="AN668" s="15" t="s">
        <v>2797</v>
      </c>
      <c r="AO668" s="18"/>
      <c r="AP668" s="18"/>
      <c r="AQ668" s="15" t="s">
        <v>17994</v>
      </c>
      <c r="AR668" s="18"/>
      <c r="AS668" s="15" t="s">
        <v>17995</v>
      </c>
      <c r="AT668" s="18"/>
      <c r="AU668" s="18"/>
      <c r="AV668" s="18"/>
      <c r="AW668" s="15" t="s">
        <v>17996</v>
      </c>
      <c r="AX668" s="18"/>
      <c r="AY668" s="15" t="s">
        <v>17997</v>
      </c>
      <c r="AZ668" s="15" t="s">
        <v>5335</v>
      </c>
      <c r="BA668" s="15" t="s">
        <v>8546</v>
      </c>
      <c r="BB668" s="15" t="s">
        <v>3462</v>
      </c>
      <c r="BC668" s="15" t="s">
        <v>4217</v>
      </c>
      <c r="BD668" s="15" t="s">
        <v>2807</v>
      </c>
      <c r="BE668" s="15" t="s">
        <v>17998</v>
      </c>
      <c r="BF668" s="18"/>
      <c r="BG668" s="18"/>
      <c r="BH668" s="15" t="s">
        <v>17999</v>
      </c>
      <c r="BI668" s="15" t="s">
        <v>18000</v>
      </c>
      <c r="BJ668" s="19" t="s">
        <v>18001</v>
      </c>
      <c r="BK668" s="19" t="s">
        <v>18002</v>
      </c>
      <c r="BL668" s="18"/>
      <c r="BM668" s="18"/>
      <c r="BN668" s="19" t="s">
        <v>18003</v>
      </c>
      <c r="BO668" s="19" t="s">
        <v>18004</v>
      </c>
      <c r="BP668" s="18"/>
      <c r="BQ668" s="18"/>
      <c r="BR668" s="18"/>
      <c r="BS668" s="18"/>
      <c r="BT668" s="18"/>
      <c r="BU668" s="18"/>
      <c r="BV668" s="18"/>
      <c r="BW668" s="18"/>
      <c r="BX668" s="18"/>
      <c r="BY668" s="18" t="str">
        <f t="shared" si="108"/>
        <v>E&amp;TC</v>
      </c>
      <c r="BZ668" s="18" t="str">
        <f t="shared" si="100"/>
        <v/>
      </c>
      <c r="CA668" s="18" t="str">
        <f t="shared" si="101"/>
        <v/>
      </c>
      <c r="CB668" s="15" t="s">
        <v>2908</v>
      </c>
      <c r="CC668" s="15" t="s">
        <v>2908</v>
      </c>
      <c r="CD668" s="25" t="s">
        <v>2797</v>
      </c>
      <c r="CE668" s="18"/>
      <c r="CF668" s="18"/>
      <c r="CG668" s="18"/>
    </row>
    <row r="669" ht="18.75" hidden="1" customHeight="1">
      <c r="A669" s="14">
        <v>44714.474429016205</v>
      </c>
      <c r="B669" s="15" t="s">
        <v>1752</v>
      </c>
      <c r="C669" s="16" t="s">
        <v>18005</v>
      </c>
      <c r="D669" s="15" t="str">
        <f>IFERROR(__xludf.DUMMYFUNCTION("QUERY(TY_ALL_2023_Batch!$A$1:$E$824, ""SELECT E WHERE C='""&amp;B669&amp;""'"", 0)"),"E&amp;TC")</f>
        <v>E&amp;TC</v>
      </c>
      <c r="E669" s="15" t="s">
        <v>4299</v>
      </c>
      <c r="F669" s="15" t="s">
        <v>4470</v>
      </c>
      <c r="G669" s="15" t="s">
        <v>18006</v>
      </c>
      <c r="H669" s="15" t="s">
        <v>2785</v>
      </c>
      <c r="I669" s="17">
        <v>37134.0</v>
      </c>
      <c r="J669" s="15">
        <v>2019.0</v>
      </c>
      <c r="K669" s="15" t="s">
        <v>2786</v>
      </c>
      <c r="L669" s="15" t="s">
        <v>2787</v>
      </c>
      <c r="M669" s="18"/>
      <c r="N669" s="15" t="s">
        <v>18007</v>
      </c>
      <c r="O669" s="15" t="s">
        <v>18008</v>
      </c>
      <c r="P669" s="18"/>
      <c r="Q669" s="15">
        <v>7.350423485E9</v>
      </c>
      <c r="R669" s="15">
        <v>7.350423485E9</v>
      </c>
      <c r="S669" s="15">
        <v>9.503508503E9</v>
      </c>
      <c r="T669" s="15" t="s">
        <v>18009</v>
      </c>
      <c r="U669" s="15" t="s">
        <v>18010</v>
      </c>
      <c r="V669" s="15" t="s">
        <v>18011</v>
      </c>
      <c r="W669" s="15" t="s">
        <v>18012</v>
      </c>
      <c r="X669" s="15">
        <v>92.2</v>
      </c>
      <c r="Y669" s="15" t="s">
        <v>2795</v>
      </c>
      <c r="Z669" s="15">
        <v>8.76</v>
      </c>
      <c r="AA669" s="15">
        <v>9.05</v>
      </c>
      <c r="AB669" s="15" t="s">
        <v>2796</v>
      </c>
      <c r="AC669" s="15" t="s">
        <v>2796</v>
      </c>
      <c r="AD669" s="15" t="s">
        <v>2796</v>
      </c>
      <c r="AE669" s="15" t="s">
        <v>2796</v>
      </c>
      <c r="AF669" s="15">
        <v>9.05</v>
      </c>
      <c r="AG669" s="15">
        <v>8.62</v>
      </c>
      <c r="AH669" s="15">
        <v>75.0</v>
      </c>
      <c r="AI669" s="18"/>
      <c r="AJ669" s="15" t="s">
        <v>2787</v>
      </c>
      <c r="AK669" s="15" t="s">
        <v>2787</v>
      </c>
      <c r="AL669" s="15">
        <v>57.66</v>
      </c>
      <c r="AM669" s="15">
        <v>76.6</v>
      </c>
      <c r="AN669" s="15" t="s">
        <v>2797</v>
      </c>
      <c r="AO669" s="18"/>
      <c r="AP669" s="18"/>
      <c r="AQ669" s="15" t="s">
        <v>18013</v>
      </c>
      <c r="AR669" s="15" t="s">
        <v>18014</v>
      </c>
      <c r="AS669" s="15" t="s">
        <v>18015</v>
      </c>
      <c r="AT669" s="18"/>
      <c r="AU669" s="15" t="s">
        <v>18016</v>
      </c>
      <c r="AV669" s="15" t="s">
        <v>18017</v>
      </c>
      <c r="AW669" s="15" t="s">
        <v>18018</v>
      </c>
      <c r="AX669" s="18"/>
      <c r="AY669" s="15" t="s">
        <v>18019</v>
      </c>
      <c r="AZ669" s="15" t="s">
        <v>8440</v>
      </c>
      <c r="BA669" s="15" t="s">
        <v>5392</v>
      </c>
      <c r="BB669" s="15" t="s">
        <v>18020</v>
      </c>
      <c r="BC669" s="15" t="s">
        <v>4746</v>
      </c>
      <c r="BD669" s="15" t="s">
        <v>2807</v>
      </c>
      <c r="BE669" s="15" t="s">
        <v>18021</v>
      </c>
      <c r="BF669" s="18"/>
      <c r="BG669" s="18"/>
      <c r="BH669" s="18"/>
      <c r="BI669" s="18"/>
      <c r="BJ669" s="19" t="s">
        <v>18022</v>
      </c>
      <c r="BK669" s="19" t="s">
        <v>18023</v>
      </c>
      <c r="BL669" s="19" t="s">
        <v>18024</v>
      </c>
      <c r="BM669" s="19" t="s">
        <v>18025</v>
      </c>
      <c r="BN669" s="19" t="s">
        <v>18026</v>
      </c>
      <c r="BO669" s="19" t="s">
        <v>18027</v>
      </c>
      <c r="BP669" s="19" t="s">
        <v>18028</v>
      </c>
      <c r="BQ669" s="26"/>
      <c r="BR669" s="26"/>
      <c r="BS669" s="26"/>
      <c r="BT669" s="26"/>
      <c r="BU669" s="26"/>
      <c r="BV669" s="26"/>
      <c r="BW669" s="26"/>
      <c r="BX669" s="26"/>
      <c r="BY669" s="18" t="str">
        <f t="shared" si="108"/>
        <v>E&amp;TC</v>
      </c>
      <c r="BZ669" s="24" t="str">
        <f t="shared" si="100"/>
        <v>https://drive.google.com/open?id=1wib9-WOxhvBgR71rAmySIDyQ0SxFcwDI</v>
      </c>
      <c r="CA669" s="24" t="str">
        <f t="shared" si="101"/>
        <v>https://drive.google.com/open?id=1jb8I-jMiADlFQlH3yF0M2n-3kCRTXwuy</v>
      </c>
      <c r="CB669" s="15" t="s">
        <v>2821</v>
      </c>
      <c r="CC669" s="15" t="s">
        <v>2821</v>
      </c>
      <c r="CD669" s="25" t="s">
        <v>2797</v>
      </c>
      <c r="CE669" s="18"/>
      <c r="CF669" s="18"/>
      <c r="CG669" s="18"/>
    </row>
    <row r="670" ht="18.75" hidden="1" customHeight="1">
      <c r="A670" s="14">
        <v>44718.96235579861</v>
      </c>
      <c r="B670" s="15" t="s">
        <v>1614</v>
      </c>
      <c r="C670" s="16" t="s">
        <v>18029</v>
      </c>
      <c r="D670" s="15" t="str">
        <f>IFERROR(__xludf.DUMMYFUNCTION("QUERY(TY_ALL_2023_Batch!$A$1:$E$824, ""SELECT E WHERE C='""&amp;B670&amp;""'"", 0)"),"E&amp;TC")</f>
        <v>E&amp;TC</v>
      </c>
      <c r="E670" s="15" t="s">
        <v>6766</v>
      </c>
      <c r="F670" s="15" t="s">
        <v>6015</v>
      </c>
      <c r="G670" s="15" t="s">
        <v>18030</v>
      </c>
      <c r="H670" s="15" t="s">
        <v>2785</v>
      </c>
      <c r="I670" s="17">
        <v>37207.0</v>
      </c>
      <c r="J670" s="15">
        <v>2019.0</v>
      </c>
      <c r="K670" s="15" t="s">
        <v>2786</v>
      </c>
      <c r="L670" s="15" t="s">
        <v>2787</v>
      </c>
      <c r="M670" s="18"/>
      <c r="N670" s="15" t="s">
        <v>18031</v>
      </c>
      <c r="O670" s="15" t="s">
        <v>1614</v>
      </c>
      <c r="P670" s="19" t="s">
        <v>18032</v>
      </c>
      <c r="Q670" s="15">
        <v>9.049181342E9</v>
      </c>
      <c r="R670" s="15">
        <v>9.049181342E9</v>
      </c>
      <c r="S670" s="15">
        <v>7.038876941E9</v>
      </c>
      <c r="T670" s="15" t="s">
        <v>18033</v>
      </c>
      <c r="U670" s="15" t="s">
        <v>18034</v>
      </c>
      <c r="V670" s="15" t="s">
        <v>18035</v>
      </c>
      <c r="W670" s="18"/>
      <c r="X670" s="15">
        <v>85.6</v>
      </c>
      <c r="Y670" s="15" t="s">
        <v>2795</v>
      </c>
      <c r="Z670" s="15">
        <v>7.52</v>
      </c>
      <c r="AA670" s="15">
        <v>8.85</v>
      </c>
      <c r="AB670" s="15" t="s">
        <v>2796</v>
      </c>
      <c r="AC670" s="15" t="s">
        <v>2796</v>
      </c>
      <c r="AD670" s="15" t="s">
        <v>2796</v>
      </c>
      <c r="AE670" s="15" t="s">
        <v>2796</v>
      </c>
      <c r="AF670" s="15">
        <v>8.0</v>
      </c>
      <c r="AG670" s="15">
        <v>8.38</v>
      </c>
      <c r="AH670" s="15">
        <v>77.69</v>
      </c>
      <c r="AI670" s="18"/>
      <c r="AJ670" s="15" t="s">
        <v>2787</v>
      </c>
      <c r="AK670" s="15" t="s">
        <v>2787</v>
      </c>
      <c r="AL670" s="15" t="s">
        <v>18036</v>
      </c>
      <c r="AM670" s="15" t="s">
        <v>18037</v>
      </c>
      <c r="AN670" s="15" t="s">
        <v>2787</v>
      </c>
      <c r="AO670" s="15" t="s">
        <v>2796</v>
      </c>
      <c r="AP670" s="15" t="s">
        <v>11741</v>
      </c>
      <c r="AQ670" s="15" t="s">
        <v>18038</v>
      </c>
      <c r="AR670" s="15" t="s">
        <v>18039</v>
      </c>
      <c r="AS670" s="15" t="s">
        <v>18040</v>
      </c>
      <c r="AT670" s="18"/>
      <c r="AU670" s="18"/>
      <c r="AV670" s="15" t="s">
        <v>18041</v>
      </c>
      <c r="AW670" s="15" t="s">
        <v>18042</v>
      </c>
      <c r="AX670" s="18"/>
      <c r="AY670" s="15" t="s">
        <v>18043</v>
      </c>
      <c r="AZ670" s="15" t="s">
        <v>4670</v>
      </c>
      <c r="BA670" s="15" t="s">
        <v>5552</v>
      </c>
      <c r="BB670" s="15" t="s">
        <v>18044</v>
      </c>
      <c r="BC670" s="15" t="s">
        <v>18045</v>
      </c>
      <c r="BD670" s="15" t="s">
        <v>2842</v>
      </c>
      <c r="BE670" s="15" t="s">
        <v>2796</v>
      </c>
      <c r="BF670" s="18"/>
      <c r="BG670" s="15" t="s">
        <v>18046</v>
      </c>
      <c r="BH670" s="18"/>
      <c r="BI670" s="15" t="s">
        <v>18047</v>
      </c>
      <c r="BJ670" s="19" t="s">
        <v>18048</v>
      </c>
      <c r="BK670" s="19" t="s">
        <v>18049</v>
      </c>
      <c r="BL670" s="19" t="s">
        <v>18050</v>
      </c>
      <c r="BM670" s="19" t="s">
        <v>18051</v>
      </c>
      <c r="BN670" s="19" t="s">
        <v>18052</v>
      </c>
      <c r="BO670" s="19" t="s">
        <v>18053</v>
      </c>
      <c r="BP670" s="19" t="s">
        <v>18054</v>
      </c>
      <c r="BQ670" s="26"/>
      <c r="BR670" s="26"/>
      <c r="BS670" s="26"/>
      <c r="BT670" s="26"/>
      <c r="BU670" s="26"/>
      <c r="BV670" s="26"/>
      <c r="BW670" s="26"/>
      <c r="BX670" s="26"/>
      <c r="BY670" s="18" t="str">
        <f t="shared" si="108"/>
        <v>E&amp;TC</v>
      </c>
      <c r="BZ670" s="24" t="str">
        <f t="shared" si="100"/>
        <v>https://drive.google.com/open?id=1rRZLR_wLbxiQPvhPXQZ7REipT0Q_TyzA</v>
      </c>
      <c r="CA670" s="24" t="str">
        <f t="shared" si="101"/>
        <v>https://drive.google.com/open?id=1OmrnNZ0Nn0y-b2c65W4rEdiw2XSHeIfO</v>
      </c>
      <c r="CB670" s="15" t="s">
        <v>2821</v>
      </c>
      <c r="CC670" s="15" t="s">
        <v>2821</v>
      </c>
      <c r="CD670" s="25" t="s">
        <v>2797</v>
      </c>
      <c r="CE670" s="18"/>
      <c r="CF670" s="18"/>
      <c r="CG670" s="18"/>
    </row>
    <row r="671" ht="18.75" hidden="1" customHeight="1">
      <c r="A671" s="14">
        <v>44719.707097997685</v>
      </c>
      <c r="B671" s="15" t="s">
        <v>1830</v>
      </c>
      <c r="C671" s="16" t="s">
        <v>18055</v>
      </c>
      <c r="D671" s="15" t="str">
        <f>IFERROR(__xludf.DUMMYFUNCTION("QUERY(TY_ALL_2023_Batch!$A$1:$E$824, ""SELECT E WHERE C='""&amp;B671&amp;""'"", 0)"),"E&amp;TC")</f>
        <v>E&amp;TC</v>
      </c>
      <c r="E671" s="15" t="s">
        <v>18056</v>
      </c>
      <c r="F671" s="18"/>
      <c r="G671" s="15" t="s">
        <v>5816</v>
      </c>
      <c r="H671" s="15" t="s">
        <v>2785</v>
      </c>
      <c r="I671" s="17">
        <v>37015.0</v>
      </c>
      <c r="J671" s="15">
        <v>2019.0</v>
      </c>
      <c r="K671" s="15" t="s">
        <v>2786</v>
      </c>
      <c r="L671" s="15" t="s">
        <v>2787</v>
      </c>
      <c r="M671" s="18"/>
      <c r="N671" s="15" t="s">
        <v>18057</v>
      </c>
      <c r="O671" s="15" t="s">
        <v>1830</v>
      </c>
      <c r="P671" s="19" t="s">
        <v>18058</v>
      </c>
      <c r="Q671" s="15">
        <v>7.808330003E9</v>
      </c>
      <c r="R671" s="15">
        <v>7.808330003E9</v>
      </c>
      <c r="S671" s="15">
        <v>8.102576151E9</v>
      </c>
      <c r="T671" s="15" t="s">
        <v>18059</v>
      </c>
      <c r="U671" s="15" t="s">
        <v>18060</v>
      </c>
      <c r="V671" s="15" t="s">
        <v>18061</v>
      </c>
      <c r="W671" s="15" t="s">
        <v>18062</v>
      </c>
      <c r="X671" s="15">
        <v>74.0</v>
      </c>
      <c r="Y671" s="15" t="s">
        <v>2795</v>
      </c>
      <c r="Z671" s="15">
        <v>7.14</v>
      </c>
      <c r="AA671" s="15">
        <v>7.55</v>
      </c>
      <c r="AB671" s="15" t="s">
        <v>2796</v>
      </c>
      <c r="AC671" s="15" t="s">
        <v>2796</v>
      </c>
      <c r="AD671" s="15" t="s">
        <v>2796</v>
      </c>
      <c r="AE671" s="15" t="s">
        <v>2796</v>
      </c>
      <c r="AF671" s="15">
        <v>5.84</v>
      </c>
      <c r="AG671" s="15">
        <v>6.76</v>
      </c>
      <c r="AH671" s="15">
        <v>72.0</v>
      </c>
      <c r="AI671" s="18"/>
      <c r="AJ671" s="15" t="s">
        <v>2787</v>
      </c>
      <c r="AK671" s="15" t="s">
        <v>2787</v>
      </c>
      <c r="AL671" s="18"/>
      <c r="AM671" s="18"/>
      <c r="AN671" s="15" t="s">
        <v>2797</v>
      </c>
      <c r="AO671" s="18"/>
      <c r="AP671" s="18"/>
      <c r="AQ671" s="15" t="s">
        <v>18063</v>
      </c>
      <c r="AR671" s="18"/>
      <c r="AS671" s="18"/>
      <c r="AT671" s="18"/>
      <c r="AU671" s="18"/>
      <c r="AV671" s="18"/>
      <c r="AW671" s="15" t="s">
        <v>8439</v>
      </c>
      <c r="AX671" s="18"/>
      <c r="AY671" s="15" t="s">
        <v>18064</v>
      </c>
      <c r="AZ671" s="15" t="s">
        <v>5625</v>
      </c>
      <c r="BA671" s="15" t="s">
        <v>2899</v>
      </c>
      <c r="BB671" s="15" t="s">
        <v>4484</v>
      </c>
      <c r="BC671" s="15" t="s">
        <v>4217</v>
      </c>
      <c r="BD671" s="15" t="s">
        <v>2807</v>
      </c>
      <c r="BE671" s="15" t="s">
        <v>2796</v>
      </c>
      <c r="BF671" s="18"/>
      <c r="BG671" s="18"/>
      <c r="BH671" s="18"/>
      <c r="BI671" s="18"/>
      <c r="BJ671" s="19" t="s">
        <v>18065</v>
      </c>
      <c r="BK671" s="19" t="s">
        <v>18066</v>
      </c>
      <c r="BL671" s="18"/>
      <c r="BM671" s="19" t="s">
        <v>18067</v>
      </c>
      <c r="BN671" s="18"/>
      <c r="BO671" s="19" t="s">
        <v>18068</v>
      </c>
      <c r="BP671" s="19" t="s">
        <v>18069</v>
      </c>
      <c r="BQ671" s="26"/>
      <c r="BR671" s="26"/>
      <c r="BS671" s="26"/>
      <c r="BT671" s="26"/>
      <c r="BU671" s="26"/>
      <c r="BV671" s="26"/>
      <c r="BW671" s="26"/>
      <c r="BX671" s="26"/>
      <c r="BY671" s="18" t="str">
        <f t="shared" si="108"/>
        <v>E&amp;TC</v>
      </c>
      <c r="BZ671" s="18" t="str">
        <f t="shared" si="100"/>
        <v/>
      </c>
      <c r="CA671" s="24" t="str">
        <f t="shared" si="101"/>
        <v>https://drive.google.com/open?id=1uKK2FWutRKrnNB83PIJ8ZMame_phw7vW</v>
      </c>
      <c r="CB671" s="15" t="s">
        <v>2908</v>
      </c>
      <c r="CC671" s="15" t="s">
        <v>2821</v>
      </c>
      <c r="CD671" s="25" t="s">
        <v>2797</v>
      </c>
      <c r="CE671" s="18"/>
      <c r="CF671" s="18"/>
      <c r="CG671" s="18"/>
    </row>
    <row r="672" ht="18.75" hidden="1" customHeight="1">
      <c r="A672" s="14">
        <v>44720.83835521991</v>
      </c>
      <c r="B672" s="15" t="s">
        <v>1701</v>
      </c>
      <c r="C672" s="16" t="s">
        <v>18070</v>
      </c>
      <c r="D672" s="15" t="str">
        <f>IFERROR(__xludf.DUMMYFUNCTION("QUERY(TY_ALL_2023_Batch!$A$1:$E$824, ""SELECT E WHERE C='""&amp;B672&amp;""'"", 0)"),"E&amp;TC")</f>
        <v>E&amp;TC</v>
      </c>
      <c r="E672" s="15" t="s">
        <v>18071</v>
      </c>
      <c r="F672" s="15" t="s">
        <v>18072</v>
      </c>
      <c r="G672" s="15" t="s">
        <v>18073</v>
      </c>
      <c r="H672" s="15" t="s">
        <v>2785</v>
      </c>
      <c r="I672" s="17">
        <v>36404.0</v>
      </c>
      <c r="J672" s="15">
        <v>2019.0</v>
      </c>
      <c r="K672" s="15" t="s">
        <v>2786</v>
      </c>
      <c r="L672" s="15" t="s">
        <v>2787</v>
      </c>
      <c r="M672" s="18"/>
      <c r="N672" s="15" t="s">
        <v>18074</v>
      </c>
      <c r="O672" s="15" t="s">
        <v>1701</v>
      </c>
      <c r="P672" s="19" t="s">
        <v>18075</v>
      </c>
      <c r="Q672" s="15">
        <v>9.158193094E9</v>
      </c>
      <c r="R672" s="15">
        <v>9.158193094E9</v>
      </c>
      <c r="S672" s="15">
        <v>9.850648856E9</v>
      </c>
      <c r="T672" s="15" t="s">
        <v>18072</v>
      </c>
      <c r="U672" s="15" t="s">
        <v>18076</v>
      </c>
      <c r="V672" s="15" t="s">
        <v>18077</v>
      </c>
      <c r="W672" s="15" t="s">
        <v>18078</v>
      </c>
      <c r="X672" s="15">
        <v>75.8</v>
      </c>
      <c r="Y672" s="15" t="s">
        <v>2795</v>
      </c>
      <c r="Z672" s="15">
        <v>8.23</v>
      </c>
      <c r="AA672" s="15">
        <v>7.35</v>
      </c>
      <c r="AB672" s="15" t="s">
        <v>2796</v>
      </c>
      <c r="AC672" s="15" t="s">
        <v>2796</v>
      </c>
      <c r="AD672" s="15" t="s">
        <v>2796</v>
      </c>
      <c r="AE672" s="15" t="s">
        <v>2796</v>
      </c>
      <c r="AF672" s="15">
        <v>7.48</v>
      </c>
      <c r="AG672" s="15">
        <v>8.14</v>
      </c>
      <c r="AH672" s="15">
        <v>65.8</v>
      </c>
      <c r="AI672" s="18"/>
      <c r="AJ672" s="15" t="s">
        <v>2787</v>
      </c>
      <c r="AK672" s="15" t="s">
        <v>2787</v>
      </c>
      <c r="AL672" s="15" t="s">
        <v>18079</v>
      </c>
      <c r="AM672" s="15" t="s">
        <v>18080</v>
      </c>
      <c r="AN672" s="15" t="s">
        <v>2787</v>
      </c>
      <c r="AO672" s="15" t="s">
        <v>2796</v>
      </c>
      <c r="AP672" s="15" t="s">
        <v>18081</v>
      </c>
      <c r="AQ672" s="15" t="s">
        <v>8593</v>
      </c>
      <c r="AR672" s="15" t="s">
        <v>18082</v>
      </c>
      <c r="AS672" s="15" t="s">
        <v>18083</v>
      </c>
      <c r="AT672" s="15" t="s">
        <v>2796</v>
      </c>
      <c r="AU672" s="18"/>
      <c r="AV672" s="18"/>
      <c r="AW672" s="15" t="s">
        <v>18084</v>
      </c>
      <c r="AX672" s="15" t="s">
        <v>18085</v>
      </c>
      <c r="AY672" s="15" t="s">
        <v>18085</v>
      </c>
      <c r="AZ672" s="15" t="s">
        <v>5260</v>
      </c>
      <c r="BA672" s="15" t="s">
        <v>10453</v>
      </c>
      <c r="BB672" s="15" t="s">
        <v>2807</v>
      </c>
      <c r="BC672" s="15" t="s">
        <v>4746</v>
      </c>
      <c r="BD672" s="15" t="s">
        <v>18086</v>
      </c>
      <c r="BE672" s="15" t="s">
        <v>2796</v>
      </c>
      <c r="BF672" s="18"/>
      <c r="BG672" s="18"/>
      <c r="BH672" s="15" t="s">
        <v>18087</v>
      </c>
      <c r="BI672" s="18"/>
      <c r="BJ672" s="19" t="s">
        <v>18088</v>
      </c>
      <c r="BK672" s="19" t="s">
        <v>18089</v>
      </c>
      <c r="BL672" s="19" t="s">
        <v>18090</v>
      </c>
      <c r="BM672" s="19" t="s">
        <v>18091</v>
      </c>
      <c r="BN672" s="19" t="s">
        <v>18092</v>
      </c>
      <c r="BO672" s="19" t="s">
        <v>18093</v>
      </c>
      <c r="BP672" s="18"/>
      <c r="BQ672" s="18"/>
      <c r="BR672" s="18"/>
      <c r="BS672" s="18"/>
      <c r="BT672" s="18"/>
      <c r="BU672" s="18"/>
      <c r="BV672" s="18"/>
      <c r="BW672" s="18"/>
      <c r="BX672" s="18"/>
      <c r="BY672" s="18" t="str">
        <f t="shared" si="108"/>
        <v>E&amp;TC</v>
      </c>
      <c r="BZ672" s="24" t="str">
        <f t="shared" si="100"/>
        <v>https://drive.google.com/open?id=1tsE9daim2ibVbLjJimtQ_2Zs1tf-Ufji</v>
      </c>
      <c r="CA672" s="24" t="str">
        <f t="shared" si="101"/>
        <v>https://drive.google.com/open?id=1-0jmB_SZfKb4feaB1lxM_0yyadbYSK6R</v>
      </c>
      <c r="CB672" s="15" t="s">
        <v>2821</v>
      </c>
      <c r="CC672" s="15" t="s">
        <v>2821</v>
      </c>
      <c r="CD672" s="25" t="s">
        <v>2797</v>
      </c>
      <c r="CE672" s="18"/>
      <c r="CF672" s="18"/>
      <c r="CG672" s="18"/>
    </row>
    <row r="673" ht="18.75" hidden="1" customHeight="1">
      <c r="A673" s="14">
        <v>44721.52813993055</v>
      </c>
      <c r="B673" s="15" t="s">
        <v>1854</v>
      </c>
      <c r="C673" s="16" t="s">
        <v>18094</v>
      </c>
      <c r="D673" s="15" t="str">
        <f>IFERROR(__xludf.DUMMYFUNCTION("QUERY(TY_ALL_2023_Batch!$A$1:$E$824, ""SELECT E WHERE C='""&amp;B673&amp;""'"", 0)"),"E&amp;TC")</f>
        <v>E&amp;TC</v>
      </c>
      <c r="E673" s="15" t="s">
        <v>18095</v>
      </c>
      <c r="F673" s="15" t="s">
        <v>18096</v>
      </c>
      <c r="G673" s="15" t="s">
        <v>18097</v>
      </c>
      <c r="H673" s="15" t="s">
        <v>2785</v>
      </c>
      <c r="I673" s="17">
        <v>37026.0</v>
      </c>
      <c r="J673" s="15">
        <v>2019.0</v>
      </c>
      <c r="K673" s="15" t="s">
        <v>2786</v>
      </c>
      <c r="L673" s="15" t="s">
        <v>2787</v>
      </c>
      <c r="M673" s="18"/>
      <c r="N673" s="15" t="s">
        <v>18098</v>
      </c>
      <c r="O673" s="15" t="s">
        <v>18099</v>
      </c>
      <c r="P673" s="19" t="s">
        <v>18100</v>
      </c>
      <c r="Q673" s="15">
        <v>9.545778445E9</v>
      </c>
      <c r="R673" s="15">
        <v>9.545778445E9</v>
      </c>
      <c r="S673" s="15">
        <v>9.307268865E9</v>
      </c>
      <c r="T673" s="15" t="s">
        <v>18101</v>
      </c>
      <c r="U673" s="15" t="s">
        <v>18102</v>
      </c>
      <c r="V673" s="15" t="s">
        <v>18103</v>
      </c>
      <c r="W673" s="15" t="s">
        <v>18104</v>
      </c>
      <c r="X673" s="15">
        <v>83.0</v>
      </c>
      <c r="Y673" s="15" t="s">
        <v>2795</v>
      </c>
      <c r="Z673" s="15">
        <v>7.62</v>
      </c>
      <c r="AA673" s="15">
        <v>8.1</v>
      </c>
      <c r="AB673" s="15" t="s">
        <v>2796</v>
      </c>
      <c r="AC673" s="15" t="s">
        <v>2796</v>
      </c>
      <c r="AD673" s="15" t="s">
        <v>2796</v>
      </c>
      <c r="AE673" s="15" t="s">
        <v>2796</v>
      </c>
      <c r="AF673" s="15">
        <v>7.42</v>
      </c>
      <c r="AG673" s="15">
        <v>8.62</v>
      </c>
      <c r="AH673" s="15">
        <v>68.31</v>
      </c>
      <c r="AI673" s="18"/>
      <c r="AJ673" s="15" t="s">
        <v>2787</v>
      </c>
      <c r="AK673" s="15" t="s">
        <v>2787</v>
      </c>
      <c r="AL673" s="18"/>
      <c r="AM673" s="18"/>
      <c r="AN673" s="15" t="s">
        <v>2797</v>
      </c>
      <c r="AO673" s="18"/>
      <c r="AP673" s="18"/>
      <c r="AQ673" s="15" t="s">
        <v>18105</v>
      </c>
      <c r="AR673" s="18"/>
      <c r="AS673" s="18"/>
      <c r="AT673" s="18"/>
      <c r="AU673" s="18"/>
      <c r="AV673" s="18"/>
      <c r="AW673" s="15" t="s">
        <v>18106</v>
      </c>
      <c r="AX673" s="18"/>
      <c r="AY673" s="15" t="s">
        <v>18106</v>
      </c>
      <c r="AZ673" s="15" t="s">
        <v>4670</v>
      </c>
      <c r="BA673" s="15" t="s">
        <v>18107</v>
      </c>
      <c r="BB673" s="15" t="s">
        <v>5673</v>
      </c>
      <c r="BC673" s="15" t="s">
        <v>4746</v>
      </c>
      <c r="BD673" s="15" t="s">
        <v>2807</v>
      </c>
      <c r="BE673" s="15" t="s">
        <v>2796</v>
      </c>
      <c r="BF673" s="18"/>
      <c r="BG673" s="18"/>
      <c r="BH673" s="18"/>
      <c r="BI673" s="18"/>
      <c r="BJ673" s="19" t="s">
        <v>18108</v>
      </c>
      <c r="BK673" s="19" t="s">
        <v>18109</v>
      </c>
      <c r="BL673" s="18"/>
      <c r="BM673" s="18"/>
      <c r="BN673" s="18"/>
      <c r="BO673" s="19" t="s">
        <v>18110</v>
      </c>
      <c r="BP673" s="18"/>
      <c r="BQ673" s="18"/>
      <c r="BR673" s="18"/>
      <c r="BS673" s="18"/>
      <c r="BT673" s="18"/>
      <c r="BU673" s="18"/>
      <c r="BV673" s="18"/>
      <c r="BW673" s="18"/>
      <c r="BX673" s="18"/>
      <c r="BY673" s="18" t="str">
        <f t="shared" si="108"/>
        <v>E&amp;TC</v>
      </c>
      <c r="BZ673" s="18" t="str">
        <f t="shared" si="100"/>
        <v/>
      </c>
      <c r="CA673" s="18" t="str">
        <f t="shared" si="101"/>
        <v/>
      </c>
      <c r="CB673" s="15" t="s">
        <v>2908</v>
      </c>
      <c r="CC673" s="15" t="s">
        <v>2908</v>
      </c>
      <c r="CD673" s="25" t="s">
        <v>2797</v>
      </c>
      <c r="CE673" s="18"/>
      <c r="CF673" s="18"/>
      <c r="CG673" s="18"/>
    </row>
    <row r="674" ht="18.75" hidden="1" customHeight="1">
      <c r="A674" s="14">
        <v>44721.978910046295</v>
      </c>
      <c r="B674" s="15" t="s">
        <v>2013</v>
      </c>
      <c r="C674" s="16" t="s">
        <v>18111</v>
      </c>
      <c r="D674" s="15" t="str">
        <f>IFERROR(__xludf.DUMMYFUNCTION("QUERY(TY_ALL_2023_Batch!$A$1:$E$824, ""SELECT E WHERE C='""&amp;B674&amp;""'"", 0)"),"E&amp;TC")</f>
        <v>E&amp;TC</v>
      </c>
      <c r="E674" s="15" t="s">
        <v>3424</v>
      </c>
      <c r="F674" s="15" t="s">
        <v>3499</v>
      </c>
      <c r="G674" s="15" t="s">
        <v>18112</v>
      </c>
      <c r="H674" s="15" t="s">
        <v>2785</v>
      </c>
      <c r="I674" s="17">
        <v>36652.0</v>
      </c>
      <c r="J674" s="15">
        <v>2019.0</v>
      </c>
      <c r="K674" s="15" t="s">
        <v>2786</v>
      </c>
      <c r="L674" s="15" t="s">
        <v>2787</v>
      </c>
      <c r="M674" s="18"/>
      <c r="N674" s="15" t="s">
        <v>18113</v>
      </c>
      <c r="O674" s="15" t="s">
        <v>2013</v>
      </c>
      <c r="P674" s="19" t="s">
        <v>18114</v>
      </c>
      <c r="Q674" s="15">
        <v>9.022099066E9</v>
      </c>
      <c r="R674" s="15">
        <v>9.022099066E9</v>
      </c>
      <c r="S674" s="15">
        <v>9.022099066E9</v>
      </c>
      <c r="T674" s="15" t="s">
        <v>3499</v>
      </c>
      <c r="U674" s="15" t="s">
        <v>11039</v>
      </c>
      <c r="V674" s="15" t="s">
        <v>18115</v>
      </c>
      <c r="W674" s="15" t="s">
        <v>18116</v>
      </c>
      <c r="X674" s="15">
        <v>94.4</v>
      </c>
      <c r="Y674" s="15" t="s">
        <v>2795</v>
      </c>
      <c r="Z674" s="15">
        <v>8.25</v>
      </c>
      <c r="AA674" s="15">
        <v>7.76</v>
      </c>
      <c r="AB674" s="15">
        <v>8.0</v>
      </c>
      <c r="AC674" s="15" t="s">
        <v>2796</v>
      </c>
      <c r="AD674" s="15" t="s">
        <v>2796</v>
      </c>
      <c r="AE674" s="15" t="s">
        <v>2796</v>
      </c>
      <c r="AF674" s="15">
        <v>8.24</v>
      </c>
      <c r="AG674" s="15">
        <v>7.52</v>
      </c>
      <c r="AH674" s="15">
        <v>63.0</v>
      </c>
      <c r="AI674" s="18"/>
      <c r="AJ674" s="15" t="s">
        <v>2787</v>
      </c>
      <c r="AK674" s="15" t="s">
        <v>2787</v>
      </c>
      <c r="AL674" s="15" t="s">
        <v>18117</v>
      </c>
      <c r="AM674" s="15" t="s">
        <v>18118</v>
      </c>
      <c r="AN674" s="15" t="s">
        <v>2797</v>
      </c>
      <c r="AO674" s="15" t="s">
        <v>2796</v>
      </c>
      <c r="AP674" s="15" t="s">
        <v>2796</v>
      </c>
      <c r="AQ674" s="15" t="s">
        <v>18119</v>
      </c>
      <c r="AR674" s="15" t="s">
        <v>18120</v>
      </c>
      <c r="AS674" s="15" t="s">
        <v>18121</v>
      </c>
      <c r="AT674" s="15" t="s">
        <v>2796</v>
      </c>
      <c r="AU674" s="15" t="s">
        <v>2796</v>
      </c>
      <c r="AV674" s="15" t="s">
        <v>18122</v>
      </c>
      <c r="AW674" s="15" t="s">
        <v>18123</v>
      </c>
      <c r="AX674" s="15" t="s">
        <v>18124</v>
      </c>
      <c r="AY674" s="15" t="s">
        <v>18125</v>
      </c>
      <c r="AZ674" s="15" t="s">
        <v>4670</v>
      </c>
      <c r="BA674" s="15" t="s">
        <v>10710</v>
      </c>
      <c r="BB674" s="15" t="s">
        <v>5729</v>
      </c>
      <c r="BC674" s="15" t="s">
        <v>18126</v>
      </c>
      <c r="BD674" s="15" t="s">
        <v>2807</v>
      </c>
      <c r="BE674" s="15" t="s">
        <v>18127</v>
      </c>
      <c r="BF674" s="15" t="s">
        <v>2796</v>
      </c>
      <c r="BG674" s="15" t="s">
        <v>2796</v>
      </c>
      <c r="BH674" s="18"/>
      <c r="BI674" s="15" t="s">
        <v>18128</v>
      </c>
      <c r="BJ674" s="19" t="s">
        <v>18129</v>
      </c>
      <c r="BK674" s="19" t="s">
        <v>18130</v>
      </c>
      <c r="BL674" s="18"/>
      <c r="BM674" s="18"/>
      <c r="BN674" s="19" t="s">
        <v>18131</v>
      </c>
      <c r="BO674" s="19" t="s">
        <v>18132</v>
      </c>
      <c r="BP674" s="19" t="s">
        <v>18133</v>
      </c>
      <c r="BQ674" s="26"/>
      <c r="BR674" s="26"/>
      <c r="BS674" s="26"/>
      <c r="BT674" s="26"/>
      <c r="BU674" s="26"/>
      <c r="BV674" s="26"/>
      <c r="BW674" s="26"/>
      <c r="BX674" s="26"/>
      <c r="BY674" s="18" t="str">
        <f t="shared" si="108"/>
        <v>E&amp;TC</v>
      </c>
      <c r="BZ674" s="18" t="str">
        <f t="shared" si="100"/>
        <v/>
      </c>
      <c r="CA674" s="18" t="str">
        <f t="shared" si="101"/>
        <v/>
      </c>
      <c r="CB674" s="15" t="s">
        <v>2908</v>
      </c>
      <c r="CC674" s="15" t="s">
        <v>2908</v>
      </c>
      <c r="CD674" s="25" t="s">
        <v>2797</v>
      </c>
      <c r="CE674" s="18"/>
      <c r="CF674" s="18"/>
      <c r="CG674" s="18"/>
    </row>
    <row r="675" ht="18.75" hidden="1" customHeight="1">
      <c r="A675" s="14">
        <v>44722.01041207176</v>
      </c>
      <c r="B675" s="15" t="s">
        <v>1860</v>
      </c>
      <c r="C675" s="16" t="s">
        <v>18134</v>
      </c>
      <c r="D675" s="15" t="str">
        <f>IFERROR(__xludf.DUMMYFUNCTION("QUERY(TY_ALL_2023_Batch!$A$1:$E$824, ""SELECT E WHERE C='""&amp;B675&amp;""'"", 0)"),"E&amp;TC")</f>
        <v>E&amp;TC</v>
      </c>
      <c r="E675" s="15" t="s">
        <v>6135</v>
      </c>
      <c r="F675" s="15" t="s">
        <v>15841</v>
      </c>
      <c r="G675" s="15" t="s">
        <v>18135</v>
      </c>
      <c r="H675" s="15" t="s">
        <v>2785</v>
      </c>
      <c r="I675" s="17">
        <v>37061.0</v>
      </c>
      <c r="J675" s="15">
        <v>2019.0</v>
      </c>
      <c r="K675" s="15" t="s">
        <v>2786</v>
      </c>
      <c r="L675" s="15" t="s">
        <v>2787</v>
      </c>
      <c r="M675" s="18"/>
      <c r="N675" s="15" t="s">
        <v>18136</v>
      </c>
      <c r="O675" s="15" t="s">
        <v>1860</v>
      </c>
      <c r="P675" s="19" t="s">
        <v>18137</v>
      </c>
      <c r="Q675" s="15">
        <v>7.263863196E9</v>
      </c>
      <c r="R675" s="15">
        <v>7.263863196E9</v>
      </c>
      <c r="S675" s="15">
        <v>9.960520549E9</v>
      </c>
      <c r="T675" s="15" t="s">
        <v>15841</v>
      </c>
      <c r="U675" s="15" t="s">
        <v>4451</v>
      </c>
      <c r="V675" s="15" t="s">
        <v>18138</v>
      </c>
      <c r="W675" s="15" t="s">
        <v>18139</v>
      </c>
      <c r="X675" s="15">
        <v>93.8</v>
      </c>
      <c r="Y675" s="15" t="s">
        <v>2795</v>
      </c>
      <c r="Z675" s="15">
        <v>8.7</v>
      </c>
      <c r="AA675" s="15">
        <v>9.45</v>
      </c>
      <c r="AB675" s="15" t="s">
        <v>2796</v>
      </c>
      <c r="AC675" s="15" t="s">
        <v>2796</v>
      </c>
      <c r="AD675" s="15" t="s">
        <v>2796</v>
      </c>
      <c r="AE675" s="15" t="s">
        <v>2796</v>
      </c>
      <c r="AF675" s="15">
        <v>8.32</v>
      </c>
      <c r="AG675" s="15">
        <v>9.12</v>
      </c>
      <c r="AH675" s="15">
        <v>82.15</v>
      </c>
      <c r="AI675" s="18"/>
      <c r="AJ675" s="15" t="s">
        <v>2787</v>
      </c>
      <c r="AK675" s="15" t="s">
        <v>2787</v>
      </c>
      <c r="AL675" s="18"/>
      <c r="AM675" s="15">
        <v>94.0</v>
      </c>
      <c r="AN675" s="15" t="s">
        <v>2797</v>
      </c>
      <c r="AO675" s="18"/>
      <c r="AP675" s="18"/>
      <c r="AQ675" s="15" t="s">
        <v>8663</v>
      </c>
      <c r="AR675" s="15" t="s">
        <v>5415</v>
      </c>
      <c r="AS675" s="18"/>
      <c r="AT675" s="18"/>
      <c r="AU675" s="18"/>
      <c r="AV675" s="18"/>
      <c r="AW675" s="15" t="s">
        <v>18140</v>
      </c>
      <c r="AX675" s="18"/>
      <c r="AY675" s="15" t="s">
        <v>18141</v>
      </c>
      <c r="AZ675" s="15" t="s">
        <v>5335</v>
      </c>
      <c r="BA675" s="15" t="s">
        <v>2839</v>
      </c>
      <c r="BB675" s="15" t="s">
        <v>2807</v>
      </c>
      <c r="BC675" s="15" t="s">
        <v>8295</v>
      </c>
      <c r="BD675" s="15" t="s">
        <v>2807</v>
      </c>
      <c r="BE675" s="15" t="s">
        <v>18142</v>
      </c>
      <c r="BF675" s="18"/>
      <c r="BG675" s="18"/>
      <c r="BH675" s="18"/>
      <c r="BI675" s="18"/>
      <c r="BJ675" s="19" t="s">
        <v>18143</v>
      </c>
      <c r="BK675" s="19" t="s">
        <v>18144</v>
      </c>
      <c r="BL675" s="18"/>
      <c r="BM675" s="19" t="s">
        <v>18145</v>
      </c>
      <c r="BN675" s="19" t="s">
        <v>18146</v>
      </c>
      <c r="BO675" s="19" t="s">
        <v>18147</v>
      </c>
      <c r="BP675" s="18"/>
      <c r="BQ675" s="18"/>
      <c r="BR675" s="18"/>
      <c r="BS675" s="18"/>
      <c r="BT675" s="18"/>
      <c r="BU675" s="18"/>
      <c r="BV675" s="18"/>
      <c r="BW675" s="18"/>
      <c r="BX675" s="18"/>
      <c r="BY675" s="18" t="str">
        <f t="shared" si="108"/>
        <v>E&amp;TC</v>
      </c>
      <c r="BZ675" s="18" t="str">
        <f t="shared" si="100"/>
        <v/>
      </c>
      <c r="CA675" s="24" t="str">
        <f t="shared" si="101"/>
        <v>https://drive.google.com/open?id=1V5bgncuicB1rtD7clSbyLHfuWGPFfGxi</v>
      </c>
      <c r="CB675" s="15" t="s">
        <v>2908</v>
      </c>
      <c r="CC675" s="15" t="s">
        <v>2821</v>
      </c>
      <c r="CD675" s="25" t="s">
        <v>2797</v>
      </c>
      <c r="CE675" s="18"/>
      <c r="CF675" s="18"/>
      <c r="CG675" s="18"/>
    </row>
    <row r="676" ht="18.75" hidden="1" customHeight="1">
      <c r="A676" s="14">
        <v>44722.03867146991</v>
      </c>
      <c r="B676" s="15" t="s">
        <v>1782</v>
      </c>
      <c r="C676" s="16" t="s">
        <v>18148</v>
      </c>
      <c r="D676" s="15" t="str">
        <f>IFERROR(__xludf.DUMMYFUNCTION("QUERY(TY_ALL_2023_Batch!$A$1:$E$824, ""SELECT E WHERE C='""&amp;B676&amp;""'"", 0)"),"E&amp;TC")</f>
        <v>E&amp;TC</v>
      </c>
      <c r="E676" s="15" t="s">
        <v>3119</v>
      </c>
      <c r="F676" s="15" t="s">
        <v>3763</v>
      </c>
      <c r="G676" s="15" t="s">
        <v>18149</v>
      </c>
      <c r="H676" s="15" t="s">
        <v>2785</v>
      </c>
      <c r="I676" s="17">
        <v>37081.0</v>
      </c>
      <c r="J676" s="15">
        <v>2019.0</v>
      </c>
      <c r="K676" s="15" t="s">
        <v>2786</v>
      </c>
      <c r="L676" s="15" t="s">
        <v>2787</v>
      </c>
      <c r="M676" s="18"/>
      <c r="N676" s="15" t="s">
        <v>1782</v>
      </c>
      <c r="O676" s="15" t="s">
        <v>1782</v>
      </c>
      <c r="P676" s="19" t="s">
        <v>18150</v>
      </c>
      <c r="Q676" s="15">
        <v>9.359725466E9</v>
      </c>
      <c r="R676" s="15">
        <v>9.172498662E9</v>
      </c>
      <c r="S676" s="15">
        <v>9.359725466E9</v>
      </c>
      <c r="T676" s="15" t="s">
        <v>3763</v>
      </c>
      <c r="U676" s="15" t="s">
        <v>4037</v>
      </c>
      <c r="V676" s="15" t="s">
        <v>18151</v>
      </c>
      <c r="W676" s="15" t="s">
        <v>18152</v>
      </c>
      <c r="X676" s="15">
        <v>80.2</v>
      </c>
      <c r="Y676" s="15" t="s">
        <v>2795</v>
      </c>
      <c r="Z676" s="15">
        <v>6.5</v>
      </c>
      <c r="AA676" s="15">
        <v>6.3</v>
      </c>
      <c r="AB676" s="15" t="s">
        <v>2796</v>
      </c>
      <c r="AC676" s="15" t="s">
        <v>2796</v>
      </c>
      <c r="AD676" s="15" t="s">
        <v>2796</v>
      </c>
      <c r="AE676" s="15" t="s">
        <v>2796</v>
      </c>
      <c r="AF676" s="15">
        <v>6.43</v>
      </c>
      <c r="AG676" s="15">
        <v>7.33</v>
      </c>
      <c r="AH676" s="15">
        <v>57.23</v>
      </c>
      <c r="AI676" s="18"/>
      <c r="AJ676" s="15" t="s">
        <v>2787</v>
      </c>
      <c r="AK676" s="15" t="s">
        <v>2787</v>
      </c>
      <c r="AL676" s="18"/>
      <c r="AM676" s="18"/>
      <c r="AN676" s="15" t="s">
        <v>2797</v>
      </c>
      <c r="AO676" s="18"/>
      <c r="AP676" s="18"/>
      <c r="AQ676" s="15" t="s">
        <v>18153</v>
      </c>
      <c r="AR676" s="15" t="s">
        <v>18154</v>
      </c>
      <c r="AS676" s="15" t="s">
        <v>18155</v>
      </c>
      <c r="AT676" s="18"/>
      <c r="AU676" s="18"/>
      <c r="AV676" s="18"/>
      <c r="AW676" s="15" t="s">
        <v>18156</v>
      </c>
      <c r="AX676" s="15" t="s">
        <v>2796</v>
      </c>
      <c r="AY676" s="15" t="s">
        <v>18157</v>
      </c>
      <c r="AZ676" s="15" t="s">
        <v>8440</v>
      </c>
      <c r="BA676" s="15" t="s">
        <v>2899</v>
      </c>
      <c r="BB676" s="15" t="s">
        <v>3109</v>
      </c>
      <c r="BC676" s="15" t="s">
        <v>3686</v>
      </c>
      <c r="BD676" s="15" t="s">
        <v>2807</v>
      </c>
      <c r="BE676" s="15" t="s">
        <v>18158</v>
      </c>
      <c r="BF676" s="15" t="s">
        <v>18159</v>
      </c>
      <c r="BG676" s="15" t="s">
        <v>2796</v>
      </c>
      <c r="BH676" s="15" t="s">
        <v>18160</v>
      </c>
      <c r="BI676" s="15" t="s">
        <v>18161</v>
      </c>
      <c r="BJ676" s="19" t="s">
        <v>18162</v>
      </c>
      <c r="BK676" s="19" t="s">
        <v>18163</v>
      </c>
      <c r="BL676" s="18"/>
      <c r="BM676" s="18"/>
      <c r="BN676" s="19" t="s">
        <v>18164</v>
      </c>
      <c r="BO676" s="19" t="s">
        <v>18165</v>
      </c>
      <c r="BP676" s="18"/>
      <c r="BQ676" s="18"/>
      <c r="BR676" s="18"/>
      <c r="BS676" s="18"/>
      <c r="BT676" s="18"/>
      <c r="BU676" s="18"/>
      <c r="BV676" s="18"/>
      <c r="BW676" s="18"/>
      <c r="BX676" s="18"/>
      <c r="BY676" s="18" t="str">
        <f t="shared" si="108"/>
        <v>E&amp;TC</v>
      </c>
      <c r="BZ676" s="18" t="str">
        <f t="shared" si="100"/>
        <v/>
      </c>
      <c r="CA676" s="18" t="str">
        <f t="shared" si="101"/>
        <v/>
      </c>
      <c r="CB676" s="15" t="s">
        <v>2908</v>
      </c>
      <c r="CC676" s="15" t="s">
        <v>2908</v>
      </c>
      <c r="CD676" s="25" t="s">
        <v>2797</v>
      </c>
      <c r="CE676" s="18"/>
      <c r="CF676" s="18"/>
      <c r="CG676" s="18"/>
    </row>
    <row r="677" ht="18.75" hidden="1" customHeight="1">
      <c r="A677" s="14">
        <v>44722.48977472223</v>
      </c>
      <c r="B677" s="15" t="s">
        <v>1929</v>
      </c>
      <c r="C677" s="16" t="s">
        <v>18166</v>
      </c>
      <c r="D677" s="15" t="str">
        <f>IFERROR(__xludf.DUMMYFUNCTION("QUERY(TY_ALL_2023_Batch!$A$1:$E$824, ""SELECT E WHERE C='""&amp;B677&amp;""'"", 0)"),"E&amp;TC")</f>
        <v>E&amp;TC</v>
      </c>
      <c r="E677" s="15" t="s">
        <v>9340</v>
      </c>
      <c r="F677" s="15" t="s">
        <v>4134</v>
      </c>
      <c r="G677" s="15" t="s">
        <v>18167</v>
      </c>
      <c r="H677" s="15" t="s">
        <v>2785</v>
      </c>
      <c r="I677" s="17">
        <v>37286.0</v>
      </c>
      <c r="J677" s="15">
        <v>2019.0</v>
      </c>
      <c r="K677" s="15" t="s">
        <v>2786</v>
      </c>
      <c r="L677" s="15" t="s">
        <v>2787</v>
      </c>
      <c r="M677" s="18"/>
      <c r="N677" s="15" t="s">
        <v>18168</v>
      </c>
      <c r="O677" s="15" t="s">
        <v>1929</v>
      </c>
      <c r="P677" s="19" t="s">
        <v>18169</v>
      </c>
      <c r="Q677" s="15">
        <v>8.975717628E9</v>
      </c>
      <c r="R677" s="15">
        <v>8.975717628E9</v>
      </c>
      <c r="S677" s="15">
        <v>8.080516546E9</v>
      </c>
      <c r="T677" s="15" t="s">
        <v>18170</v>
      </c>
      <c r="U677" s="15" t="s">
        <v>18171</v>
      </c>
      <c r="V677" s="15" t="s">
        <v>18172</v>
      </c>
      <c r="W677" s="15" t="s">
        <v>18173</v>
      </c>
      <c r="X677" s="15">
        <v>70.4</v>
      </c>
      <c r="Y677" s="15" t="s">
        <v>2795</v>
      </c>
      <c r="Z677" s="15">
        <v>6.14</v>
      </c>
      <c r="AA677" s="15">
        <v>6.25</v>
      </c>
      <c r="AB677" s="15" t="s">
        <v>2796</v>
      </c>
      <c r="AC677" s="15" t="s">
        <v>2796</v>
      </c>
      <c r="AD677" s="15" t="s">
        <v>2796</v>
      </c>
      <c r="AE677" s="15" t="s">
        <v>2796</v>
      </c>
      <c r="AF677" s="15">
        <v>6.53</v>
      </c>
      <c r="AG677" s="15">
        <v>7.1</v>
      </c>
      <c r="AH677" s="15">
        <v>52.15</v>
      </c>
      <c r="AI677" s="18"/>
      <c r="AJ677" s="15" t="s">
        <v>2797</v>
      </c>
      <c r="AK677" s="15" t="s">
        <v>2787</v>
      </c>
      <c r="AL677" s="15" t="s">
        <v>2796</v>
      </c>
      <c r="AM677" s="15" t="s">
        <v>2796</v>
      </c>
      <c r="AN677" s="15" t="s">
        <v>2787</v>
      </c>
      <c r="AO677" s="15" t="s">
        <v>18174</v>
      </c>
      <c r="AP677" s="15" t="s">
        <v>2796</v>
      </c>
      <c r="AQ677" s="15" t="s">
        <v>8593</v>
      </c>
      <c r="AR677" s="15" t="s">
        <v>2796</v>
      </c>
      <c r="AS677" s="15" t="s">
        <v>2796</v>
      </c>
      <c r="AT677" s="15" t="s">
        <v>3005</v>
      </c>
      <c r="AU677" s="15" t="s">
        <v>2796</v>
      </c>
      <c r="AV677" s="15" t="s">
        <v>2796</v>
      </c>
      <c r="AW677" s="15" t="s">
        <v>2796</v>
      </c>
      <c r="AX677" s="15" t="s">
        <v>2796</v>
      </c>
      <c r="AY677" s="15" t="s">
        <v>2796</v>
      </c>
      <c r="AZ677" s="15" t="s">
        <v>5625</v>
      </c>
      <c r="BA677" s="15" t="s">
        <v>2839</v>
      </c>
      <c r="BB677" s="15" t="s">
        <v>2807</v>
      </c>
      <c r="BC677" s="15" t="s">
        <v>4217</v>
      </c>
      <c r="BD677" s="15" t="s">
        <v>2807</v>
      </c>
      <c r="BE677" s="15" t="s">
        <v>2796</v>
      </c>
      <c r="BF677" s="15" t="s">
        <v>18175</v>
      </c>
      <c r="BG677" s="15" t="s">
        <v>18176</v>
      </c>
      <c r="BH677" s="15" t="s">
        <v>2796</v>
      </c>
      <c r="BI677" s="15" t="s">
        <v>2796</v>
      </c>
      <c r="BJ677" s="19" t="s">
        <v>18177</v>
      </c>
      <c r="BK677" s="19" t="s">
        <v>18178</v>
      </c>
      <c r="BL677" s="18"/>
      <c r="BM677" s="18"/>
      <c r="BN677" s="18"/>
      <c r="BO677" s="19" t="s">
        <v>18179</v>
      </c>
      <c r="BP677" s="18"/>
      <c r="BQ677" s="18"/>
      <c r="BR677" s="18"/>
      <c r="BS677" s="18"/>
      <c r="BT677" s="18"/>
      <c r="BU677" s="18"/>
      <c r="BV677" s="18"/>
      <c r="BW677" s="18"/>
      <c r="BX677" s="18"/>
      <c r="BY677" s="18" t="str">
        <f t="shared" si="108"/>
        <v>E&amp;TC</v>
      </c>
      <c r="BZ677" s="18" t="str">
        <f t="shared" si="100"/>
        <v/>
      </c>
      <c r="CA677" s="18" t="str">
        <f t="shared" si="101"/>
        <v/>
      </c>
      <c r="CB677" s="15" t="s">
        <v>2908</v>
      </c>
      <c r="CC677" s="15" t="s">
        <v>2908</v>
      </c>
      <c r="CD677" s="25" t="s">
        <v>2797</v>
      </c>
      <c r="CE677" s="18"/>
      <c r="CF677" s="18"/>
      <c r="CG677" s="18"/>
    </row>
    <row r="678" ht="18.75" hidden="1" customHeight="1">
      <c r="A678" s="14">
        <v>44722.54640103009</v>
      </c>
      <c r="B678" s="15" t="s">
        <v>1806</v>
      </c>
      <c r="C678" s="16" t="s">
        <v>18180</v>
      </c>
      <c r="D678" s="15" t="str">
        <f>IFERROR(__xludf.DUMMYFUNCTION("QUERY(TY_ALL_2023_Batch!$A$1:$E$824, ""SELECT E WHERE C='""&amp;B678&amp;""'"", 0)"),"E&amp;TC")</f>
        <v>E&amp;TC</v>
      </c>
      <c r="E678" s="15" t="s">
        <v>3378</v>
      </c>
      <c r="F678" s="15" t="s">
        <v>4134</v>
      </c>
      <c r="G678" s="15" t="s">
        <v>18181</v>
      </c>
      <c r="H678" s="15" t="s">
        <v>2785</v>
      </c>
      <c r="I678" s="17">
        <v>37019.0</v>
      </c>
      <c r="J678" s="15">
        <v>2019.0</v>
      </c>
      <c r="K678" s="15" t="s">
        <v>2786</v>
      </c>
      <c r="L678" s="15" t="s">
        <v>2787</v>
      </c>
      <c r="M678" s="18"/>
      <c r="N678" s="15" t="s">
        <v>18182</v>
      </c>
      <c r="O678" s="15" t="s">
        <v>1806</v>
      </c>
      <c r="P678" s="19" t="s">
        <v>18183</v>
      </c>
      <c r="Q678" s="15">
        <v>8.806699815E9</v>
      </c>
      <c r="R678" s="15">
        <v>8.806699815E9</v>
      </c>
      <c r="S678" s="18"/>
      <c r="T678" s="15" t="s">
        <v>18184</v>
      </c>
      <c r="U678" s="15" t="s">
        <v>18185</v>
      </c>
      <c r="V678" s="15" t="s">
        <v>18186</v>
      </c>
      <c r="W678" s="18"/>
      <c r="X678" s="15">
        <v>73.6</v>
      </c>
      <c r="Y678" s="15" t="s">
        <v>2795</v>
      </c>
      <c r="Z678" s="15">
        <v>7.5</v>
      </c>
      <c r="AA678" s="15">
        <v>7.66</v>
      </c>
      <c r="AB678" s="15" t="s">
        <v>2796</v>
      </c>
      <c r="AC678" s="15" t="s">
        <v>2796</v>
      </c>
      <c r="AD678" s="15" t="s">
        <v>2796</v>
      </c>
      <c r="AE678" s="15" t="s">
        <v>2796</v>
      </c>
      <c r="AF678" s="15">
        <v>7.5</v>
      </c>
      <c r="AG678" s="15">
        <v>7.33</v>
      </c>
      <c r="AH678" s="15">
        <v>60.0</v>
      </c>
      <c r="AI678" s="18"/>
      <c r="AJ678" s="15" t="s">
        <v>2787</v>
      </c>
      <c r="AK678" s="15" t="s">
        <v>2787</v>
      </c>
      <c r="AL678" s="18"/>
      <c r="AM678" s="18"/>
      <c r="AN678" s="15" t="s">
        <v>2797</v>
      </c>
      <c r="AO678" s="18"/>
      <c r="AP678" s="18"/>
      <c r="AQ678" s="15" t="s">
        <v>18187</v>
      </c>
      <c r="AR678" s="18"/>
      <c r="AS678" s="18"/>
      <c r="AT678" s="18"/>
      <c r="AU678" s="18"/>
      <c r="AV678" s="18"/>
      <c r="AW678" s="15" t="s">
        <v>18188</v>
      </c>
      <c r="AX678" s="18"/>
      <c r="AY678" s="15" t="s">
        <v>18189</v>
      </c>
      <c r="AZ678" s="15" t="s">
        <v>4670</v>
      </c>
      <c r="BA678" s="15" t="s">
        <v>2870</v>
      </c>
      <c r="BB678" s="15" t="s">
        <v>2807</v>
      </c>
      <c r="BC678" s="15" t="s">
        <v>3686</v>
      </c>
      <c r="BD678" s="15" t="s">
        <v>2807</v>
      </c>
      <c r="BE678" s="15" t="s">
        <v>2796</v>
      </c>
      <c r="BF678" s="18"/>
      <c r="BG678" s="18"/>
      <c r="BH678" s="18"/>
      <c r="BI678" s="18"/>
      <c r="BJ678" s="19" t="s">
        <v>18190</v>
      </c>
      <c r="BK678" s="19" t="s">
        <v>18191</v>
      </c>
      <c r="BL678" s="18"/>
      <c r="BM678" s="18"/>
      <c r="BN678" s="18"/>
      <c r="BO678" s="19" t="s">
        <v>18192</v>
      </c>
      <c r="BP678" s="18"/>
      <c r="BQ678" s="18"/>
      <c r="BR678" s="18"/>
      <c r="BS678" s="18"/>
      <c r="BT678" s="18"/>
      <c r="BU678" s="18"/>
      <c r="BV678" s="18"/>
      <c r="BW678" s="18"/>
      <c r="BX678" s="18"/>
      <c r="BY678" s="18" t="str">
        <f t="shared" si="108"/>
        <v>E&amp;TC</v>
      </c>
      <c r="BZ678" s="18" t="str">
        <f t="shared" si="100"/>
        <v/>
      </c>
      <c r="CA678" s="18" t="str">
        <f t="shared" si="101"/>
        <v/>
      </c>
      <c r="CB678" s="15" t="s">
        <v>2908</v>
      </c>
      <c r="CC678" s="15" t="s">
        <v>2908</v>
      </c>
      <c r="CD678" s="25" t="s">
        <v>2797</v>
      </c>
      <c r="CE678" s="18"/>
      <c r="CF678" s="18"/>
      <c r="CG678" s="18"/>
    </row>
    <row r="679" ht="18.75" hidden="1" customHeight="1">
      <c r="A679" s="14">
        <v>44722.603991261574</v>
      </c>
      <c r="B679" s="15" t="s">
        <v>1875</v>
      </c>
      <c r="C679" s="16" t="s">
        <v>18193</v>
      </c>
      <c r="D679" s="15" t="str">
        <f>IFERROR(__xludf.DUMMYFUNCTION("QUERY(TY_ALL_2023_Batch!$A$1:$E$824, ""SELECT E WHERE C='""&amp;B679&amp;""'"", 0)"),"E&amp;TC")</f>
        <v>E&amp;TC</v>
      </c>
      <c r="E679" s="15" t="s">
        <v>3449</v>
      </c>
      <c r="F679" s="15" t="s">
        <v>18194</v>
      </c>
      <c r="G679" s="15" t="s">
        <v>18195</v>
      </c>
      <c r="H679" s="15" t="s">
        <v>2785</v>
      </c>
      <c r="I679" s="17">
        <v>37046.0</v>
      </c>
      <c r="J679" s="15">
        <v>2019.0</v>
      </c>
      <c r="K679" s="15" t="s">
        <v>2786</v>
      </c>
      <c r="L679" s="15" t="s">
        <v>2787</v>
      </c>
      <c r="M679" s="18"/>
      <c r="N679" s="15" t="s">
        <v>18196</v>
      </c>
      <c r="O679" s="15" t="s">
        <v>1875</v>
      </c>
      <c r="P679" s="19" t="s">
        <v>18197</v>
      </c>
      <c r="Q679" s="15">
        <v>7.709237411E9</v>
      </c>
      <c r="R679" s="15">
        <v>7.709237411E9</v>
      </c>
      <c r="S679" s="15">
        <v>8.080061597E9</v>
      </c>
      <c r="T679" s="15" t="s">
        <v>18198</v>
      </c>
      <c r="U679" s="15" t="s">
        <v>18199</v>
      </c>
      <c r="V679" s="15" t="s">
        <v>18200</v>
      </c>
      <c r="W679" s="18"/>
      <c r="X679" s="15">
        <v>86.0</v>
      </c>
      <c r="Y679" s="15" t="s">
        <v>2795</v>
      </c>
      <c r="Z679" s="15">
        <v>8.14</v>
      </c>
      <c r="AA679" s="15">
        <v>8.65</v>
      </c>
      <c r="AB679" s="15" t="s">
        <v>2796</v>
      </c>
      <c r="AC679" s="15" t="s">
        <v>2796</v>
      </c>
      <c r="AD679" s="15" t="s">
        <v>2796</v>
      </c>
      <c r="AE679" s="15" t="s">
        <v>2796</v>
      </c>
      <c r="AF679" s="15">
        <v>8.05</v>
      </c>
      <c r="AG679" s="15">
        <v>8.52</v>
      </c>
      <c r="AH679" s="15">
        <v>64.0</v>
      </c>
      <c r="AI679" s="18"/>
      <c r="AJ679" s="15" t="s">
        <v>2787</v>
      </c>
      <c r="AK679" s="15" t="s">
        <v>2787</v>
      </c>
      <c r="AL679" s="15">
        <v>72.7</v>
      </c>
      <c r="AM679" s="15">
        <v>68.14</v>
      </c>
      <c r="AN679" s="15" t="s">
        <v>2797</v>
      </c>
      <c r="AO679" s="18"/>
      <c r="AP679" s="18"/>
      <c r="AQ679" s="15" t="s">
        <v>5356</v>
      </c>
      <c r="AR679" s="15" t="s">
        <v>18201</v>
      </c>
      <c r="AS679" s="15" t="s">
        <v>18202</v>
      </c>
      <c r="AT679" s="18"/>
      <c r="AU679" s="15" t="s">
        <v>2796</v>
      </c>
      <c r="AV679" s="15" t="s">
        <v>18203</v>
      </c>
      <c r="AW679" s="15" t="s">
        <v>18204</v>
      </c>
      <c r="AX679" s="18"/>
      <c r="AY679" s="15" t="s">
        <v>2796</v>
      </c>
      <c r="AZ679" s="15" t="s">
        <v>5335</v>
      </c>
      <c r="BA679" s="15" t="s">
        <v>17518</v>
      </c>
      <c r="BB679" s="15" t="s">
        <v>5673</v>
      </c>
      <c r="BC679" s="15" t="s">
        <v>18205</v>
      </c>
      <c r="BD679" s="15" t="s">
        <v>2807</v>
      </c>
      <c r="BE679" s="15" t="s">
        <v>18206</v>
      </c>
      <c r="BF679" s="18"/>
      <c r="BG679" s="18"/>
      <c r="BH679" s="18"/>
      <c r="BI679" s="18"/>
      <c r="BJ679" s="19" t="s">
        <v>18207</v>
      </c>
      <c r="BK679" s="19" t="s">
        <v>18208</v>
      </c>
      <c r="BL679" s="18"/>
      <c r="BM679" s="18"/>
      <c r="BN679" s="19" t="s">
        <v>18209</v>
      </c>
      <c r="BO679" s="19" t="s">
        <v>18210</v>
      </c>
      <c r="BP679" s="18"/>
      <c r="BQ679" s="18"/>
      <c r="BR679" s="18"/>
      <c r="BS679" s="18"/>
      <c r="BT679" s="18"/>
      <c r="BU679" s="18"/>
      <c r="BV679" s="18"/>
      <c r="BW679" s="18"/>
      <c r="BX679" s="18"/>
      <c r="BY679" s="18" t="str">
        <f t="shared" si="108"/>
        <v>E&amp;TC</v>
      </c>
      <c r="BZ679" s="18" t="str">
        <f t="shared" si="100"/>
        <v/>
      </c>
      <c r="CA679" s="18" t="str">
        <f t="shared" si="101"/>
        <v/>
      </c>
      <c r="CB679" s="15" t="s">
        <v>2908</v>
      </c>
      <c r="CC679" s="15" t="s">
        <v>2908</v>
      </c>
      <c r="CD679" s="25" t="s">
        <v>2797</v>
      </c>
      <c r="CE679" s="18"/>
      <c r="CF679" s="18"/>
      <c r="CG679" s="18"/>
    </row>
    <row r="680" ht="18.75" hidden="1" customHeight="1">
      <c r="A680" s="14">
        <v>44722.84570017361</v>
      </c>
      <c r="B680" s="15" t="s">
        <v>1635</v>
      </c>
      <c r="C680" s="16" t="s">
        <v>18211</v>
      </c>
      <c r="D680" s="15" t="str">
        <f>IFERROR(__xludf.DUMMYFUNCTION("QUERY(TY_ALL_2023_Batch!$A$1:$E$824, ""SELECT E WHERE C='""&amp;B680&amp;""'"", 0)"),"E&amp;TC")</f>
        <v>E&amp;TC</v>
      </c>
      <c r="E680" s="15" t="s">
        <v>7226</v>
      </c>
      <c r="F680" s="15" t="s">
        <v>4134</v>
      </c>
      <c r="G680" s="15" t="s">
        <v>18212</v>
      </c>
      <c r="H680" s="15" t="s">
        <v>2785</v>
      </c>
      <c r="I680" s="17">
        <v>35965.0</v>
      </c>
      <c r="J680" s="15">
        <v>2019.0</v>
      </c>
      <c r="K680" s="15" t="s">
        <v>2786</v>
      </c>
      <c r="L680" s="15" t="s">
        <v>2787</v>
      </c>
      <c r="M680" s="18"/>
      <c r="N680" s="15" t="s">
        <v>18213</v>
      </c>
      <c r="O680" s="15" t="s">
        <v>1635</v>
      </c>
      <c r="P680" s="19" t="s">
        <v>18214</v>
      </c>
      <c r="Q680" s="15">
        <v>7.507202669E9</v>
      </c>
      <c r="R680" s="15">
        <v>7.507202669E9</v>
      </c>
      <c r="S680" s="15">
        <v>8.600249463E9</v>
      </c>
      <c r="T680" s="15" t="s">
        <v>4134</v>
      </c>
      <c r="U680" s="15" t="s">
        <v>18215</v>
      </c>
      <c r="V680" s="15" t="s">
        <v>18216</v>
      </c>
      <c r="W680" s="18"/>
      <c r="X680" s="15">
        <v>78.0</v>
      </c>
      <c r="Y680" s="15" t="s">
        <v>2795</v>
      </c>
      <c r="Z680" s="15">
        <v>6.38</v>
      </c>
      <c r="AA680" s="15">
        <v>6.86</v>
      </c>
      <c r="AB680" s="15" t="s">
        <v>2796</v>
      </c>
      <c r="AC680" s="15" t="s">
        <v>2796</v>
      </c>
      <c r="AD680" s="15" t="s">
        <v>2796</v>
      </c>
      <c r="AE680" s="15" t="s">
        <v>2796</v>
      </c>
      <c r="AF680" s="15">
        <v>6.38</v>
      </c>
      <c r="AG680" s="15">
        <v>6.86</v>
      </c>
      <c r="AH680" s="15">
        <v>60.31</v>
      </c>
      <c r="AI680" s="18"/>
      <c r="AJ680" s="15" t="s">
        <v>2787</v>
      </c>
      <c r="AK680" s="15" t="s">
        <v>2787</v>
      </c>
      <c r="AL680" s="15" t="s">
        <v>3313</v>
      </c>
      <c r="AM680" s="15">
        <v>40.0</v>
      </c>
      <c r="AN680" s="15" t="s">
        <v>2787</v>
      </c>
      <c r="AO680" s="15" t="s">
        <v>18217</v>
      </c>
      <c r="AP680" s="15" t="s">
        <v>18218</v>
      </c>
      <c r="AQ680" s="15" t="s">
        <v>18219</v>
      </c>
      <c r="AR680" s="15" t="s">
        <v>18220</v>
      </c>
      <c r="AS680" s="15" t="s">
        <v>14736</v>
      </c>
      <c r="AT680" s="18"/>
      <c r="AU680" s="15" t="s">
        <v>18221</v>
      </c>
      <c r="AV680" s="15" t="s">
        <v>3313</v>
      </c>
      <c r="AW680" s="15" t="s">
        <v>18222</v>
      </c>
      <c r="AX680" s="15" t="s">
        <v>18223</v>
      </c>
      <c r="AY680" s="15" t="s">
        <v>18224</v>
      </c>
      <c r="AZ680" s="15" t="s">
        <v>4670</v>
      </c>
      <c r="BA680" s="15" t="s">
        <v>2899</v>
      </c>
      <c r="BB680" s="15" t="s">
        <v>2807</v>
      </c>
      <c r="BC680" s="15" t="s">
        <v>3686</v>
      </c>
      <c r="BD680" s="15" t="s">
        <v>3393</v>
      </c>
      <c r="BE680" s="15" t="s">
        <v>2796</v>
      </c>
      <c r="BF680" s="15" t="s">
        <v>2796</v>
      </c>
      <c r="BG680" s="15" t="s">
        <v>2796</v>
      </c>
      <c r="BH680" s="15" t="s">
        <v>2796</v>
      </c>
      <c r="BI680" s="15" t="s">
        <v>2796</v>
      </c>
      <c r="BJ680" s="19" t="s">
        <v>18225</v>
      </c>
      <c r="BK680" s="19" t="s">
        <v>18226</v>
      </c>
      <c r="BL680" s="18"/>
      <c r="BM680" s="18"/>
      <c r="BN680" s="18"/>
      <c r="BO680" s="19" t="s">
        <v>18227</v>
      </c>
      <c r="BP680" s="18"/>
      <c r="BQ680" s="18"/>
      <c r="BR680" s="18"/>
      <c r="BS680" s="18"/>
      <c r="BT680" s="18"/>
      <c r="BU680" s="18"/>
      <c r="BV680" s="18"/>
      <c r="BW680" s="18"/>
      <c r="BX680" s="18"/>
      <c r="BY680" s="18" t="str">
        <f t="shared" si="108"/>
        <v>E&amp;TC</v>
      </c>
      <c r="BZ680" s="18" t="str">
        <f t="shared" si="100"/>
        <v/>
      </c>
      <c r="CA680" s="18" t="str">
        <f t="shared" si="101"/>
        <v/>
      </c>
      <c r="CB680" s="15" t="s">
        <v>2908</v>
      </c>
      <c r="CC680" s="15" t="s">
        <v>2908</v>
      </c>
      <c r="CD680" s="25" t="s">
        <v>2797</v>
      </c>
      <c r="CE680" s="18"/>
      <c r="CF680" s="18"/>
      <c r="CG680" s="18"/>
    </row>
    <row r="681" ht="18.75" hidden="1" customHeight="1">
      <c r="A681" s="14">
        <v>44722.90716667824</v>
      </c>
      <c r="B681" s="15" t="s">
        <v>1740</v>
      </c>
      <c r="C681" s="16" t="s">
        <v>18228</v>
      </c>
      <c r="D681" s="15" t="str">
        <f>IFERROR(__xludf.DUMMYFUNCTION("QUERY(TY_ALL_2023_Batch!$A$1:$E$824, ""SELECT E WHERE C='""&amp;B681&amp;""'"", 0)"),"E&amp;TC")</f>
        <v>E&amp;TC</v>
      </c>
      <c r="E681" s="15" t="s">
        <v>12844</v>
      </c>
      <c r="F681" s="15" t="s">
        <v>18229</v>
      </c>
      <c r="G681" s="15" t="s">
        <v>6743</v>
      </c>
      <c r="H681" s="15" t="s">
        <v>2826</v>
      </c>
      <c r="I681" s="17">
        <v>36794.0</v>
      </c>
      <c r="J681" s="15">
        <v>2019.0</v>
      </c>
      <c r="K681" s="15" t="s">
        <v>2786</v>
      </c>
      <c r="L681" s="15" t="s">
        <v>2787</v>
      </c>
      <c r="M681" s="18"/>
      <c r="N681" s="15" t="s">
        <v>18230</v>
      </c>
      <c r="O681" s="15" t="s">
        <v>1740</v>
      </c>
      <c r="P681" s="19" t="s">
        <v>18231</v>
      </c>
      <c r="Q681" s="15">
        <v>8.14923375E9</v>
      </c>
      <c r="R681" s="15">
        <v>8.14923375E9</v>
      </c>
      <c r="S681" s="15">
        <v>9.637279988E9</v>
      </c>
      <c r="T681" s="15" t="s">
        <v>18229</v>
      </c>
      <c r="U681" s="15" t="s">
        <v>4350</v>
      </c>
      <c r="V681" s="15" t="s">
        <v>18232</v>
      </c>
      <c r="W681" s="15" t="s">
        <v>18233</v>
      </c>
      <c r="X681" s="15">
        <v>76.4</v>
      </c>
      <c r="Y681" s="15" t="s">
        <v>2795</v>
      </c>
      <c r="Z681" s="15">
        <v>8.86</v>
      </c>
      <c r="AA681" s="15">
        <v>8.9</v>
      </c>
      <c r="AB681" s="15" t="s">
        <v>2796</v>
      </c>
      <c r="AC681" s="15" t="s">
        <v>2796</v>
      </c>
      <c r="AD681" s="15" t="s">
        <v>2796</v>
      </c>
      <c r="AE681" s="15" t="s">
        <v>2796</v>
      </c>
      <c r="AF681" s="15">
        <v>8.74</v>
      </c>
      <c r="AG681" s="15">
        <v>8.38</v>
      </c>
      <c r="AH681" s="15">
        <v>60.0</v>
      </c>
      <c r="AI681" s="18"/>
      <c r="AJ681" s="15" t="s">
        <v>2787</v>
      </c>
      <c r="AK681" s="15" t="s">
        <v>2787</v>
      </c>
      <c r="AL681" s="15">
        <v>97.66</v>
      </c>
      <c r="AM681" s="15">
        <v>93.0</v>
      </c>
      <c r="AN681" s="15" t="s">
        <v>2797</v>
      </c>
      <c r="AO681" s="18"/>
      <c r="AP681" s="18"/>
      <c r="AQ681" s="15" t="s">
        <v>18234</v>
      </c>
      <c r="AR681" s="15" t="s">
        <v>18235</v>
      </c>
      <c r="AS681" s="18"/>
      <c r="AT681" s="18"/>
      <c r="AU681" s="18"/>
      <c r="AV681" s="15" t="s">
        <v>18236</v>
      </c>
      <c r="AW681" s="15" t="s">
        <v>18237</v>
      </c>
      <c r="AX681" s="18"/>
      <c r="AY681" s="15" t="s">
        <v>18238</v>
      </c>
      <c r="AZ681" s="15" t="s">
        <v>5287</v>
      </c>
      <c r="BA681" s="15" t="s">
        <v>5552</v>
      </c>
      <c r="BB681" s="15" t="s">
        <v>4554</v>
      </c>
      <c r="BC681" s="15" t="s">
        <v>4746</v>
      </c>
      <c r="BD681" s="15" t="s">
        <v>2807</v>
      </c>
      <c r="BE681" s="15" t="s">
        <v>2796</v>
      </c>
      <c r="BF681" s="18"/>
      <c r="BG681" s="18"/>
      <c r="BH681" s="18"/>
      <c r="BI681" s="18"/>
      <c r="BJ681" s="19" t="s">
        <v>18239</v>
      </c>
      <c r="BK681" s="19" t="s">
        <v>18240</v>
      </c>
      <c r="BL681" s="18"/>
      <c r="BM681" s="18"/>
      <c r="BN681" s="19" t="s">
        <v>18241</v>
      </c>
      <c r="BO681" s="19" t="s">
        <v>18242</v>
      </c>
      <c r="BP681" s="19" t="s">
        <v>18243</v>
      </c>
      <c r="BQ681" s="26"/>
      <c r="BR681" s="26"/>
      <c r="BS681" s="26"/>
      <c r="BT681" s="26"/>
      <c r="BU681" s="26"/>
      <c r="BV681" s="26"/>
      <c r="BW681" s="26"/>
      <c r="BX681" s="26"/>
      <c r="BY681" s="18" t="str">
        <f t="shared" si="108"/>
        <v>E&amp;TC</v>
      </c>
      <c r="BZ681" s="18" t="str">
        <f t="shared" si="100"/>
        <v/>
      </c>
      <c r="CA681" s="18" t="str">
        <f t="shared" si="101"/>
        <v/>
      </c>
      <c r="CB681" s="15" t="s">
        <v>2908</v>
      </c>
      <c r="CC681" s="15" t="s">
        <v>2908</v>
      </c>
      <c r="CD681" s="25" t="s">
        <v>2797</v>
      </c>
      <c r="CE681" s="18"/>
      <c r="CF681" s="18"/>
      <c r="CG681" s="18"/>
    </row>
    <row r="682" ht="18.75" hidden="1" customHeight="1">
      <c r="A682" s="14">
        <v>44722.90731730324</v>
      </c>
      <c r="B682" s="15" t="s">
        <v>1737</v>
      </c>
      <c r="C682" s="16" t="s">
        <v>18244</v>
      </c>
      <c r="D682" s="15" t="str">
        <f>IFERROR(__xludf.DUMMYFUNCTION("QUERY(TY_ALL_2023_Batch!$A$1:$E$824, ""SELECT E WHERE C='""&amp;B682&amp;""'"", 0)"),"E&amp;TC")</f>
        <v>E&amp;TC</v>
      </c>
      <c r="E682" s="15" t="s">
        <v>18245</v>
      </c>
      <c r="F682" s="15" t="s">
        <v>5719</v>
      </c>
      <c r="G682" s="15" t="s">
        <v>6743</v>
      </c>
      <c r="H682" s="15" t="s">
        <v>2826</v>
      </c>
      <c r="I682" s="17">
        <v>36558.0</v>
      </c>
      <c r="J682" s="15">
        <v>2019.0</v>
      </c>
      <c r="K682" s="15" t="s">
        <v>2786</v>
      </c>
      <c r="L682" s="15" t="s">
        <v>2787</v>
      </c>
      <c r="M682" s="18"/>
      <c r="N682" s="15" t="s">
        <v>18246</v>
      </c>
      <c r="O682" s="15" t="s">
        <v>18247</v>
      </c>
      <c r="P682" s="19" t="s">
        <v>18248</v>
      </c>
      <c r="Q682" s="15">
        <v>9.545939949E9</v>
      </c>
      <c r="R682" s="15">
        <v>9.545939949E9</v>
      </c>
      <c r="S682" s="15">
        <v>9.921991629E9</v>
      </c>
      <c r="T682" s="15" t="s">
        <v>5719</v>
      </c>
      <c r="U682" s="15" t="s">
        <v>3333</v>
      </c>
      <c r="V682" s="15" t="s">
        <v>18249</v>
      </c>
      <c r="W682" s="15" t="s">
        <v>18250</v>
      </c>
      <c r="X682" s="15">
        <v>91.4</v>
      </c>
      <c r="Y682" s="15" t="s">
        <v>2795</v>
      </c>
      <c r="Z682" s="15">
        <v>9.29</v>
      </c>
      <c r="AA682" s="15">
        <v>9.1</v>
      </c>
      <c r="AB682" s="15" t="s">
        <v>2796</v>
      </c>
      <c r="AC682" s="15" t="s">
        <v>2796</v>
      </c>
      <c r="AD682" s="15" t="s">
        <v>2796</v>
      </c>
      <c r="AE682" s="15" t="s">
        <v>2796</v>
      </c>
      <c r="AF682" s="15">
        <v>8.57</v>
      </c>
      <c r="AG682" s="15">
        <v>8.68</v>
      </c>
      <c r="AH682" s="15">
        <v>66.62</v>
      </c>
      <c r="AI682" s="18"/>
      <c r="AJ682" s="15" t="s">
        <v>2787</v>
      </c>
      <c r="AK682" s="15" t="s">
        <v>2787</v>
      </c>
      <c r="AL682" s="15">
        <v>98.66</v>
      </c>
      <c r="AM682" s="15">
        <v>99.0</v>
      </c>
      <c r="AN682" s="15" t="s">
        <v>2797</v>
      </c>
      <c r="AO682" s="18"/>
      <c r="AP682" s="18"/>
      <c r="AQ682" s="15" t="s">
        <v>18251</v>
      </c>
      <c r="AR682" s="15" t="s">
        <v>18252</v>
      </c>
      <c r="AS682" s="15" t="s">
        <v>18253</v>
      </c>
      <c r="AT682" s="18"/>
      <c r="AU682" s="18"/>
      <c r="AV682" s="15" t="s">
        <v>18254</v>
      </c>
      <c r="AW682" s="15" t="s">
        <v>18255</v>
      </c>
      <c r="AX682" s="18"/>
      <c r="AY682" s="15" t="s">
        <v>18256</v>
      </c>
      <c r="AZ682" s="15" t="s">
        <v>5287</v>
      </c>
      <c r="BA682" s="15" t="s">
        <v>5552</v>
      </c>
      <c r="BB682" s="15" t="s">
        <v>4554</v>
      </c>
      <c r="BC682" s="15" t="s">
        <v>10154</v>
      </c>
      <c r="BD682" s="15" t="s">
        <v>2807</v>
      </c>
      <c r="BE682" s="15" t="s">
        <v>2796</v>
      </c>
      <c r="BF682" s="18"/>
      <c r="BG682" s="18"/>
      <c r="BH682" s="18"/>
      <c r="BI682" s="18"/>
      <c r="BJ682" s="19" t="s">
        <v>18257</v>
      </c>
      <c r="BK682" s="19" t="s">
        <v>18258</v>
      </c>
      <c r="BL682" s="18"/>
      <c r="BM682" s="18"/>
      <c r="BN682" s="19" t="s">
        <v>18259</v>
      </c>
      <c r="BO682" s="19" t="s">
        <v>18260</v>
      </c>
      <c r="BP682" s="19" t="s">
        <v>18261</v>
      </c>
      <c r="BQ682" s="26"/>
      <c r="BR682" s="26"/>
      <c r="BS682" s="26"/>
      <c r="BT682" s="26"/>
      <c r="BU682" s="26"/>
      <c r="BV682" s="26"/>
      <c r="BW682" s="26"/>
      <c r="BX682" s="26"/>
      <c r="BY682" s="18" t="str">
        <f t="shared" si="108"/>
        <v>E&amp;TC</v>
      </c>
      <c r="BZ682" s="18" t="str">
        <f t="shared" si="100"/>
        <v/>
      </c>
      <c r="CA682" s="18" t="str">
        <f t="shared" si="101"/>
        <v/>
      </c>
      <c r="CB682" s="15" t="s">
        <v>2908</v>
      </c>
      <c r="CC682" s="15" t="s">
        <v>2908</v>
      </c>
      <c r="CD682" s="25" t="s">
        <v>2797</v>
      </c>
      <c r="CE682" s="18"/>
      <c r="CF682" s="18"/>
      <c r="CG682" s="18"/>
    </row>
    <row r="683" ht="18.75" hidden="1" customHeight="1">
      <c r="A683" s="14">
        <v>44722.91524116899</v>
      </c>
      <c r="B683" s="15" t="s">
        <v>1767</v>
      </c>
      <c r="C683" s="16" t="s">
        <v>18262</v>
      </c>
      <c r="D683" s="15" t="str">
        <f>IFERROR(__xludf.DUMMYFUNCTION("QUERY(TY_ALL_2023_Batch!$A$1:$E$824, ""SELECT E WHERE C='""&amp;B683&amp;""'"", 0)"),"E&amp;TC")</f>
        <v>E&amp;TC</v>
      </c>
      <c r="E683" s="15" t="s">
        <v>18263</v>
      </c>
      <c r="F683" s="15" t="s">
        <v>8952</v>
      </c>
      <c r="G683" s="15" t="s">
        <v>18264</v>
      </c>
      <c r="H683" s="15" t="s">
        <v>2785</v>
      </c>
      <c r="I683" s="17">
        <v>37253.0</v>
      </c>
      <c r="J683" s="15">
        <v>2019.0</v>
      </c>
      <c r="K683" s="15" t="s">
        <v>2786</v>
      </c>
      <c r="L683" s="15" t="s">
        <v>2787</v>
      </c>
      <c r="M683" s="18"/>
      <c r="N683" s="15" t="s">
        <v>18265</v>
      </c>
      <c r="O683" s="15" t="s">
        <v>1767</v>
      </c>
      <c r="P683" s="19" t="s">
        <v>18266</v>
      </c>
      <c r="Q683" s="15">
        <v>7.378679474E9</v>
      </c>
      <c r="R683" s="15">
        <v>7.378679474E9</v>
      </c>
      <c r="S683" s="18"/>
      <c r="T683" s="15" t="s">
        <v>8952</v>
      </c>
      <c r="U683" s="15" t="s">
        <v>4099</v>
      </c>
      <c r="V683" s="15" t="s">
        <v>18267</v>
      </c>
      <c r="W683" s="18"/>
      <c r="X683" s="15">
        <v>75.0</v>
      </c>
      <c r="Y683" s="15" t="s">
        <v>2795</v>
      </c>
      <c r="Z683" s="15">
        <v>7.3</v>
      </c>
      <c r="AA683" s="15">
        <v>6.5</v>
      </c>
      <c r="AB683" s="15" t="s">
        <v>2796</v>
      </c>
      <c r="AC683" s="15" t="s">
        <v>2796</v>
      </c>
      <c r="AD683" s="15" t="s">
        <v>2796</v>
      </c>
      <c r="AE683" s="15" t="s">
        <v>2796</v>
      </c>
      <c r="AF683" s="15">
        <v>7.1</v>
      </c>
      <c r="AG683" s="15">
        <v>7.5</v>
      </c>
      <c r="AH683" s="15">
        <v>65.0</v>
      </c>
      <c r="AI683" s="18"/>
      <c r="AJ683" s="15" t="s">
        <v>2787</v>
      </c>
      <c r="AK683" s="15" t="s">
        <v>2787</v>
      </c>
      <c r="AL683" s="18"/>
      <c r="AM683" s="18"/>
      <c r="AN683" s="15" t="s">
        <v>2787</v>
      </c>
      <c r="AO683" s="18"/>
      <c r="AP683" s="18"/>
      <c r="AQ683" s="15" t="s">
        <v>18268</v>
      </c>
      <c r="AR683" s="18"/>
      <c r="AS683" s="18"/>
      <c r="AT683" s="18"/>
      <c r="AU683" s="18"/>
      <c r="AV683" s="15" t="s">
        <v>18268</v>
      </c>
      <c r="AW683" s="15" t="s">
        <v>18269</v>
      </c>
      <c r="AX683" s="18"/>
      <c r="AY683" s="15" t="s">
        <v>2796</v>
      </c>
      <c r="AZ683" s="15" t="s">
        <v>4670</v>
      </c>
      <c r="BA683" s="15" t="s">
        <v>2870</v>
      </c>
      <c r="BB683" s="15" t="s">
        <v>2807</v>
      </c>
      <c r="BC683" s="15" t="s">
        <v>3686</v>
      </c>
      <c r="BD683" s="15" t="s">
        <v>2807</v>
      </c>
      <c r="BE683" s="15" t="s">
        <v>2796</v>
      </c>
      <c r="BF683" s="18"/>
      <c r="BG683" s="18"/>
      <c r="BH683" s="18"/>
      <c r="BI683" s="18"/>
      <c r="BJ683" s="19" t="s">
        <v>18270</v>
      </c>
      <c r="BK683" s="19" t="s">
        <v>18271</v>
      </c>
      <c r="BL683" s="18"/>
      <c r="BM683" s="18"/>
      <c r="BN683" s="18"/>
      <c r="BO683" s="19" t="s">
        <v>18272</v>
      </c>
      <c r="BP683" s="19" t="s">
        <v>18273</v>
      </c>
      <c r="BQ683" s="26"/>
      <c r="BR683" s="26"/>
      <c r="BS683" s="26"/>
      <c r="BT683" s="26"/>
      <c r="BU683" s="26"/>
      <c r="BV683" s="26"/>
      <c r="BW683" s="26"/>
      <c r="BX683" s="26"/>
      <c r="BY683" s="18" t="str">
        <f t="shared" si="108"/>
        <v>E&amp;TC</v>
      </c>
      <c r="BZ683" s="18" t="str">
        <f t="shared" si="100"/>
        <v/>
      </c>
      <c r="CA683" s="18" t="str">
        <f t="shared" si="101"/>
        <v/>
      </c>
      <c r="CB683" s="15" t="s">
        <v>2908</v>
      </c>
      <c r="CC683" s="15" t="s">
        <v>2908</v>
      </c>
      <c r="CD683" s="25" t="s">
        <v>2797</v>
      </c>
      <c r="CE683" s="18"/>
      <c r="CF683" s="18"/>
      <c r="CG683" s="18"/>
    </row>
    <row r="684" ht="18.75" hidden="1" customHeight="1">
      <c r="A684" s="14">
        <v>44722.92954162037</v>
      </c>
      <c r="B684" s="15" t="s">
        <v>1959</v>
      </c>
      <c r="C684" s="16" t="s">
        <v>18274</v>
      </c>
      <c r="D684" s="15" t="str">
        <f>IFERROR(__xludf.DUMMYFUNCTION("QUERY(TY_ALL_2023_Batch!$A$1:$E$824, ""SELECT E WHERE C='""&amp;B684&amp;""'"", 0)"),"E&amp;TC")</f>
        <v>E&amp;TC</v>
      </c>
      <c r="E684" s="15" t="s">
        <v>18275</v>
      </c>
      <c r="F684" s="15" t="s">
        <v>11288</v>
      </c>
      <c r="G684" s="15" t="s">
        <v>18276</v>
      </c>
      <c r="H684" s="15" t="s">
        <v>2785</v>
      </c>
      <c r="I684" s="17">
        <v>36893.0</v>
      </c>
      <c r="J684" s="15">
        <v>2019.0</v>
      </c>
      <c r="K684" s="15" t="s">
        <v>2786</v>
      </c>
      <c r="L684" s="15" t="s">
        <v>2787</v>
      </c>
      <c r="M684" s="18"/>
      <c r="N684" s="15" t="s">
        <v>18277</v>
      </c>
      <c r="O684" s="15" t="s">
        <v>1959</v>
      </c>
      <c r="P684" s="19" t="s">
        <v>18278</v>
      </c>
      <c r="Q684" s="15">
        <v>8.459443665E9</v>
      </c>
      <c r="R684" s="15">
        <v>8.459443665E9</v>
      </c>
      <c r="S684" s="15">
        <v>8.600580074E9</v>
      </c>
      <c r="T684" s="15" t="s">
        <v>18279</v>
      </c>
      <c r="U684" s="15" t="s">
        <v>18280</v>
      </c>
      <c r="V684" s="15" t="s">
        <v>18281</v>
      </c>
      <c r="W684" s="15" t="s">
        <v>18282</v>
      </c>
      <c r="X684" s="15">
        <v>92.4</v>
      </c>
      <c r="Y684" s="15" t="s">
        <v>2795</v>
      </c>
      <c r="Z684" s="15">
        <v>7.14</v>
      </c>
      <c r="AA684" s="15">
        <v>7.34</v>
      </c>
      <c r="AB684" s="15" t="s">
        <v>2796</v>
      </c>
      <c r="AC684" s="15" t="s">
        <v>2796</v>
      </c>
      <c r="AD684" s="15" t="s">
        <v>2796</v>
      </c>
      <c r="AE684" s="15" t="s">
        <v>2796</v>
      </c>
      <c r="AF684" s="15">
        <v>8.05</v>
      </c>
      <c r="AG684" s="15">
        <v>6.67</v>
      </c>
      <c r="AH684" s="15">
        <v>72.62</v>
      </c>
      <c r="AI684" s="18"/>
      <c r="AJ684" s="15" t="s">
        <v>2787</v>
      </c>
      <c r="AK684" s="15" t="s">
        <v>2787</v>
      </c>
      <c r="AL684" s="15">
        <v>663.33</v>
      </c>
      <c r="AM684" s="15">
        <v>686.66</v>
      </c>
      <c r="AN684" s="15" t="s">
        <v>2797</v>
      </c>
      <c r="AO684" s="18"/>
      <c r="AP684" s="18"/>
      <c r="AQ684" s="15" t="s">
        <v>18283</v>
      </c>
      <c r="AR684" s="18"/>
      <c r="AS684" s="18"/>
      <c r="AT684" s="18"/>
      <c r="AU684" s="18"/>
      <c r="AV684" s="15" t="s">
        <v>18284</v>
      </c>
      <c r="AW684" s="15" t="s">
        <v>2796</v>
      </c>
      <c r="AX684" s="18"/>
      <c r="AY684" s="15" t="s">
        <v>18285</v>
      </c>
      <c r="AZ684" s="15" t="s">
        <v>4377</v>
      </c>
      <c r="BA684" s="15" t="s">
        <v>2899</v>
      </c>
      <c r="BB684" s="15" t="s">
        <v>5673</v>
      </c>
      <c r="BC684" s="15" t="s">
        <v>3686</v>
      </c>
      <c r="BD684" s="15" t="s">
        <v>2842</v>
      </c>
      <c r="BE684" s="15" t="s">
        <v>18286</v>
      </c>
      <c r="BF684" s="18"/>
      <c r="BG684" s="18"/>
      <c r="BH684" s="18"/>
      <c r="BI684" s="15" t="s">
        <v>18287</v>
      </c>
      <c r="BJ684" s="19" t="s">
        <v>18288</v>
      </c>
      <c r="BK684" s="19" t="s">
        <v>18289</v>
      </c>
      <c r="BL684" s="19" t="s">
        <v>18290</v>
      </c>
      <c r="BM684" s="19" t="s">
        <v>18291</v>
      </c>
      <c r="BN684" s="19" t="s">
        <v>18292</v>
      </c>
      <c r="BO684" s="19" t="s">
        <v>18293</v>
      </c>
      <c r="BP684" s="19" t="s">
        <v>18294</v>
      </c>
      <c r="BQ684" s="26"/>
      <c r="BR684" s="26"/>
      <c r="BS684" s="26"/>
      <c r="BT684" s="26"/>
      <c r="BU684" s="26"/>
      <c r="BV684" s="26"/>
      <c r="BW684" s="26"/>
      <c r="BX684" s="26"/>
      <c r="BY684" s="18" t="str">
        <f t="shared" si="108"/>
        <v>E&amp;TC</v>
      </c>
      <c r="BZ684" s="24" t="str">
        <f t="shared" si="100"/>
        <v>https://drive.google.com/open?id=1yHNRqdUxEaebKNUyFZyJ4sqmSGyLQMtA</v>
      </c>
      <c r="CA684" s="24" t="str">
        <f t="shared" si="101"/>
        <v>https://drive.google.com/open?id=1GmZVdFuJGJH9gejwh1zXKwC9JuhitL9I</v>
      </c>
      <c r="CB684" s="15" t="s">
        <v>2821</v>
      </c>
      <c r="CC684" s="15" t="s">
        <v>2821</v>
      </c>
      <c r="CD684" s="25" t="s">
        <v>2797</v>
      </c>
      <c r="CE684" s="18"/>
      <c r="CF684" s="18"/>
      <c r="CG684" s="18"/>
    </row>
    <row r="685" ht="18.75" hidden="1" customHeight="1">
      <c r="A685" s="14">
        <v>44722.940135219906</v>
      </c>
      <c r="B685" s="15" t="s">
        <v>1695</v>
      </c>
      <c r="C685" s="16" t="s">
        <v>18295</v>
      </c>
      <c r="D685" s="15" t="str">
        <f>IFERROR(__xludf.DUMMYFUNCTION("QUERY(TY_ALL_2023_Batch!$A$1:$E$824, ""SELECT E WHERE C='""&amp;B685&amp;""'"", 0)"),"E&amp;TC")</f>
        <v>E&amp;TC</v>
      </c>
      <c r="E685" s="15" t="s">
        <v>14175</v>
      </c>
      <c r="F685" s="15" t="s">
        <v>18296</v>
      </c>
      <c r="G685" s="15" t="s">
        <v>18297</v>
      </c>
      <c r="H685" s="15" t="s">
        <v>2785</v>
      </c>
      <c r="I685" s="17">
        <v>36972.0</v>
      </c>
      <c r="J685" s="15">
        <v>2019.0</v>
      </c>
      <c r="K685" s="15" t="s">
        <v>2786</v>
      </c>
      <c r="L685" s="15" t="s">
        <v>2787</v>
      </c>
      <c r="M685" s="18"/>
      <c r="N685" s="15" t="s">
        <v>18298</v>
      </c>
      <c r="O685" s="15" t="s">
        <v>1695</v>
      </c>
      <c r="P685" s="19" t="s">
        <v>18299</v>
      </c>
      <c r="Q685" s="15">
        <v>7.775885228E9</v>
      </c>
      <c r="R685" s="15">
        <v>7.775885228E9</v>
      </c>
      <c r="S685" s="15">
        <v>9.021117684E9</v>
      </c>
      <c r="T685" s="15" t="s">
        <v>18296</v>
      </c>
      <c r="U685" s="15" t="s">
        <v>18300</v>
      </c>
      <c r="V685" s="15" t="s">
        <v>18301</v>
      </c>
      <c r="W685" s="18"/>
      <c r="X685" s="15">
        <v>92.0</v>
      </c>
      <c r="Y685" s="15" t="s">
        <v>2795</v>
      </c>
      <c r="Z685" s="15">
        <v>8.0</v>
      </c>
      <c r="AA685" s="15">
        <v>7.96</v>
      </c>
      <c r="AB685" s="15" t="s">
        <v>3005</v>
      </c>
      <c r="AC685" s="15" t="s">
        <v>3005</v>
      </c>
      <c r="AD685" s="15" t="s">
        <v>3005</v>
      </c>
      <c r="AE685" s="15" t="s">
        <v>3005</v>
      </c>
      <c r="AF685" s="15">
        <v>6.9</v>
      </c>
      <c r="AG685" s="15">
        <v>7.89</v>
      </c>
      <c r="AH685" s="15">
        <v>63.0</v>
      </c>
      <c r="AI685" s="18"/>
      <c r="AJ685" s="15" t="s">
        <v>2787</v>
      </c>
      <c r="AK685" s="15" t="s">
        <v>2787</v>
      </c>
      <c r="AL685" s="15" t="s">
        <v>18302</v>
      </c>
      <c r="AM685" s="15">
        <v>68.0</v>
      </c>
      <c r="AN685" s="15" t="s">
        <v>2787</v>
      </c>
      <c r="AO685" s="18"/>
      <c r="AP685" s="15" t="s">
        <v>18303</v>
      </c>
      <c r="AQ685" s="15" t="s">
        <v>18304</v>
      </c>
      <c r="AR685" s="15" t="s">
        <v>18305</v>
      </c>
      <c r="AS685" s="18"/>
      <c r="AT685" s="18"/>
      <c r="AU685" s="15" t="s">
        <v>18306</v>
      </c>
      <c r="AV685" s="15" t="s">
        <v>18307</v>
      </c>
      <c r="AW685" s="15" t="s">
        <v>18308</v>
      </c>
      <c r="AX685" s="18"/>
      <c r="AY685" s="15" t="s">
        <v>5798</v>
      </c>
      <c r="AZ685" s="15" t="s">
        <v>4670</v>
      </c>
      <c r="BA685" s="15" t="s">
        <v>2806</v>
      </c>
      <c r="BB685" s="15" t="s">
        <v>2807</v>
      </c>
      <c r="BC685" s="15" t="s">
        <v>8336</v>
      </c>
      <c r="BD685" s="15" t="s">
        <v>3393</v>
      </c>
      <c r="BE685" s="15" t="s">
        <v>18309</v>
      </c>
      <c r="BF685" s="18"/>
      <c r="BG685" s="18"/>
      <c r="BH685" s="18"/>
      <c r="BI685" s="15" t="s">
        <v>18310</v>
      </c>
      <c r="BJ685" s="19" t="s">
        <v>18311</v>
      </c>
      <c r="BK685" s="19" t="s">
        <v>18312</v>
      </c>
      <c r="BL685" s="19" t="s">
        <v>18313</v>
      </c>
      <c r="BM685" s="19" t="s">
        <v>18314</v>
      </c>
      <c r="BN685" s="19" t="s">
        <v>18315</v>
      </c>
      <c r="BO685" s="19" t="s">
        <v>18316</v>
      </c>
      <c r="BP685" s="19" t="s">
        <v>18317</v>
      </c>
      <c r="BQ685" s="26"/>
      <c r="BR685" s="26"/>
      <c r="BS685" s="26"/>
      <c r="BT685" s="26"/>
      <c r="BU685" s="26"/>
      <c r="BV685" s="26"/>
      <c r="BW685" s="26"/>
      <c r="BX685" s="26"/>
      <c r="BY685" s="18" t="str">
        <f t="shared" si="108"/>
        <v>E&amp;TC</v>
      </c>
      <c r="BZ685" s="24" t="str">
        <f t="shared" si="100"/>
        <v>https://drive.google.com/open?id=1M00gTbbjAAaW6lfCK9FAaeKp-hr3L0vX</v>
      </c>
      <c r="CA685" s="24" t="str">
        <f t="shared" si="101"/>
        <v>https://drive.google.com/open?id=1gyjTljID_uV8ZqnLhmBCtl08IutZLHK5</v>
      </c>
      <c r="CB685" s="15" t="s">
        <v>2821</v>
      </c>
      <c r="CC685" s="15" t="s">
        <v>2821</v>
      </c>
      <c r="CD685" s="25" t="s">
        <v>2797</v>
      </c>
      <c r="CE685" s="18"/>
      <c r="CF685" s="18"/>
      <c r="CG685" s="18"/>
    </row>
    <row r="686" ht="18.75" hidden="1" customHeight="1">
      <c r="A686" s="14">
        <v>44722.94070131944</v>
      </c>
      <c r="B686" s="15" t="s">
        <v>2001</v>
      </c>
      <c r="C686" s="16" t="s">
        <v>18318</v>
      </c>
      <c r="D686" s="15" t="str">
        <f>IFERROR(__xludf.DUMMYFUNCTION("QUERY(TY_ALL_2023_Batch!$A$1:$E$824, ""SELECT E WHERE C='""&amp;B686&amp;""'"", 0)"),"E&amp;TC")</f>
        <v>E&amp;TC</v>
      </c>
      <c r="E686" s="15" t="s">
        <v>3097</v>
      </c>
      <c r="F686" s="15" t="s">
        <v>18319</v>
      </c>
      <c r="G686" s="15" t="s">
        <v>2973</v>
      </c>
      <c r="H686" s="15" t="s">
        <v>2785</v>
      </c>
      <c r="I686" s="17">
        <v>37246.0</v>
      </c>
      <c r="J686" s="15">
        <v>2019.0</v>
      </c>
      <c r="K686" s="15" t="s">
        <v>2786</v>
      </c>
      <c r="L686" s="15" t="s">
        <v>2787</v>
      </c>
      <c r="M686" s="18"/>
      <c r="N686" s="15" t="s">
        <v>18320</v>
      </c>
      <c r="O686" s="15" t="s">
        <v>2001</v>
      </c>
      <c r="P686" s="19" t="s">
        <v>18321</v>
      </c>
      <c r="Q686" s="15">
        <v>7.798293571E9</v>
      </c>
      <c r="R686" s="15">
        <v>7.798293571E9</v>
      </c>
      <c r="S686" s="18"/>
      <c r="T686" s="15" t="s">
        <v>18322</v>
      </c>
      <c r="U686" s="15" t="s">
        <v>18323</v>
      </c>
      <c r="V686" s="15" t="s">
        <v>18324</v>
      </c>
      <c r="W686" s="15" t="s">
        <v>18325</v>
      </c>
      <c r="X686" s="15">
        <v>80.6</v>
      </c>
      <c r="Y686" s="15" t="s">
        <v>2795</v>
      </c>
      <c r="Z686" s="15">
        <v>7.9</v>
      </c>
      <c r="AA686" s="15">
        <v>8.3</v>
      </c>
      <c r="AB686" s="15" t="s">
        <v>3005</v>
      </c>
      <c r="AC686" s="15" t="s">
        <v>3005</v>
      </c>
      <c r="AD686" s="15" t="s">
        <v>3005</v>
      </c>
      <c r="AE686" s="15" t="s">
        <v>3005</v>
      </c>
      <c r="AF686" s="15">
        <v>8.9</v>
      </c>
      <c r="AG686" s="15">
        <v>9.11</v>
      </c>
      <c r="AH686" s="15">
        <v>74.6</v>
      </c>
      <c r="AI686" s="18"/>
      <c r="AJ686" s="15" t="s">
        <v>2787</v>
      </c>
      <c r="AK686" s="15" t="s">
        <v>2787</v>
      </c>
      <c r="AL686" s="15">
        <v>610.0</v>
      </c>
      <c r="AM686" s="15">
        <v>670.0</v>
      </c>
      <c r="AN686" s="15" t="s">
        <v>2797</v>
      </c>
      <c r="AO686" s="18"/>
      <c r="AP686" s="18"/>
      <c r="AQ686" s="15" t="s">
        <v>18326</v>
      </c>
      <c r="AR686" s="18"/>
      <c r="AS686" s="18"/>
      <c r="AT686" s="18"/>
      <c r="AU686" s="18"/>
      <c r="AV686" s="18"/>
      <c r="AW686" s="15" t="s">
        <v>18326</v>
      </c>
      <c r="AX686" s="18"/>
      <c r="AY686" s="15" t="s">
        <v>12751</v>
      </c>
      <c r="AZ686" s="15" t="s">
        <v>5625</v>
      </c>
      <c r="BA686" s="15" t="s">
        <v>5552</v>
      </c>
      <c r="BB686" s="15" t="s">
        <v>4484</v>
      </c>
      <c r="BC686" s="15" t="s">
        <v>3686</v>
      </c>
      <c r="BD686" s="15" t="s">
        <v>2807</v>
      </c>
      <c r="BE686" s="15" t="s">
        <v>2796</v>
      </c>
      <c r="BF686" s="18"/>
      <c r="BG686" s="18"/>
      <c r="BH686" s="18"/>
      <c r="BI686" s="15" t="s">
        <v>18327</v>
      </c>
      <c r="BJ686" s="19" t="s">
        <v>18328</v>
      </c>
      <c r="BK686" s="19" t="s">
        <v>18329</v>
      </c>
      <c r="BL686" s="18"/>
      <c r="BM686" s="18"/>
      <c r="BN686" s="18"/>
      <c r="BO686" s="19" t="s">
        <v>18330</v>
      </c>
      <c r="BP686" s="19" t="s">
        <v>18331</v>
      </c>
      <c r="BQ686" s="26"/>
      <c r="BR686" s="26"/>
      <c r="BS686" s="26"/>
      <c r="BT686" s="26"/>
      <c r="BU686" s="26"/>
      <c r="BV686" s="26"/>
      <c r="BW686" s="26"/>
      <c r="BX686" s="26"/>
      <c r="BY686" s="18" t="str">
        <f t="shared" si="108"/>
        <v>E&amp;TC</v>
      </c>
      <c r="BZ686" s="18" t="str">
        <f t="shared" si="100"/>
        <v/>
      </c>
      <c r="CA686" s="18" t="str">
        <f t="shared" si="101"/>
        <v/>
      </c>
      <c r="CB686" s="15" t="s">
        <v>2908</v>
      </c>
      <c r="CC686" s="15" t="s">
        <v>2908</v>
      </c>
      <c r="CD686" s="25" t="s">
        <v>2797</v>
      </c>
      <c r="CE686" s="18"/>
      <c r="CF686" s="18"/>
      <c r="CG686" s="18"/>
    </row>
    <row r="687" ht="18.75" hidden="1" customHeight="1">
      <c r="A687" s="14">
        <v>44722.940766238426</v>
      </c>
      <c r="B687" s="15" t="s">
        <v>1719</v>
      </c>
      <c r="C687" s="16" t="s">
        <v>18332</v>
      </c>
      <c r="D687" s="15" t="str">
        <f>IFERROR(__xludf.DUMMYFUNCTION("QUERY(TY_ALL_2023_Batch!$A$1:$E$824, ""SELECT E WHERE C='""&amp;B687&amp;""'"", 0)"),"E&amp;TC")</f>
        <v>E&amp;TC</v>
      </c>
      <c r="E687" s="15" t="s">
        <v>9768</v>
      </c>
      <c r="F687" s="15" t="s">
        <v>5406</v>
      </c>
      <c r="G687" s="15" t="s">
        <v>18333</v>
      </c>
      <c r="H687" s="15" t="s">
        <v>2785</v>
      </c>
      <c r="I687" s="17">
        <v>37203.0</v>
      </c>
      <c r="J687" s="15">
        <v>2019.0</v>
      </c>
      <c r="K687" s="15" t="s">
        <v>2786</v>
      </c>
      <c r="L687" s="15" t="s">
        <v>2787</v>
      </c>
      <c r="M687" s="18"/>
      <c r="N687" s="15" t="s">
        <v>18334</v>
      </c>
      <c r="O687" s="15" t="s">
        <v>1719</v>
      </c>
      <c r="P687" s="19" t="s">
        <v>18335</v>
      </c>
      <c r="Q687" s="15">
        <v>7.709177583E9</v>
      </c>
      <c r="R687" s="15">
        <v>7.709177583E9</v>
      </c>
      <c r="S687" s="15">
        <v>9.370549846E9</v>
      </c>
      <c r="T687" s="15" t="s">
        <v>5406</v>
      </c>
      <c r="U687" s="15" t="s">
        <v>3333</v>
      </c>
      <c r="V687" s="15" t="s">
        <v>18336</v>
      </c>
      <c r="W687" s="15" t="s">
        <v>18337</v>
      </c>
      <c r="X687" s="15">
        <v>89.0</v>
      </c>
      <c r="Y687" s="15" t="s">
        <v>2795</v>
      </c>
      <c r="Z687" s="15">
        <v>7.38</v>
      </c>
      <c r="AA687" s="15">
        <v>6.9</v>
      </c>
      <c r="AB687" s="15" t="s">
        <v>2796</v>
      </c>
      <c r="AC687" s="15" t="s">
        <v>2796</v>
      </c>
      <c r="AD687" s="15" t="s">
        <v>2796</v>
      </c>
      <c r="AE687" s="15" t="s">
        <v>2796</v>
      </c>
      <c r="AF687" s="15">
        <v>6.89</v>
      </c>
      <c r="AG687" s="15">
        <v>5.81</v>
      </c>
      <c r="AH687" s="15">
        <v>82.31</v>
      </c>
      <c r="AI687" s="18"/>
      <c r="AJ687" s="15" t="s">
        <v>2787</v>
      </c>
      <c r="AK687" s="15" t="s">
        <v>2787</v>
      </c>
      <c r="AL687" s="15" t="s">
        <v>18338</v>
      </c>
      <c r="AM687" s="15" t="s">
        <v>18339</v>
      </c>
      <c r="AN687" s="15" t="s">
        <v>2787</v>
      </c>
      <c r="AO687" s="18"/>
      <c r="AP687" s="15" t="s">
        <v>18340</v>
      </c>
      <c r="AQ687" s="15" t="s">
        <v>14996</v>
      </c>
      <c r="AR687" s="18"/>
      <c r="AS687" s="15" t="s">
        <v>18341</v>
      </c>
      <c r="AT687" s="18"/>
      <c r="AU687" s="18"/>
      <c r="AV687" s="15" t="s">
        <v>18342</v>
      </c>
      <c r="AW687" s="15" t="s">
        <v>18343</v>
      </c>
      <c r="AX687" s="18"/>
      <c r="AY687" s="15" t="s">
        <v>18344</v>
      </c>
      <c r="AZ687" s="15" t="s">
        <v>4670</v>
      </c>
      <c r="BA687" s="15" t="s">
        <v>5552</v>
      </c>
      <c r="BB687" s="15" t="s">
        <v>2807</v>
      </c>
      <c r="BC687" s="15" t="s">
        <v>8336</v>
      </c>
      <c r="BD687" s="15" t="s">
        <v>2807</v>
      </c>
      <c r="BE687" s="15" t="s">
        <v>18345</v>
      </c>
      <c r="BF687" s="18"/>
      <c r="BG687" s="18"/>
      <c r="BH687" s="18"/>
      <c r="BI687" s="18"/>
      <c r="BJ687" s="19" t="s">
        <v>18346</v>
      </c>
      <c r="BK687" s="19" t="s">
        <v>18347</v>
      </c>
      <c r="BL687" s="19" t="s">
        <v>18348</v>
      </c>
      <c r="BM687" s="19" t="s">
        <v>18349</v>
      </c>
      <c r="BN687" s="19" t="s">
        <v>18350</v>
      </c>
      <c r="BO687" s="19" t="s">
        <v>18351</v>
      </c>
      <c r="BP687" s="18"/>
      <c r="BQ687" s="18"/>
      <c r="BR687" s="18"/>
      <c r="BS687" s="18"/>
      <c r="BT687" s="18"/>
      <c r="BU687" s="18"/>
      <c r="BV687" s="18"/>
      <c r="BW687" s="18"/>
      <c r="BX687" s="18"/>
      <c r="BY687" s="18" t="str">
        <f t="shared" si="108"/>
        <v>E&amp;TC</v>
      </c>
      <c r="BZ687" s="24" t="str">
        <f t="shared" si="100"/>
        <v>https://drive.google.com/open?id=1Fbmn7_XwD7Z9KSgWClCIe7IZPeYiKhXD</v>
      </c>
      <c r="CA687" s="24" t="str">
        <f t="shared" si="101"/>
        <v>https://drive.google.com/open?id=1zixx1Lx-Lk05-HuFG16PFCETeQzdjxDn</v>
      </c>
      <c r="CB687" s="15" t="s">
        <v>2821</v>
      </c>
      <c r="CC687" s="15" t="s">
        <v>2821</v>
      </c>
      <c r="CD687" s="25" t="s">
        <v>2797</v>
      </c>
      <c r="CE687" s="18"/>
      <c r="CF687" s="18"/>
      <c r="CG687" s="18"/>
    </row>
    <row r="688" ht="18.75" hidden="1" customHeight="1">
      <c r="A688" s="14">
        <v>44722.942602361116</v>
      </c>
      <c r="B688" s="15" t="s">
        <v>1848</v>
      </c>
      <c r="C688" s="16" t="s">
        <v>18352</v>
      </c>
      <c r="D688" s="15" t="str">
        <f>IFERROR(__xludf.DUMMYFUNCTION("QUERY(TY_ALL_2023_Batch!$A$1:$E$824, ""SELECT E WHERE C='""&amp;B688&amp;""'"", 0)"),"E&amp;TC")</f>
        <v>E&amp;TC</v>
      </c>
      <c r="E688" s="15" t="s">
        <v>6181</v>
      </c>
      <c r="F688" s="15" t="s">
        <v>4134</v>
      </c>
      <c r="G688" s="15" t="s">
        <v>13539</v>
      </c>
      <c r="H688" s="15" t="s">
        <v>2785</v>
      </c>
      <c r="I688" s="17">
        <v>37327.0</v>
      </c>
      <c r="J688" s="15">
        <v>2019.0</v>
      </c>
      <c r="K688" s="15" t="s">
        <v>2786</v>
      </c>
      <c r="L688" s="15" t="s">
        <v>2797</v>
      </c>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t="str">
        <f t="shared" si="108"/>
        <v>E&amp;TC</v>
      </c>
      <c r="BZ688" s="18" t="str">
        <f t="shared" si="100"/>
        <v/>
      </c>
      <c r="CA688" s="18" t="str">
        <f t="shared" si="101"/>
        <v/>
      </c>
      <c r="CB688" s="15" t="s">
        <v>2908</v>
      </c>
      <c r="CC688" s="15" t="s">
        <v>2908</v>
      </c>
      <c r="CD688" s="25" t="s">
        <v>2797</v>
      </c>
      <c r="CE688" s="18"/>
      <c r="CF688" s="18"/>
      <c r="CG688" s="18"/>
    </row>
    <row r="689" ht="18.75" hidden="1" customHeight="1">
      <c r="A689" s="14">
        <v>44722.95320459491</v>
      </c>
      <c r="B689" s="15" t="s">
        <v>1713</v>
      </c>
      <c r="C689" s="16" t="s">
        <v>18353</v>
      </c>
      <c r="D689" s="15" t="str">
        <f>IFERROR(__xludf.DUMMYFUNCTION("QUERY(TY_ALL_2023_Batch!$A$1:$E$824, ""SELECT E WHERE C='""&amp;B689&amp;""'"", 0)"),"E&amp;TC")</f>
        <v>E&amp;TC</v>
      </c>
      <c r="E689" s="15" t="s">
        <v>3097</v>
      </c>
      <c r="F689" s="15" t="s">
        <v>3526</v>
      </c>
      <c r="G689" s="15" t="s">
        <v>18354</v>
      </c>
      <c r="H689" s="15" t="s">
        <v>2785</v>
      </c>
      <c r="I689" s="17">
        <v>36581.0</v>
      </c>
      <c r="J689" s="15">
        <v>2019.0</v>
      </c>
      <c r="K689" s="15" t="s">
        <v>2786</v>
      </c>
      <c r="L689" s="15" t="s">
        <v>2787</v>
      </c>
      <c r="M689" s="18"/>
      <c r="N689" s="15" t="s">
        <v>18355</v>
      </c>
      <c r="O689" s="15" t="s">
        <v>1713</v>
      </c>
      <c r="P689" s="19" t="s">
        <v>18356</v>
      </c>
      <c r="Q689" s="15">
        <v>9.860679563E9</v>
      </c>
      <c r="R689" s="15">
        <v>8.20871196E9</v>
      </c>
      <c r="S689" s="18"/>
      <c r="T689" s="15" t="s">
        <v>18357</v>
      </c>
      <c r="U689" s="15" t="s">
        <v>18358</v>
      </c>
      <c r="V689" s="15" t="s">
        <v>18359</v>
      </c>
      <c r="W689" s="15" t="s">
        <v>18360</v>
      </c>
      <c r="X689" s="15">
        <v>84.28</v>
      </c>
      <c r="Y689" s="15" t="s">
        <v>2795</v>
      </c>
      <c r="Z689" s="15">
        <v>8.76</v>
      </c>
      <c r="AA689" s="15">
        <v>9.3</v>
      </c>
      <c r="AB689" s="15" t="s">
        <v>2796</v>
      </c>
      <c r="AC689" s="15" t="s">
        <v>2796</v>
      </c>
      <c r="AD689" s="15" t="s">
        <v>2796</v>
      </c>
      <c r="AE689" s="15" t="s">
        <v>2796</v>
      </c>
      <c r="AF689" s="15">
        <v>9.16</v>
      </c>
      <c r="AG689" s="15">
        <v>9.58</v>
      </c>
      <c r="AH689" s="15">
        <v>83.54</v>
      </c>
      <c r="AI689" s="18"/>
      <c r="AJ689" s="15" t="s">
        <v>2787</v>
      </c>
      <c r="AK689" s="15" t="s">
        <v>2787</v>
      </c>
      <c r="AL689" s="15">
        <v>684.0</v>
      </c>
      <c r="AM689" s="15">
        <v>690.0</v>
      </c>
      <c r="AN689" s="15" t="s">
        <v>2797</v>
      </c>
      <c r="AO689" s="18"/>
      <c r="AP689" s="18"/>
      <c r="AQ689" s="15" t="s">
        <v>5356</v>
      </c>
      <c r="AR689" s="15" t="s">
        <v>6143</v>
      </c>
      <c r="AS689" s="18"/>
      <c r="AT689" s="18"/>
      <c r="AU689" s="18"/>
      <c r="AV689" s="15" t="s">
        <v>18361</v>
      </c>
      <c r="AW689" s="15" t="s">
        <v>18362</v>
      </c>
      <c r="AX689" s="18"/>
      <c r="AY689" s="15" t="s">
        <v>18363</v>
      </c>
      <c r="AZ689" s="15" t="s">
        <v>5287</v>
      </c>
      <c r="BA689" s="15" t="s">
        <v>5552</v>
      </c>
      <c r="BB689" s="15" t="s">
        <v>3109</v>
      </c>
      <c r="BC689" s="15" t="s">
        <v>4746</v>
      </c>
      <c r="BD689" s="15" t="s">
        <v>2807</v>
      </c>
      <c r="BE689" s="15" t="s">
        <v>18364</v>
      </c>
      <c r="BF689" s="18"/>
      <c r="BG689" s="18"/>
      <c r="BH689" s="15" t="s">
        <v>18365</v>
      </c>
      <c r="BI689" s="18"/>
      <c r="BJ689" s="19" t="s">
        <v>18366</v>
      </c>
      <c r="BK689" s="19" t="s">
        <v>18367</v>
      </c>
      <c r="BL689" s="19" t="s">
        <v>18368</v>
      </c>
      <c r="BM689" s="18"/>
      <c r="BN689" s="19" t="s">
        <v>18369</v>
      </c>
      <c r="BO689" s="19" t="s">
        <v>18370</v>
      </c>
      <c r="BP689" s="19" t="s">
        <v>18371</v>
      </c>
      <c r="BQ689" s="26"/>
      <c r="BR689" s="26"/>
      <c r="BS689" s="26"/>
      <c r="BT689" s="26"/>
      <c r="BU689" s="26"/>
      <c r="BV689" s="26"/>
      <c r="BW689" s="26"/>
      <c r="BX689" s="26"/>
      <c r="BY689" s="18" t="str">
        <f t="shared" si="108"/>
        <v>E&amp;TC</v>
      </c>
      <c r="BZ689" s="24" t="str">
        <f t="shared" si="100"/>
        <v>https://drive.google.com/open?id=1SGqqc9biqqxEXxDl6rWRrkfBCTO_EnOP</v>
      </c>
      <c r="CA689" s="18" t="str">
        <f t="shared" si="101"/>
        <v/>
      </c>
      <c r="CB689" s="15" t="s">
        <v>3599</v>
      </c>
      <c r="CC689" s="15" t="s">
        <v>2908</v>
      </c>
      <c r="CD689" s="25" t="s">
        <v>2797</v>
      </c>
      <c r="CE689" s="18"/>
      <c r="CF689" s="18"/>
      <c r="CG689" s="18"/>
    </row>
    <row r="690" ht="18.75" hidden="1" customHeight="1">
      <c r="A690" s="14">
        <v>44722.954842604166</v>
      </c>
      <c r="B690" s="15" t="s">
        <v>1659</v>
      </c>
      <c r="C690" s="16" t="s">
        <v>18372</v>
      </c>
      <c r="D690" s="15" t="str">
        <f>IFERROR(__xludf.DUMMYFUNCTION("QUERY(TY_ALL_2023_Batch!$A$1:$E$824, ""SELECT E WHERE C='""&amp;B690&amp;""'"", 0)"),"E&amp;TC")</f>
        <v>E&amp;TC</v>
      </c>
      <c r="E690" s="15" t="s">
        <v>8585</v>
      </c>
      <c r="F690" s="15" t="s">
        <v>11829</v>
      </c>
      <c r="G690" s="15" t="s">
        <v>18373</v>
      </c>
      <c r="H690" s="15" t="s">
        <v>2785</v>
      </c>
      <c r="I690" s="17">
        <v>37065.0</v>
      </c>
      <c r="J690" s="15">
        <v>2019.0</v>
      </c>
      <c r="K690" s="15" t="s">
        <v>2786</v>
      </c>
      <c r="L690" s="15" t="s">
        <v>2787</v>
      </c>
      <c r="M690" s="18"/>
      <c r="N690" s="15" t="s">
        <v>18374</v>
      </c>
      <c r="O690" s="15" t="s">
        <v>1659</v>
      </c>
      <c r="P690" s="19" t="s">
        <v>18375</v>
      </c>
      <c r="Q690" s="15">
        <v>8.888134855E9</v>
      </c>
      <c r="R690" s="15">
        <v>8.888134855E9</v>
      </c>
      <c r="S690" s="18"/>
      <c r="T690" s="15" t="s">
        <v>18376</v>
      </c>
      <c r="U690" s="15" t="s">
        <v>18377</v>
      </c>
      <c r="V690" s="15" t="s">
        <v>18378</v>
      </c>
      <c r="W690" s="18"/>
      <c r="X690" s="15">
        <v>89.0</v>
      </c>
      <c r="Y690" s="15" t="s">
        <v>2795</v>
      </c>
      <c r="Z690" s="15">
        <v>7.86</v>
      </c>
      <c r="AA690" s="15">
        <v>7.75</v>
      </c>
      <c r="AB690" s="15" t="s">
        <v>2796</v>
      </c>
      <c r="AC690" s="15" t="s">
        <v>2796</v>
      </c>
      <c r="AD690" s="15" t="s">
        <v>2796</v>
      </c>
      <c r="AE690" s="15" t="s">
        <v>2796</v>
      </c>
      <c r="AF690" s="15">
        <v>7.86</v>
      </c>
      <c r="AG690" s="15">
        <v>7.63</v>
      </c>
      <c r="AH690" s="15">
        <v>64.31</v>
      </c>
      <c r="AI690" s="18"/>
      <c r="AJ690" s="15" t="s">
        <v>2787</v>
      </c>
      <c r="AK690" s="15" t="s">
        <v>2787</v>
      </c>
      <c r="AL690" s="15">
        <v>565.0</v>
      </c>
      <c r="AM690" s="15">
        <v>531.0</v>
      </c>
      <c r="AN690" s="15" t="s">
        <v>2787</v>
      </c>
      <c r="AO690" s="18"/>
      <c r="AP690" s="18"/>
      <c r="AQ690" s="15" t="s">
        <v>18379</v>
      </c>
      <c r="AR690" s="18"/>
      <c r="AS690" s="15" t="s">
        <v>18380</v>
      </c>
      <c r="AT690" s="15" t="s">
        <v>18381</v>
      </c>
      <c r="AU690" s="18"/>
      <c r="AV690" s="15" t="s">
        <v>18382</v>
      </c>
      <c r="AW690" s="15" t="s">
        <v>18383</v>
      </c>
      <c r="AX690" s="18"/>
      <c r="AY690" s="15" t="s">
        <v>18384</v>
      </c>
      <c r="AZ690" s="15" t="s">
        <v>4670</v>
      </c>
      <c r="BA690" s="15" t="s">
        <v>8441</v>
      </c>
      <c r="BB690" s="15" t="s">
        <v>8142</v>
      </c>
      <c r="BC690" s="15" t="s">
        <v>4746</v>
      </c>
      <c r="BD690" s="15" t="s">
        <v>2842</v>
      </c>
      <c r="BE690" s="15" t="s">
        <v>18385</v>
      </c>
      <c r="BF690" s="18"/>
      <c r="BG690" s="15" t="s">
        <v>18386</v>
      </c>
      <c r="BH690" s="18"/>
      <c r="BI690" s="15" t="s">
        <v>18387</v>
      </c>
      <c r="BJ690" s="19" t="s">
        <v>18388</v>
      </c>
      <c r="BK690" s="19" t="s">
        <v>18389</v>
      </c>
      <c r="BL690" s="18"/>
      <c r="BM690" s="18"/>
      <c r="BN690" s="18"/>
      <c r="BO690" s="19" t="s">
        <v>18390</v>
      </c>
      <c r="BP690" s="19" t="s">
        <v>18391</v>
      </c>
      <c r="BQ690" s="26"/>
      <c r="BR690" s="26"/>
      <c r="BS690" s="26"/>
      <c r="BT690" s="26"/>
      <c r="BU690" s="26"/>
      <c r="BV690" s="26"/>
      <c r="BW690" s="26"/>
      <c r="BX690" s="26"/>
      <c r="BY690" s="18" t="str">
        <f t="shared" si="108"/>
        <v>E&amp;TC</v>
      </c>
      <c r="BZ690" s="18" t="str">
        <f t="shared" si="100"/>
        <v/>
      </c>
      <c r="CA690" s="18" t="str">
        <f t="shared" si="101"/>
        <v/>
      </c>
      <c r="CB690" s="15" t="s">
        <v>2908</v>
      </c>
      <c r="CC690" s="15" t="s">
        <v>2908</v>
      </c>
      <c r="CD690" s="25" t="s">
        <v>2797</v>
      </c>
      <c r="CE690" s="18"/>
      <c r="CF690" s="18"/>
      <c r="CG690" s="18"/>
    </row>
    <row r="691" ht="18.75" hidden="1" customHeight="1">
      <c r="A691" s="14">
        <v>44722.956929120366</v>
      </c>
      <c r="B691" s="15" t="s">
        <v>1950</v>
      </c>
      <c r="C691" s="16" t="s">
        <v>18392</v>
      </c>
      <c r="D691" s="15" t="str">
        <f>IFERROR(__xludf.DUMMYFUNCTION("QUERY(TY_ALL_2023_Batch!$A$1:$E$824, ""SELECT E WHERE C='""&amp;B691&amp;""'"", 0)"),"E&amp;TC")</f>
        <v>E&amp;TC</v>
      </c>
      <c r="E691" s="15" t="s">
        <v>4182</v>
      </c>
      <c r="F691" s="18"/>
      <c r="G691" s="15" t="s">
        <v>18393</v>
      </c>
      <c r="H691" s="15" t="s">
        <v>2826</v>
      </c>
      <c r="I691" s="17">
        <v>36826.0</v>
      </c>
      <c r="J691" s="15">
        <v>2019.0</v>
      </c>
      <c r="K691" s="15" t="s">
        <v>2786</v>
      </c>
      <c r="L691" s="15" t="s">
        <v>2787</v>
      </c>
      <c r="M691" s="18"/>
      <c r="N691" s="15" t="s">
        <v>18394</v>
      </c>
      <c r="O691" s="15" t="s">
        <v>1950</v>
      </c>
      <c r="P691" s="19" t="s">
        <v>18395</v>
      </c>
      <c r="Q691" s="15">
        <v>9.622062917E9</v>
      </c>
      <c r="R691" s="15">
        <v>9.622062917E9</v>
      </c>
      <c r="S691" s="18"/>
      <c r="T691" s="15" t="s">
        <v>18396</v>
      </c>
      <c r="U691" s="15" t="s">
        <v>18397</v>
      </c>
      <c r="V691" s="15" t="s">
        <v>18398</v>
      </c>
      <c r="W691" s="15" t="s">
        <v>18233</v>
      </c>
      <c r="X691" s="15">
        <v>89.3</v>
      </c>
      <c r="Y691" s="15" t="s">
        <v>2795</v>
      </c>
      <c r="Z691" s="15">
        <v>8.67</v>
      </c>
      <c r="AA691" s="15">
        <v>8.8</v>
      </c>
      <c r="AB691" s="15" t="s">
        <v>2796</v>
      </c>
      <c r="AC691" s="15" t="s">
        <v>2796</v>
      </c>
      <c r="AD691" s="15" t="s">
        <v>2796</v>
      </c>
      <c r="AE691" s="15" t="s">
        <v>2796</v>
      </c>
      <c r="AF691" s="15">
        <v>9.05</v>
      </c>
      <c r="AG691" s="15">
        <v>7.95</v>
      </c>
      <c r="AH691" s="15">
        <v>72.0</v>
      </c>
      <c r="AI691" s="18"/>
      <c r="AJ691" s="15" t="s">
        <v>2787</v>
      </c>
      <c r="AK691" s="15" t="s">
        <v>2787</v>
      </c>
      <c r="AL691" s="15">
        <v>97.0</v>
      </c>
      <c r="AM691" s="15">
        <v>95.0</v>
      </c>
      <c r="AN691" s="15" t="s">
        <v>2797</v>
      </c>
      <c r="AO691" s="18"/>
      <c r="AP691" s="18"/>
      <c r="AQ691" s="15" t="s">
        <v>18399</v>
      </c>
      <c r="AR691" s="15" t="s">
        <v>18400</v>
      </c>
      <c r="AS691" s="18"/>
      <c r="AT691" s="18"/>
      <c r="AU691" s="18"/>
      <c r="AV691" s="15" t="s">
        <v>18401</v>
      </c>
      <c r="AW691" s="15" t="s">
        <v>18402</v>
      </c>
      <c r="AX691" s="18"/>
      <c r="AY691" s="15" t="s">
        <v>18403</v>
      </c>
      <c r="AZ691" s="15" t="s">
        <v>5287</v>
      </c>
      <c r="BA691" s="15" t="s">
        <v>2839</v>
      </c>
      <c r="BB691" s="15" t="s">
        <v>4484</v>
      </c>
      <c r="BC691" s="15" t="s">
        <v>4746</v>
      </c>
      <c r="BD691" s="15" t="s">
        <v>2807</v>
      </c>
      <c r="BE691" s="15" t="s">
        <v>2796</v>
      </c>
      <c r="BF691" s="18"/>
      <c r="BG691" s="18"/>
      <c r="BH691" s="18"/>
      <c r="BI691" s="18"/>
      <c r="BJ691" s="19" t="s">
        <v>18404</v>
      </c>
      <c r="BK691" s="19" t="s">
        <v>18405</v>
      </c>
      <c r="BL691" s="18"/>
      <c r="BM691" s="18"/>
      <c r="BN691" s="19" t="s">
        <v>18406</v>
      </c>
      <c r="BO691" s="19" t="s">
        <v>18407</v>
      </c>
      <c r="BP691" s="18"/>
      <c r="BQ691" s="18"/>
      <c r="BR691" s="18"/>
      <c r="BS691" s="18"/>
      <c r="BT691" s="18"/>
      <c r="BU691" s="18"/>
      <c r="BV691" s="18"/>
      <c r="BW691" s="18"/>
      <c r="BX691" s="18"/>
      <c r="BY691" s="18" t="str">
        <f t="shared" si="108"/>
        <v>E&amp;TC</v>
      </c>
      <c r="BZ691" s="18" t="str">
        <f t="shared" si="100"/>
        <v/>
      </c>
      <c r="CA691" s="18" t="str">
        <f t="shared" si="101"/>
        <v/>
      </c>
      <c r="CB691" s="15" t="s">
        <v>2908</v>
      </c>
      <c r="CC691" s="15" t="s">
        <v>2908</v>
      </c>
      <c r="CD691" s="25" t="s">
        <v>2797</v>
      </c>
      <c r="CE691" s="18"/>
      <c r="CF691" s="18"/>
      <c r="CG691" s="18"/>
    </row>
    <row r="692" ht="18.75" hidden="1" customHeight="1">
      <c r="A692" s="14">
        <v>44722.95807728009</v>
      </c>
      <c r="B692" s="15" t="s">
        <v>1899</v>
      </c>
      <c r="C692" s="16" t="s">
        <v>18408</v>
      </c>
      <c r="D692" s="15" t="str">
        <f>IFERROR(__xludf.DUMMYFUNCTION("QUERY(TY_ALL_2023_Batch!$A$1:$E$824, ""SELECT E WHERE C='""&amp;B692&amp;""'"", 0)"),"E&amp;TC")</f>
        <v>E&amp;TC</v>
      </c>
      <c r="E692" s="15" t="s">
        <v>6245</v>
      </c>
      <c r="F692" s="15" t="s">
        <v>18409</v>
      </c>
      <c r="G692" s="15" t="s">
        <v>4471</v>
      </c>
      <c r="H692" s="15" t="s">
        <v>2826</v>
      </c>
      <c r="I692" s="17">
        <v>36931.0</v>
      </c>
      <c r="J692" s="15">
        <v>2019.0</v>
      </c>
      <c r="K692" s="15" t="s">
        <v>2786</v>
      </c>
      <c r="L692" s="15" t="s">
        <v>2787</v>
      </c>
      <c r="M692" s="18"/>
      <c r="N692" s="15" t="s">
        <v>18410</v>
      </c>
      <c r="O692" s="15" t="s">
        <v>1899</v>
      </c>
      <c r="P692" s="19" t="s">
        <v>18411</v>
      </c>
      <c r="Q692" s="15">
        <v>9.307781766E9</v>
      </c>
      <c r="R692" s="15">
        <v>9.307781766E9</v>
      </c>
      <c r="S692" s="15">
        <v>9.404957123E9</v>
      </c>
      <c r="T692" s="15" t="s">
        <v>18412</v>
      </c>
      <c r="U692" s="15" t="s">
        <v>12385</v>
      </c>
      <c r="V692" s="15" t="s">
        <v>18413</v>
      </c>
      <c r="W692" s="15" t="s">
        <v>18414</v>
      </c>
      <c r="X692" s="15">
        <v>96.2</v>
      </c>
      <c r="Y692" s="15" t="s">
        <v>2795</v>
      </c>
      <c r="Z692" s="15">
        <v>8.38</v>
      </c>
      <c r="AA692" s="15">
        <v>8.75</v>
      </c>
      <c r="AB692" s="15" t="s">
        <v>2796</v>
      </c>
      <c r="AC692" s="15" t="s">
        <v>2796</v>
      </c>
      <c r="AD692" s="15" t="s">
        <v>2796</v>
      </c>
      <c r="AE692" s="15" t="s">
        <v>2796</v>
      </c>
      <c r="AF692" s="15">
        <v>8.26</v>
      </c>
      <c r="AG692" s="15">
        <v>8.48</v>
      </c>
      <c r="AH692" s="15">
        <v>66.0</v>
      </c>
      <c r="AI692" s="18"/>
      <c r="AJ692" s="15" t="s">
        <v>2787</v>
      </c>
      <c r="AK692" s="15" t="s">
        <v>2787</v>
      </c>
      <c r="AL692" s="18"/>
      <c r="AM692" s="18"/>
      <c r="AN692" s="15" t="s">
        <v>2787</v>
      </c>
      <c r="AO692" s="18"/>
      <c r="AP692" s="15" t="s">
        <v>18415</v>
      </c>
      <c r="AQ692" s="15" t="s">
        <v>18416</v>
      </c>
      <c r="AR692" s="15" t="s">
        <v>18417</v>
      </c>
      <c r="AS692" s="15" t="s">
        <v>18418</v>
      </c>
      <c r="AT692" s="18"/>
      <c r="AU692" s="18"/>
      <c r="AV692" s="18"/>
      <c r="AW692" s="15" t="s">
        <v>18419</v>
      </c>
      <c r="AX692" s="15" t="s">
        <v>3313</v>
      </c>
      <c r="AY692" s="15" t="s">
        <v>18420</v>
      </c>
      <c r="AZ692" s="15" t="s">
        <v>4670</v>
      </c>
      <c r="BA692" s="15" t="s">
        <v>5552</v>
      </c>
      <c r="BB692" s="15" t="s">
        <v>5673</v>
      </c>
      <c r="BC692" s="15" t="s">
        <v>3686</v>
      </c>
      <c r="BD692" s="15" t="s">
        <v>2842</v>
      </c>
      <c r="BE692" s="15" t="s">
        <v>2796</v>
      </c>
      <c r="BF692" s="18"/>
      <c r="BG692" s="18"/>
      <c r="BH692" s="15" t="s">
        <v>18421</v>
      </c>
      <c r="BI692" s="15" t="s">
        <v>18422</v>
      </c>
      <c r="BJ692" s="19" t="s">
        <v>18423</v>
      </c>
      <c r="BK692" s="19" t="s">
        <v>18424</v>
      </c>
      <c r="BL692" s="18"/>
      <c r="BM692" s="18"/>
      <c r="BN692" s="18"/>
      <c r="BO692" s="19" t="s">
        <v>18425</v>
      </c>
      <c r="BP692" s="18"/>
      <c r="BQ692" s="18"/>
      <c r="BR692" s="18"/>
      <c r="BS692" s="18"/>
      <c r="BT692" s="18"/>
      <c r="BU692" s="18"/>
      <c r="BV692" s="18"/>
      <c r="BW692" s="18"/>
      <c r="BX692" s="18"/>
      <c r="BY692" s="18" t="str">
        <f t="shared" si="108"/>
        <v>E&amp;TC</v>
      </c>
      <c r="BZ692" s="18" t="str">
        <f t="shared" si="100"/>
        <v/>
      </c>
      <c r="CA692" s="18" t="str">
        <f t="shared" si="101"/>
        <v/>
      </c>
      <c r="CB692" s="15" t="s">
        <v>2908</v>
      </c>
      <c r="CC692" s="15" t="s">
        <v>2908</v>
      </c>
      <c r="CD692" s="25" t="s">
        <v>2797</v>
      </c>
      <c r="CE692" s="18"/>
      <c r="CF692" s="18"/>
      <c r="CG692" s="18"/>
    </row>
    <row r="693" ht="18.75" hidden="1" customHeight="1">
      <c r="A693" s="14">
        <v>44722.964813321756</v>
      </c>
      <c r="B693" s="15" t="s">
        <v>1932</v>
      </c>
      <c r="C693" s="16" t="s">
        <v>18426</v>
      </c>
      <c r="D693" s="15" t="str">
        <f>IFERROR(__xludf.DUMMYFUNCTION("QUERY(TY_ALL_2023_Batch!$A$1:$E$824, ""SELECT E WHERE C='""&amp;B693&amp;""'"", 0)"),"E&amp;TC")</f>
        <v>E&amp;TC</v>
      </c>
      <c r="E693" s="15" t="s">
        <v>18427</v>
      </c>
      <c r="F693" s="18"/>
      <c r="G693" s="15" t="s">
        <v>18428</v>
      </c>
      <c r="H693" s="15" t="s">
        <v>2826</v>
      </c>
      <c r="I693" s="17">
        <v>36913.0</v>
      </c>
      <c r="J693" s="15">
        <v>2019.0</v>
      </c>
      <c r="K693" s="15" t="s">
        <v>2786</v>
      </c>
      <c r="L693" s="15" t="s">
        <v>2787</v>
      </c>
      <c r="M693" s="18"/>
      <c r="N693" s="15" t="s">
        <v>18429</v>
      </c>
      <c r="O693" s="15" t="s">
        <v>1932</v>
      </c>
      <c r="P693" s="19" t="s">
        <v>18430</v>
      </c>
      <c r="Q693" s="15">
        <v>8.999344733E9</v>
      </c>
      <c r="R693" s="15">
        <v>8.999344733E9</v>
      </c>
      <c r="S693" s="18"/>
      <c r="T693" s="15" t="s">
        <v>18431</v>
      </c>
      <c r="U693" s="15" t="s">
        <v>18432</v>
      </c>
      <c r="V693" s="15" t="s">
        <v>18433</v>
      </c>
      <c r="W693" s="15" t="s">
        <v>18434</v>
      </c>
      <c r="X693" s="15">
        <v>82.4</v>
      </c>
      <c r="Y693" s="15" t="s">
        <v>2795</v>
      </c>
      <c r="Z693" s="15">
        <v>9.43</v>
      </c>
      <c r="AA693" s="15">
        <v>9.0</v>
      </c>
      <c r="AB693" s="15" t="s">
        <v>2796</v>
      </c>
      <c r="AC693" s="15" t="s">
        <v>2796</v>
      </c>
      <c r="AD693" s="15" t="s">
        <v>2796</v>
      </c>
      <c r="AE693" s="15" t="s">
        <v>2796</v>
      </c>
      <c r="AF693" s="15">
        <v>8.11</v>
      </c>
      <c r="AG693" s="15">
        <v>8.11</v>
      </c>
      <c r="AH693" s="15">
        <v>70.62</v>
      </c>
      <c r="AI693" s="18"/>
      <c r="AJ693" s="15" t="s">
        <v>2787</v>
      </c>
      <c r="AK693" s="15" t="s">
        <v>2787</v>
      </c>
      <c r="AL693" s="15">
        <v>650.8</v>
      </c>
      <c r="AM693" s="15">
        <v>651.6</v>
      </c>
      <c r="AN693" s="15" t="s">
        <v>2797</v>
      </c>
      <c r="AO693" s="18"/>
      <c r="AP693" s="18"/>
      <c r="AQ693" s="15" t="s">
        <v>18435</v>
      </c>
      <c r="AR693" s="15" t="s">
        <v>18436</v>
      </c>
      <c r="AS693" s="18"/>
      <c r="AT693" s="18"/>
      <c r="AU693" s="18"/>
      <c r="AV693" s="18"/>
      <c r="AW693" s="15" t="s">
        <v>18437</v>
      </c>
      <c r="AX693" s="18"/>
      <c r="AY693" s="15" t="s">
        <v>18438</v>
      </c>
      <c r="AZ693" s="15" t="s">
        <v>5260</v>
      </c>
      <c r="BA693" s="15" t="s">
        <v>2870</v>
      </c>
      <c r="BB693" s="15" t="s">
        <v>18439</v>
      </c>
      <c r="BC693" s="15" t="s">
        <v>18440</v>
      </c>
      <c r="BD693" s="15" t="s">
        <v>18441</v>
      </c>
      <c r="BE693" s="15" t="s">
        <v>18442</v>
      </c>
      <c r="BF693" s="18"/>
      <c r="BG693" s="18"/>
      <c r="BH693" s="18"/>
      <c r="BI693" s="18"/>
      <c r="BJ693" s="19" t="s">
        <v>18443</v>
      </c>
      <c r="BK693" s="19" t="s">
        <v>18444</v>
      </c>
      <c r="BL693" s="19" t="s">
        <v>18445</v>
      </c>
      <c r="BM693" s="19" t="s">
        <v>18446</v>
      </c>
      <c r="BN693" s="19" t="s">
        <v>18447</v>
      </c>
      <c r="BO693" s="19" t="s">
        <v>18448</v>
      </c>
      <c r="BP693" s="19" t="s">
        <v>18449</v>
      </c>
      <c r="BQ693" s="26"/>
      <c r="BR693" s="26"/>
      <c r="BS693" s="26"/>
      <c r="BT693" s="26"/>
      <c r="BU693" s="26"/>
      <c r="BV693" s="26"/>
      <c r="BW693" s="26"/>
      <c r="BX693" s="26"/>
      <c r="BY693" s="18" t="str">
        <f t="shared" si="108"/>
        <v>E&amp;TC</v>
      </c>
      <c r="BZ693" s="24" t="str">
        <f t="shared" si="100"/>
        <v>https://drive.google.com/open?id=1m7B4RHbYhayqS7eZsQZhSF03Cwqp-vjx</v>
      </c>
      <c r="CA693" s="24" t="str">
        <f t="shared" si="101"/>
        <v>https://drive.google.com/open?id=18R9hC_hqKKqXy0AHGAdCDzfCoZf_ADDO</v>
      </c>
      <c r="CB693" s="15" t="s">
        <v>2821</v>
      </c>
      <c r="CC693" s="15" t="s">
        <v>2821</v>
      </c>
      <c r="CD693" s="25" t="s">
        <v>2797</v>
      </c>
      <c r="CE693" s="18"/>
      <c r="CF693" s="18"/>
      <c r="CG693" s="18"/>
    </row>
    <row r="694" ht="18.75" hidden="1" customHeight="1">
      <c r="A694" s="14">
        <v>44722.9764784375</v>
      </c>
      <c r="B694" s="15" t="s">
        <v>1228</v>
      </c>
      <c r="C694" s="16" t="s">
        <v>18450</v>
      </c>
      <c r="D694" s="15" t="str">
        <f>IFERROR(__xludf.DUMMYFUNCTION("QUERY(TY_ALL_2023_Batch!$A$1:$E$824, ""SELECT E WHERE C='""&amp;B694&amp;""'"", 0)"),"E&amp;TC")</f>
        <v>E&amp;TC</v>
      </c>
      <c r="E694" s="15" t="s">
        <v>10014</v>
      </c>
      <c r="F694" s="15" t="s">
        <v>18451</v>
      </c>
      <c r="G694" s="15" t="s">
        <v>10112</v>
      </c>
      <c r="H694" s="15" t="s">
        <v>2826</v>
      </c>
      <c r="I694" s="17">
        <v>37191.0</v>
      </c>
      <c r="J694" s="15">
        <v>2020.0</v>
      </c>
      <c r="K694" s="15" t="s">
        <v>2941</v>
      </c>
      <c r="L694" s="15" t="s">
        <v>2787</v>
      </c>
      <c r="M694" s="18"/>
      <c r="N694" s="15" t="s">
        <v>18452</v>
      </c>
      <c r="O694" s="15" t="s">
        <v>1228</v>
      </c>
      <c r="P694" s="15" t="s">
        <v>1228</v>
      </c>
      <c r="Q694" s="15">
        <v>8.66900259E9</v>
      </c>
      <c r="R694" s="15">
        <v>8.66900259E9</v>
      </c>
      <c r="S694" s="15">
        <v>8.698660421E9</v>
      </c>
      <c r="T694" s="15" t="s">
        <v>18451</v>
      </c>
      <c r="U694" s="15" t="s">
        <v>12848</v>
      </c>
      <c r="V694" s="15" t="s">
        <v>18453</v>
      </c>
      <c r="W694" s="15" t="s">
        <v>18454</v>
      </c>
      <c r="X694" s="15">
        <v>92.4</v>
      </c>
      <c r="Y694" s="15" t="s">
        <v>2948</v>
      </c>
      <c r="Z694" s="15">
        <v>7.4</v>
      </c>
      <c r="AA694" s="15">
        <v>8.4</v>
      </c>
      <c r="AB694" s="15" t="s">
        <v>2796</v>
      </c>
      <c r="AC694" s="15" t="s">
        <v>2796</v>
      </c>
      <c r="AD694" s="15">
        <v>7.4</v>
      </c>
      <c r="AE694" s="15">
        <v>8.4</v>
      </c>
      <c r="AF694" s="18"/>
      <c r="AG694" s="18"/>
      <c r="AH694" s="18"/>
      <c r="AI694" s="15">
        <v>89.18</v>
      </c>
      <c r="AJ694" s="15" t="s">
        <v>2787</v>
      </c>
      <c r="AK694" s="15" t="s">
        <v>2787</v>
      </c>
      <c r="AL694" s="18"/>
      <c r="AM694" s="18"/>
      <c r="AN694" s="15" t="s">
        <v>2797</v>
      </c>
      <c r="AO694" s="15" t="s">
        <v>2797</v>
      </c>
      <c r="AP694" s="15" t="s">
        <v>2797</v>
      </c>
      <c r="AQ694" s="15" t="s">
        <v>2870</v>
      </c>
      <c r="AR694" s="15" t="s">
        <v>2797</v>
      </c>
      <c r="AS694" s="15" t="s">
        <v>11176</v>
      </c>
      <c r="AT694" s="15" t="s">
        <v>11176</v>
      </c>
      <c r="AU694" s="15" t="s">
        <v>2797</v>
      </c>
      <c r="AV694" s="15" t="s">
        <v>2797</v>
      </c>
      <c r="AW694" s="15" t="s">
        <v>3587</v>
      </c>
      <c r="AX694" s="15" t="s">
        <v>18455</v>
      </c>
      <c r="AY694" s="15" t="s">
        <v>18456</v>
      </c>
      <c r="AZ694" s="15" t="s">
        <v>4670</v>
      </c>
      <c r="BA694" s="15" t="s">
        <v>16370</v>
      </c>
      <c r="BB694" s="15" t="s">
        <v>18457</v>
      </c>
      <c r="BC694" s="15" t="s">
        <v>8295</v>
      </c>
      <c r="BD694" s="15" t="s">
        <v>2807</v>
      </c>
      <c r="BE694" s="15" t="s">
        <v>18458</v>
      </c>
      <c r="BF694" s="15" t="s">
        <v>18459</v>
      </c>
      <c r="BG694" s="15" t="s">
        <v>18460</v>
      </c>
      <c r="BH694" s="15" t="s">
        <v>2797</v>
      </c>
      <c r="BI694" s="15" t="s">
        <v>3590</v>
      </c>
      <c r="BJ694" s="19" t="s">
        <v>18461</v>
      </c>
      <c r="BK694" s="19" t="s">
        <v>18462</v>
      </c>
      <c r="BL694" s="18"/>
      <c r="BM694" s="18"/>
      <c r="BN694" s="18"/>
      <c r="BO694" s="19" t="s">
        <v>18463</v>
      </c>
      <c r="BP694" s="18"/>
      <c r="BQ694" s="18"/>
      <c r="BR694" s="18"/>
      <c r="BS694" s="18"/>
      <c r="BT694" s="18"/>
      <c r="BU694" s="18"/>
      <c r="BV694" s="18"/>
      <c r="BW694" s="18"/>
      <c r="BX694" s="18"/>
      <c r="BY694" s="18" t="str">
        <f t="shared" si="108"/>
        <v>E&amp;TC</v>
      </c>
      <c r="BZ694" s="18" t="str">
        <f t="shared" si="100"/>
        <v/>
      </c>
      <c r="CA694" s="18" t="str">
        <f t="shared" si="101"/>
        <v/>
      </c>
      <c r="CB694" s="15" t="s">
        <v>2908</v>
      </c>
      <c r="CC694" s="15" t="s">
        <v>2908</v>
      </c>
      <c r="CD694" s="25" t="s">
        <v>2797</v>
      </c>
      <c r="CE694" s="18"/>
      <c r="CF694" s="18"/>
      <c r="CG694" s="18"/>
    </row>
    <row r="695" ht="18.75" hidden="1" customHeight="1">
      <c r="A695" s="14">
        <v>44722.984927349535</v>
      </c>
      <c r="B695" s="15" t="s">
        <v>1965</v>
      </c>
      <c r="C695" s="16" t="s">
        <v>18464</v>
      </c>
      <c r="D695" s="15" t="str">
        <f>IFERROR(__xludf.DUMMYFUNCTION("QUERY(TY_ALL_2023_Batch!$A$1:$E$824, ""SELECT E WHERE C='""&amp;B695&amp;""'"", 0)"),"E&amp;TC")</f>
        <v>E&amp;TC</v>
      </c>
      <c r="E695" s="15" t="s">
        <v>18465</v>
      </c>
      <c r="F695" s="15" t="s">
        <v>2939</v>
      </c>
      <c r="G695" s="15" t="s">
        <v>3852</v>
      </c>
      <c r="H695" s="15" t="s">
        <v>2826</v>
      </c>
      <c r="I695" s="17">
        <v>37191.0</v>
      </c>
      <c r="J695" s="15">
        <v>2019.0</v>
      </c>
      <c r="K695" s="15" t="s">
        <v>2786</v>
      </c>
      <c r="L695" s="15" t="s">
        <v>2787</v>
      </c>
      <c r="M695" s="18"/>
      <c r="N695" s="15" t="s">
        <v>18466</v>
      </c>
      <c r="O695" s="15" t="s">
        <v>1965</v>
      </c>
      <c r="P695" s="19" t="s">
        <v>18467</v>
      </c>
      <c r="Q695" s="15">
        <v>9.370173915E9</v>
      </c>
      <c r="R695" s="15">
        <v>9.370173915E9</v>
      </c>
      <c r="S695" s="18"/>
      <c r="T695" s="15" t="s">
        <v>18468</v>
      </c>
      <c r="U695" s="15" t="s">
        <v>18469</v>
      </c>
      <c r="V695" s="15" t="s">
        <v>18470</v>
      </c>
      <c r="W695" s="18"/>
      <c r="X695" s="15">
        <v>93.4</v>
      </c>
      <c r="Y695" s="15" t="s">
        <v>2795</v>
      </c>
      <c r="Z695" s="15">
        <v>8.94</v>
      </c>
      <c r="AA695" s="15">
        <v>8.92</v>
      </c>
      <c r="AB695" s="15" t="s">
        <v>2796</v>
      </c>
      <c r="AC695" s="15" t="s">
        <v>2796</v>
      </c>
      <c r="AD695" s="15" t="s">
        <v>2796</v>
      </c>
      <c r="AE695" s="15" t="s">
        <v>2796</v>
      </c>
      <c r="AF695" s="15">
        <v>8.8</v>
      </c>
      <c r="AG695" s="15">
        <v>8.94</v>
      </c>
      <c r="AH695" s="15">
        <v>72.33</v>
      </c>
      <c r="AI695" s="18"/>
      <c r="AJ695" s="15" t="s">
        <v>2787</v>
      </c>
      <c r="AK695" s="15" t="s">
        <v>2787</v>
      </c>
      <c r="AL695" s="15">
        <v>80.66</v>
      </c>
      <c r="AM695" s="15">
        <v>94.0</v>
      </c>
      <c r="AN695" s="15" t="s">
        <v>2797</v>
      </c>
      <c r="AO695" s="18"/>
      <c r="AP695" s="18"/>
      <c r="AQ695" s="15" t="s">
        <v>18471</v>
      </c>
      <c r="AR695" s="18"/>
      <c r="AS695" s="18"/>
      <c r="AT695" s="18"/>
      <c r="AU695" s="15" t="s">
        <v>18472</v>
      </c>
      <c r="AV695" s="15" t="s">
        <v>18473</v>
      </c>
      <c r="AW695" s="15" t="s">
        <v>18474</v>
      </c>
      <c r="AX695" s="18"/>
      <c r="AY695" s="15" t="s">
        <v>18475</v>
      </c>
      <c r="AZ695" s="15" t="s">
        <v>4670</v>
      </c>
      <c r="BA695" s="15" t="s">
        <v>17450</v>
      </c>
      <c r="BB695" s="15" t="s">
        <v>2807</v>
      </c>
      <c r="BC695" s="15" t="s">
        <v>4746</v>
      </c>
      <c r="BD695" s="15" t="s">
        <v>2842</v>
      </c>
      <c r="BE695" s="15" t="s">
        <v>2796</v>
      </c>
      <c r="BF695" s="18"/>
      <c r="BG695" s="18"/>
      <c r="BH695" s="18"/>
      <c r="BI695" s="18"/>
      <c r="BJ695" s="19" t="s">
        <v>18476</v>
      </c>
      <c r="BK695" s="19" t="s">
        <v>18477</v>
      </c>
      <c r="BL695" s="19" t="s">
        <v>18478</v>
      </c>
      <c r="BM695" s="20" t="s">
        <v>18479</v>
      </c>
      <c r="BN695" s="18"/>
      <c r="BO695" s="19" t="s">
        <v>18480</v>
      </c>
      <c r="BP695" s="19" t="s">
        <v>18481</v>
      </c>
      <c r="BQ695" s="26"/>
      <c r="BR695" s="26"/>
      <c r="BS695" s="26"/>
      <c r="BT695" s="26"/>
      <c r="BU695" s="26"/>
      <c r="BV695" s="26"/>
      <c r="BW695" s="26"/>
      <c r="BX695" s="26"/>
      <c r="BY695" s="18" t="str">
        <f t="shared" si="108"/>
        <v>E&amp;TC</v>
      </c>
      <c r="BZ695" s="24" t="str">
        <f t="shared" si="100"/>
        <v>https://drive.google.com/open?id=1ktrZjfRzIpQL44E60L0cHVp-LFEs3Rdm</v>
      </c>
      <c r="CA695" s="24" t="str">
        <f t="shared" si="101"/>
        <v>https://drive.google.com/open?id=1tUNSY4LttG07G5E87CbiIYKl-KchXDSn</v>
      </c>
      <c r="CB695" s="15" t="s">
        <v>2821</v>
      </c>
      <c r="CC695" s="15" t="s">
        <v>2821</v>
      </c>
      <c r="CD695" s="25" t="s">
        <v>2797</v>
      </c>
      <c r="CE695" s="18"/>
      <c r="CF695" s="18"/>
      <c r="CG695" s="18"/>
    </row>
    <row r="696" ht="18.75" hidden="1" customHeight="1">
      <c r="A696" s="14">
        <v>44722.991121666666</v>
      </c>
      <c r="B696" s="15" t="s">
        <v>1728</v>
      </c>
      <c r="C696" s="16" t="s">
        <v>18482</v>
      </c>
      <c r="D696" s="15" t="str">
        <f>IFERROR(__xludf.DUMMYFUNCTION("QUERY(TY_ALL_2023_Batch!$A$1:$E$824, ""SELECT E WHERE C='""&amp;B696&amp;""'"", 0)"),"E&amp;TC")</f>
        <v>E&amp;TC</v>
      </c>
      <c r="E696" s="15" t="s">
        <v>8628</v>
      </c>
      <c r="F696" s="15" t="s">
        <v>7828</v>
      </c>
      <c r="G696" s="15" t="s">
        <v>7179</v>
      </c>
      <c r="H696" s="15" t="s">
        <v>2785</v>
      </c>
      <c r="I696" s="17">
        <v>37132.0</v>
      </c>
      <c r="J696" s="15">
        <v>2019.0</v>
      </c>
      <c r="K696" s="15" t="s">
        <v>2786</v>
      </c>
      <c r="L696" s="15" t="s">
        <v>2787</v>
      </c>
      <c r="M696" s="18"/>
      <c r="N696" s="15" t="s">
        <v>18483</v>
      </c>
      <c r="O696" s="15" t="s">
        <v>18484</v>
      </c>
      <c r="P696" s="19" t="s">
        <v>18485</v>
      </c>
      <c r="Q696" s="15">
        <v>8.806369134E9</v>
      </c>
      <c r="R696" s="15">
        <v>8.806369134E9</v>
      </c>
      <c r="S696" s="18"/>
      <c r="T696" s="15" t="s">
        <v>7828</v>
      </c>
      <c r="U696" s="15" t="s">
        <v>7299</v>
      </c>
      <c r="V696" s="15" t="s">
        <v>18486</v>
      </c>
      <c r="W696" s="18"/>
      <c r="X696" s="15">
        <v>84.0</v>
      </c>
      <c r="Y696" s="15" t="s">
        <v>2795</v>
      </c>
      <c r="Z696" s="15">
        <v>7.38</v>
      </c>
      <c r="AA696" s="15">
        <v>6.15</v>
      </c>
      <c r="AB696" s="15" t="s">
        <v>2796</v>
      </c>
      <c r="AC696" s="15" t="s">
        <v>2796</v>
      </c>
      <c r="AD696" s="15" t="s">
        <v>2796</v>
      </c>
      <c r="AE696" s="15" t="s">
        <v>2796</v>
      </c>
      <c r="AF696" s="15">
        <v>6.47</v>
      </c>
      <c r="AG696" s="15">
        <v>7.48</v>
      </c>
      <c r="AH696" s="15">
        <v>66.92</v>
      </c>
      <c r="AI696" s="18"/>
      <c r="AJ696" s="15" t="s">
        <v>2797</v>
      </c>
      <c r="AK696" s="15" t="s">
        <v>2787</v>
      </c>
      <c r="AL696" s="18"/>
      <c r="AM696" s="15">
        <v>72.75</v>
      </c>
      <c r="AN696" s="15" t="s">
        <v>2787</v>
      </c>
      <c r="AO696" s="18"/>
      <c r="AP696" s="18"/>
      <c r="AQ696" s="15" t="s">
        <v>18487</v>
      </c>
      <c r="AR696" s="15" t="s">
        <v>18488</v>
      </c>
      <c r="AS696" s="18"/>
      <c r="AT696" s="18"/>
      <c r="AU696" s="18"/>
      <c r="AV696" s="18"/>
      <c r="AW696" s="15" t="s">
        <v>18489</v>
      </c>
      <c r="AX696" s="18"/>
      <c r="AY696" s="15" t="s">
        <v>18490</v>
      </c>
      <c r="AZ696" s="15" t="s">
        <v>5625</v>
      </c>
      <c r="BA696" s="15" t="s">
        <v>2899</v>
      </c>
      <c r="BB696" s="15" t="s">
        <v>3462</v>
      </c>
      <c r="BC696" s="15" t="s">
        <v>4746</v>
      </c>
      <c r="BD696" s="15" t="s">
        <v>2842</v>
      </c>
      <c r="BE696" s="15" t="s">
        <v>2796</v>
      </c>
      <c r="BF696" s="18"/>
      <c r="BG696" s="18"/>
      <c r="BH696" s="18"/>
      <c r="BI696" s="15" t="s">
        <v>18491</v>
      </c>
      <c r="BJ696" s="19" t="s">
        <v>18492</v>
      </c>
      <c r="BK696" s="19" t="s">
        <v>18493</v>
      </c>
      <c r="BL696" s="18"/>
      <c r="BM696" s="18"/>
      <c r="BN696" s="18"/>
      <c r="BO696" s="19" t="s">
        <v>18494</v>
      </c>
      <c r="BP696" s="18"/>
      <c r="BQ696" s="18"/>
      <c r="BR696" s="18"/>
      <c r="BS696" s="18"/>
      <c r="BT696" s="18"/>
      <c r="BU696" s="18"/>
      <c r="BV696" s="18"/>
      <c r="BW696" s="18"/>
      <c r="BX696" s="18"/>
      <c r="BY696" s="18" t="str">
        <f t="shared" si="108"/>
        <v>E&amp;TC</v>
      </c>
      <c r="BZ696" s="18" t="str">
        <f t="shared" si="100"/>
        <v/>
      </c>
      <c r="CA696" s="18" t="str">
        <f t="shared" si="101"/>
        <v/>
      </c>
      <c r="CB696" s="15" t="s">
        <v>2908</v>
      </c>
      <c r="CC696" s="15" t="s">
        <v>2908</v>
      </c>
      <c r="CD696" s="25" t="s">
        <v>2797</v>
      </c>
      <c r="CE696" s="18"/>
      <c r="CF696" s="18"/>
      <c r="CG696" s="18"/>
    </row>
    <row r="697" ht="18.75" hidden="1" customHeight="1">
      <c r="A697" s="14">
        <v>44722.99202451389</v>
      </c>
      <c r="B697" s="15" t="s">
        <v>1668</v>
      </c>
      <c r="C697" s="16" t="s">
        <v>18495</v>
      </c>
      <c r="D697" s="15" t="str">
        <f>IFERROR(__xludf.DUMMYFUNCTION("QUERY(TY_ALL_2023_Batch!$A$1:$E$824, ""SELECT E WHERE C='""&amp;B697&amp;""'"", 0)"),"E&amp;TC")</f>
        <v>E&amp;TC</v>
      </c>
      <c r="E697" s="15" t="s">
        <v>18496</v>
      </c>
      <c r="F697" s="15" t="s">
        <v>17082</v>
      </c>
      <c r="G697" s="15" t="s">
        <v>18497</v>
      </c>
      <c r="H697" s="15" t="s">
        <v>2785</v>
      </c>
      <c r="I697" s="17">
        <v>36991.0</v>
      </c>
      <c r="J697" s="15">
        <v>2019.0</v>
      </c>
      <c r="K697" s="15" t="s">
        <v>2786</v>
      </c>
      <c r="L697" s="15" t="s">
        <v>2787</v>
      </c>
      <c r="M697" s="18"/>
      <c r="N697" s="15" t="s">
        <v>18498</v>
      </c>
      <c r="O697" s="15" t="s">
        <v>18499</v>
      </c>
      <c r="P697" s="19" t="s">
        <v>18500</v>
      </c>
      <c r="Q697" s="15">
        <v>7.972630853E9</v>
      </c>
      <c r="R697" s="15">
        <v>7.972630853E9</v>
      </c>
      <c r="S697" s="15">
        <v>9.37091899E9</v>
      </c>
      <c r="T697" s="15" t="s">
        <v>17082</v>
      </c>
      <c r="U697" s="15" t="s">
        <v>10259</v>
      </c>
      <c r="V697" s="15" t="s">
        <v>18501</v>
      </c>
      <c r="W697" s="15" t="s">
        <v>18502</v>
      </c>
      <c r="X697" s="15">
        <v>90.0</v>
      </c>
      <c r="Y697" s="15" t="s">
        <v>2795</v>
      </c>
      <c r="Z697" s="15">
        <v>8.0</v>
      </c>
      <c r="AA697" s="15">
        <v>8.4</v>
      </c>
      <c r="AB697" s="15" t="s">
        <v>2796</v>
      </c>
      <c r="AC697" s="15" t="s">
        <v>2796</v>
      </c>
      <c r="AD697" s="15" t="s">
        <v>2796</v>
      </c>
      <c r="AE697" s="15" t="s">
        <v>2796</v>
      </c>
      <c r="AF697" s="15">
        <v>7.52</v>
      </c>
      <c r="AG697" s="15">
        <v>7.9</v>
      </c>
      <c r="AH697" s="15">
        <v>63.0</v>
      </c>
      <c r="AI697" s="18"/>
      <c r="AJ697" s="15" t="s">
        <v>2787</v>
      </c>
      <c r="AK697" s="15" t="s">
        <v>2787</v>
      </c>
      <c r="AL697" s="15" t="s">
        <v>18503</v>
      </c>
      <c r="AM697" s="15" t="s">
        <v>18504</v>
      </c>
      <c r="AN697" s="15" t="s">
        <v>2787</v>
      </c>
      <c r="AO697" s="15" t="s">
        <v>18505</v>
      </c>
      <c r="AP697" s="15" t="s">
        <v>18506</v>
      </c>
      <c r="AQ697" s="15" t="s">
        <v>18507</v>
      </c>
      <c r="AR697" s="15" t="s">
        <v>3989</v>
      </c>
      <c r="AS697" s="15" t="s">
        <v>3989</v>
      </c>
      <c r="AT697" s="15" t="s">
        <v>3989</v>
      </c>
      <c r="AU697" s="18"/>
      <c r="AV697" s="18"/>
      <c r="AW697" s="15" t="s">
        <v>18508</v>
      </c>
      <c r="AX697" s="18"/>
      <c r="AY697" s="15" t="s">
        <v>18509</v>
      </c>
      <c r="AZ697" s="15" t="s">
        <v>4084</v>
      </c>
      <c r="BA697" s="15" t="s">
        <v>4727</v>
      </c>
      <c r="BB697" s="15" t="s">
        <v>2807</v>
      </c>
      <c r="BC697" s="15" t="s">
        <v>5604</v>
      </c>
      <c r="BD697" s="15" t="s">
        <v>2807</v>
      </c>
      <c r="BE697" s="15" t="s">
        <v>18510</v>
      </c>
      <c r="BF697" s="15" t="s">
        <v>18511</v>
      </c>
      <c r="BG697" s="18"/>
      <c r="BH697" s="18"/>
      <c r="BI697" s="15" t="s">
        <v>18512</v>
      </c>
      <c r="BJ697" s="19" t="s">
        <v>18513</v>
      </c>
      <c r="BK697" s="19" t="s">
        <v>18514</v>
      </c>
      <c r="BL697" s="18"/>
      <c r="BM697" s="18"/>
      <c r="BN697" s="18"/>
      <c r="BO697" s="19" t="s">
        <v>18515</v>
      </c>
      <c r="BP697" s="18"/>
      <c r="BQ697" s="18"/>
      <c r="BR697" s="18"/>
      <c r="BS697" s="18"/>
      <c r="BT697" s="18"/>
      <c r="BU697" s="18"/>
      <c r="BV697" s="18"/>
      <c r="BW697" s="18"/>
      <c r="BX697" s="18"/>
      <c r="BY697" s="18" t="str">
        <f t="shared" si="108"/>
        <v>E&amp;TC</v>
      </c>
      <c r="BZ697" s="18" t="str">
        <f t="shared" si="100"/>
        <v/>
      </c>
      <c r="CA697" s="18" t="str">
        <f t="shared" si="101"/>
        <v/>
      </c>
      <c r="CB697" s="15" t="s">
        <v>2908</v>
      </c>
      <c r="CC697" s="15" t="s">
        <v>2908</v>
      </c>
      <c r="CD697" s="25" t="s">
        <v>2797</v>
      </c>
      <c r="CE697" s="18"/>
      <c r="CF697" s="18"/>
      <c r="CG697" s="18"/>
    </row>
    <row r="698" hidden="1">
      <c r="A698" s="14">
        <v>44723.000319618055</v>
      </c>
      <c r="B698" s="15" t="s">
        <v>1650</v>
      </c>
      <c r="C698" s="16" t="s">
        <v>18516</v>
      </c>
      <c r="D698" s="15" t="str">
        <f>IFERROR(__xludf.DUMMYFUNCTION("QUERY(TY_ALL_2023_Batch!$A$1:$E$824, ""SELECT E WHERE C='""&amp;B698&amp;""'"", 0)"),"E&amp;TC")</f>
        <v>E&amp;TC</v>
      </c>
      <c r="E698" s="15" t="s">
        <v>9340</v>
      </c>
      <c r="F698" s="15" t="s">
        <v>18517</v>
      </c>
      <c r="G698" s="15" t="s">
        <v>18518</v>
      </c>
      <c r="H698" s="15" t="s">
        <v>2785</v>
      </c>
      <c r="I698" s="17">
        <v>36789.0</v>
      </c>
      <c r="J698" s="15">
        <v>2019.0</v>
      </c>
      <c r="K698" s="15" t="s">
        <v>2786</v>
      </c>
      <c r="L698" s="15" t="s">
        <v>2787</v>
      </c>
      <c r="M698" s="18"/>
      <c r="N698" s="15" t="s">
        <v>18519</v>
      </c>
      <c r="O698" s="15" t="s">
        <v>1650</v>
      </c>
      <c r="P698" s="19" t="s">
        <v>18520</v>
      </c>
      <c r="Q698" s="15">
        <v>9.284154828E9</v>
      </c>
      <c r="R698" s="15">
        <v>9.284154828E9</v>
      </c>
      <c r="S698" s="15">
        <v>9.921231936E9</v>
      </c>
      <c r="T698" s="15" t="s">
        <v>9609</v>
      </c>
      <c r="U698" s="15" t="s">
        <v>18521</v>
      </c>
      <c r="V698" s="15" t="s">
        <v>18522</v>
      </c>
      <c r="W698" s="15" t="s">
        <v>18523</v>
      </c>
      <c r="X698" s="15">
        <v>95.2</v>
      </c>
      <c r="Y698" s="15" t="s">
        <v>2795</v>
      </c>
      <c r="Z698" s="15">
        <v>6.58</v>
      </c>
      <c r="AA698" s="15">
        <v>7.5</v>
      </c>
      <c r="AB698" s="15" t="s">
        <v>2796</v>
      </c>
      <c r="AC698" s="15" t="s">
        <v>2796</v>
      </c>
      <c r="AD698" s="15" t="s">
        <v>2796</v>
      </c>
      <c r="AE698" s="15" t="s">
        <v>2796</v>
      </c>
      <c r="AF698" s="15">
        <v>7.43</v>
      </c>
      <c r="AG698" s="15">
        <v>8.05</v>
      </c>
      <c r="AH698" s="15">
        <v>66.67</v>
      </c>
      <c r="AI698" s="18"/>
      <c r="AJ698" s="15" t="s">
        <v>2787</v>
      </c>
      <c r="AK698" s="15" t="s">
        <v>2787</v>
      </c>
      <c r="AL698" s="15" t="s">
        <v>2796</v>
      </c>
      <c r="AM698" s="15" t="s">
        <v>2796</v>
      </c>
      <c r="AN698" s="15" t="s">
        <v>2787</v>
      </c>
      <c r="AO698" s="15" t="s">
        <v>18524</v>
      </c>
      <c r="AP698" s="15" t="s">
        <v>18525</v>
      </c>
      <c r="AQ698" s="15" t="s">
        <v>18526</v>
      </c>
      <c r="AR698" s="15" t="s">
        <v>18527</v>
      </c>
      <c r="AS698" s="15" t="s">
        <v>5356</v>
      </c>
      <c r="AT698" s="15" t="s">
        <v>14480</v>
      </c>
      <c r="AU698" s="15" t="s">
        <v>14480</v>
      </c>
      <c r="AV698" s="15" t="s">
        <v>14480</v>
      </c>
      <c r="AW698" s="15" t="s">
        <v>18528</v>
      </c>
      <c r="AX698" s="15" t="s">
        <v>18529</v>
      </c>
      <c r="AY698" s="15" t="s">
        <v>18530</v>
      </c>
      <c r="AZ698" s="15" t="s">
        <v>4670</v>
      </c>
      <c r="BA698" s="15" t="s">
        <v>5552</v>
      </c>
      <c r="BB698" s="15" t="s">
        <v>2807</v>
      </c>
      <c r="BC698" s="15" t="s">
        <v>18531</v>
      </c>
      <c r="BD698" s="15" t="s">
        <v>2807</v>
      </c>
      <c r="BE698" s="15" t="s">
        <v>14480</v>
      </c>
      <c r="BF698" s="15" t="s">
        <v>14480</v>
      </c>
      <c r="BG698" s="15" t="s">
        <v>14480</v>
      </c>
      <c r="BH698" s="15" t="s">
        <v>18532</v>
      </c>
      <c r="BI698" s="15" t="s">
        <v>18533</v>
      </c>
      <c r="BJ698" s="19" t="s">
        <v>18534</v>
      </c>
      <c r="BK698" s="19" t="s">
        <v>18535</v>
      </c>
      <c r="BL698" s="18"/>
      <c r="BM698" s="18"/>
      <c r="BN698" s="19" t="s">
        <v>18536</v>
      </c>
      <c r="BO698" s="19" t="s">
        <v>18537</v>
      </c>
      <c r="BP698" s="18"/>
      <c r="BQ698" s="18"/>
      <c r="BR698" s="18"/>
      <c r="BS698" s="18"/>
      <c r="BT698" s="18"/>
      <c r="BU698" s="18"/>
      <c r="BV698" s="18"/>
      <c r="BW698" s="18"/>
      <c r="BX698" s="18"/>
      <c r="BY698" s="18" t="str">
        <f t="shared" si="108"/>
        <v>E&amp;TC</v>
      </c>
      <c r="BZ698" s="18" t="str">
        <f t="shared" si="100"/>
        <v/>
      </c>
      <c r="CA698" s="18" t="str">
        <f t="shared" si="101"/>
        <v/>
      </c>
      <c r="CB698" s="15" t="s">
        <v>2908</v>
      </c>
      <c r="CC698" s="15" t="s">
        <v>2908</v>
      </c>
      <c r="CD698" s="25" t="s">
        <v>2797</v>
      </c>
      <c r="CE698" s="18"/>
      <c r="CF698" s="18"/>
    </row>
    <row r="699" hidden="1">
      <c r="A699" s="14">
        <v>44722.498949120374</v>
      </c>
      <c r="B699" s="15" t="s">
        <v>2034</v>
      </c>
      <c r="C699" s="16" t="s">
        <v>18538</v>
      </c>
      <c r="D699" s="15" t="str">
        <f>IFERROR(__xludf.DUMMYFUNCTION("QUERY(TY_ALL_2023_Batch!$A$1:$E$824, ""SELECT E WHERE C='""&amp;B699&amp;""'"", 0)"),"ETX")</f>
        <v>ETX</v>
      </c>
      <c r="E699" s="15" t="s">
        <v>6294</v>
      </c>
      <c r="F699" s="15" t="s">
        <v>5719</v>
      </c>
      <c r="G699" s="15" t="s">
        <v>18539</v>
      </c>
      <c r="H699" s="15" t="s">
        <v>2785</v>
      </c>
      <c r="I699" s="17">
        <v>37409.0</v>
      </c>
      <c r="J699" s="15">
        <v>2019.0</v>
      </c>
      <c r="K699" s="15" t="s">
        <v>2786</v>
      </c>
      <c r="L699" s="15" t="s">
        <v>2787</v>
      </c>
      <c r="M699" s="18"/>
      <c r="N699" s="15" t="s">
        <v>18540</v>
      </c>
      <c r="O699" s="15" t="s">
        <v>2034</v>
      </c>
      <c r="P699" s="19" t="s">
        <v>18541</v>
      </c>
      <c r="Q699" s="15">
        <v>9.307660627E9</v>
      </c>
      <c r="R699" s="15">
        <v>9.307660627E9</v>
      </c>
      <c r="S699" s="15">
        <v>9.130907035E9</v>
      </c>
      <c r="T699" s="15" t="s">
        <v>5719</v>
      </c>
      <c r="U699" s="15" t="s">
        <v>5328</v>
      </c>
      <c r="V699" s="15" t="s">
        <v>18542</v>
      </c>
      <c r="W699" s="18"/>
      <c r="X699" s="15">
        <v>89.0</v>
      </c>
      <c r="Y699" s="15" t="s">
        <v>2795</v>
      </c>
      <c r="Z699" s="15">
        <v>8.33</v>
      </c>
      <c r="AA699" s="15">
        <v>8.43</v>
      </c>
      <c r="AB699" s="15" t="s">
        <v>2796</v>
      </c>
      <c r="AC699" s="15" t="s">
        <v>2796</v>
      </c>
      <c r="AD699" s="15" t="s">
        <v>2796</v>
      </c>
      <c r="AE699" s="15" t="s">
        <v>2796</v>
      </c>
      <c r="AF699" s="15">
        <v>7.86</v>
      </c>
      <c r="AG699" s="15">
        <v>8.11</v>
      </c>
      <c r="AH699" s="15">
        <v>73.85</v>
      </c>
      <c r="AI699" s="18"/>
      <c r="AJ699" s="15" t="s">
        <v>2787</v>
      </c>
      <c r="AK699" s="15" t="s">
        <v>2787</v>
      </c>
      <c r="AL699" s="15">
        <v>95.0</v>
      </c>
      <c r="AM699" s="15">
        <v>95.0</v>
      </c>
      <c r="AN699" s="15" t="s">
        <v>2797</v>
      </c>
      <c r="AO699" s="18"/>
      <c r="AP699" s="18"/>
      <c r="AQ699" s="15" t="s">
        <v>2797</v>
      </c>
      <c r="AR699" s="15" t="s">
        <v>18543</v>
      </c>
      <c r="AS699" s="18"/>
      <c r="AT699" s="18"/>
      <c r="AU699" s="15" t="s">
        <v>18544</v>
      </c>
      <c r="AV699" s="15" t="s">
        <v>18545</v>
      </c>
      <c r="AW699" s="15" t="s">
        <v>18546</v>
      </c>
      <c r="AX699" s="18"/>
      <c r="AY699" s="15" t="s">
        <v>18547</v>
      </c>
      <c r="AZ699" s="15" t="s">
        <v>4670</v>
      </c>
      <c r="BA699" s="15" t="s">
        <v>8441</v>
      </c>
      <c r="BB699" s="15" t="s">
        <v>2807</v>
      </c>
      <c r="BC699" s="15" t="s">
        <v>4746</v>
      </c>
      <c r="BD699" s="15" t="s">
        <v>2807</v>
      </c>
      <c r="BE699" s="15" t="s">
        <v>2796</v>
      </c>
      <c r="BF699" s="18"/>
      <c r="BG699" s="18"/>
      <c r="BH699" s="18"/>
      <c r="BI699" s="18"/>
      <c r="BJ699" s="19" t="s">
        <v>18548</v>
      </c>
      <c r="BK699" s="19" t="s">
        <v>18549</v>
      </c>
      <c r="BL699" s="19" t="s">
        <v>18550</v>
      </c>
      <c r="BM699" s="20" t="s">
        <v>18551</v>
      </c>
      <c r="BN699" s="19" t="s">
        <v>18552</v>
      </c>
      <c r="BO699" s="19" t="s">
        <v>18553</v>
      </c>
      <c r="BP699" s="19" t="s">
        <v>18554</v>
      </c>
      <c r="BQ699" s="26"/>
      <c r="BR699" s="26"/>
      <c r="BS699" s="26"/>
      <c r="BT699" s="26"/>
      <c r="BU699" s="26"/>
      <c r="BV699" s="26"/>
      <c r="BW699" s="26"/>
      <c r="BX699" s="26"/>
      <c r="BY699" s="18" t="str">
        <f t="shared" si="108"/>
        <v>ETX</v>
      </c>
      <c r="BZ699" s="24" t="str">
        <f t="shared" si="100"/>
        <v>https://drive.google.com/open?id=1QohcS7_av92LxMjk7gub_E-sc82h0bXm</v>
      </c>
      <c r="CA699" s="24" t="str">
        <f t="shared" si="101"/>
        <v>https://drive.google.com/open?id=1JZVp3JZb_Edy_7Tl6MIj3tjDFXrWSqpD</v>
      </c>
      <c r="CB699" s="15" t="s">
        <v>2821</v>
      </c>
      <c r="CC699" s="15" t="s">
        <v>2821</v>
      </c>
      <c r="CD699" s="25" t="s">
        <v>2797</v>
      </c>
      <c r="CE699" s="18"/>
      <c r="CF699" s="18"/>
    </row>
    <row r="700" hidden="1">
      <c r="A700" s="14">
        <v>44722.61700251157</v>
      </c>
      <c r="B700" s="15" t="s">
        <v>2049</v>
      </c>
      <c r="C700" s="16" t="s">
        <v>18555</v>
      </c>
      <c r="D700" s="15" t="str">
        <f>IFERROR(__xludf.DUMMYFUNCTION("QUERY(TY_ALL_2023_Batch!$A$1:$E$824, ""SELECT E WHERE C='""&amp;B700&amp;""'"", 0)"),"ETX")</f>
        <v>ETX</v>
      </c>
      <c r="E700" s="15" t="s">
        <v>3763</v>
      </c>
      <c r="F700" s="15" t="s">
        <v>7855</v>
      </c>
      <c r="G700" s="15" t="s">
        <v>18556</v>
      </c>
      <c r="H700" s="15" t="s">
        <v>2785</v>
      </c>
      <c r="I700" s="17">
        <v>36247.0</v>
      </c>
      <c r="J700" s="15">
        <v>2019.0</v>
      </c>
      <c r="K700" s="15" t="s">
        <v>2786</v>
      </c>
      <c r="L700" s="15" t="s">
        <v>2787</v>
      </c>
      <c r="M700" s="18"/>
      <c r="N700" s="15" t="s">
        <v>18557</v>
      </c>
      <c r="O700" s="15" t="s">
        <v>2049</v>
      </c>
      <c r="P700" s="19" t="s">
        <v>18558</v>
      </c>
      <c r="Q700" s="15">
        <v>8.421174021E9</v>
      </c>
      <c r="R700" s="15">
        <v>8.421174021E9</v>
      </c>
      <c r="S700" s="15">
        <v>8.421174021E9</v>
      </c>
      <c r="T700" s="15" t="s">
        <v>7855</v>
      </c>
      <c r="U700" s="15" t="s">
        <v>18559</v>
      </c>
      <c r="V700" s="15" t="s">
        <v>18560</v>
      </c>
      <c r="W700" s="15" t="s">
        <v>18560</v>
      </c>
      <c r="X700" s="15">
        <v>70.2</v>
      </c>
      <c r="Y700" s="15" t="s">
        <v>2795</v>
      </c>
      <c r="Z700" s="15">
        <v>6.52</v>
      </c>
      <c r="AA700" s="15">
        <v>6.52</v>
      </c>
      <c r="AB700" s="15" t="s">
        <v>2796</v>
      </c>
      <c r="AC700" s="15" t="s">
        <v>2796</v>
      </c>
      <c r="AD700" s="15" t="s">
        <v>2796</v>
      </c>
      <c r="AE700" s="15" t="s">
        <v>2796</v>
      </c>
      <c r="AF700" s="15">
        <v>7.89</v>
      </c>
      <c r="AG700" s="15">
        <v>7.19</v>
      </c>
      <c r="AH700" s="15">
        <v>54.77</v>
      </c>
      <c r="AI700" s="18"/>
      <c r="AJ700" s="15" t="s">
        <v>2797</v>
      </c>
      <c r="AK700" s="15" t="s">
        <v>2787</v>
      </c>
      <c r="AL700" s="15" t="s">
        <v>2796</v>
      </c>
      <c r="AM700" s="15">
        <v>543.33</v>
      </c>
      <c r="AN700" s="15" t="s">
        <v>2787</v>
      </c>
      <c r="AO700" s="18"/>
      <c r="AP700" s="18"/>
      <c r="AQ700" s="15" t="s">
        <v>2797</v>
      </c>
      <c r="AR700" s="15" t="s">
        <v>18561</v>
      </c>
      <c r="AS700" s="18"/>
      <c r="AT700" s="18"/>
      <c r="AU700" s="15" t="s">
        <v>2796</v>
      </c>
      <c r="AV700" s="15" t="s">
        <v>18562</v>
      </c>
      <c r="AW700" s="15" t="s">
        <v>2796</v>
      </c>
      <c r="AX700" s="15" t="s">
        <v>2796</v>
      </c>
      <c r="AY700" s="15" t="s">
        <v>18563</v>
      </c>
      <c r="AZ700" s="15" t="s">
        <v>4670</v>
      </c>
      <c r="BA700" s="15" t="s">
        <v>2839</v>
      </c>
      <c r="BB700" s="15" t="s">
        <v>2807</v>
      </c>
      <c r="BC700" s="15" t="s">
        <v>5604</v>
      </c>
      <c r="BD700" s="15" t="s">
        <v>2807</v>
      </c>
      <c r="BE700" s="15" t="s">
        <v>2796</v>
      </c>
      <c r="BF700" s="15" t="s">
        <v>2796</v>
      </c>
      <c r="BG700" s="15" t="s">
        <v>2796</v>
      </c>
      <c r="BH700" s="15" t="s">
        <v>2796</v>
      </c>
      <c r="BI700" s="15" t="s">
        <v>2796</v>
      </c>
      <c r="BJ700" s="19" t="s">
        <v>18564</v>
      </c>
      <c r="BK700" s="19" t="s">
        <v>18565</v>
      </c>
      <c r="BL700" s="18"/>
      <c r="BM700" s="18"/>
      <c r="BN700" s="18"/>
      <c r="BO700" s="19" t="s">
        <v>18566</v>
      </c>
      <c r="BP700" s="18"/>
      <c r="BQ700" s="18"/>
      <c r="BR700" s="18"/>
      <c r="BS700" s="18"/>
      <c r="BT700" s="18"/>
      <c r="BU700" s="18"/>
      <c r="BV700" s="18"/>
      <c r="BW700" s="18"/>
      <c r="BX700" s="18"/>
      <c r="BY700" s="18" t="str">
        <f t="shared" si="108"/>
        <v>ETX</v>
      </c>
      <c r="BZ700" s="18" t="str">
        <f t="shared" si="100"/>
        <v/>
      </c>
      <c r="CA700" s="18" t="str">
        <f t="shared" si="101"/>
        <v/>
      </c>
      <c r="CB700" s="15" t="s">
        <v>2908</v>
      </c>
      <c r="CC700" s="15" t="s">
        <v>2908</v>
      </c>
      <c r="CD700" s="25" t="s">
        <v>2797</v>
      </c>
      <c r="CE700" s="18"/>
      <c r="CF700" s="18"/>
    </row>
    <row r="701" hidden="1">
      <c r="A701" s="14">
        <v>44723.01665446759</v>
      </c>
      <c r="B701" s="15" t="s">
        <v>2073</v>
      </c>
      <c r="C701" s="16" t="s">
        <v>18567</v>
      </c>
      <c r="D701" s="15" t="str">
        <f>IFERROR(__xludf.DUMMYFUNCTION("QUERY(TY_ALL_2023_Batch!$A$1:$E$824, ""SELECT E WHERE C='""&amp;B701&amp;""'"", 0)"),"ETX")</f>
        <v>ETX</v>
      </c>
      <c r="E701" s="15" t="s">
        <v>3328</v>
      </c>
      <c r="F701" s="15" t="s">
        <v>3247</v>
      </c>
      <c r="G701" s="15" t="s">
        <v>18568</v>
      </c>
      <c r="H701" s="15" t="s">
        <v>2785</v>
      </c>
      <c r="I701" s="17">
        <v>37361.0</v>
      </c>
      <c r="J701" s="15">
        <v>2019.0</v>
      </c>
      <c r="K701" s="15" t="s">
        <v>2786</v>
      </c>
      <c r="L701" s="15" t="s">
        <v>2787</v>
      </c>
      <c r="M701" s="18"/>
      <c r="N701" s="15" t="s">
        <v>18569</v>
      </c>
      <c r="O701" s="15" t="s">
        <v>2073</v>
      </c>
      <c r="P701" s="19" t="s">
        <v>18570</v>
      </c>
      <c r="Q701" s="15">
        <v>7.744089704E9</v>
      </c>
      <c r="R701" s="15">
        <v>7.744089704E9</v>
      </c>
      <c r="S701" s="15">
        <v>8.421909397E9</v>
      </c>
      <c r="T701" s="15" t="s">
        <v>18571</v>
      </c>
      <c r="U701" s="15" t="s">
        <v>18572</v>
      </c>
      <c r="V701" s="15" t="s">
        <v>18573</v>
      </c>
      <c r="W701" s="15" t="s">
        <v>18574</v>
      </c>
      <c r="X701" s="15">
        <v>90.0</v>
      </c>
      <c r="Y701" s="15" t="s">
        <v>2795</v>
      </c>
      <c r="Z701" s="15">
        <v>5.33</v>
      </c>
      <c r="AA701" s="15">
        <v>5.95</v>
      </c>
      <c r="AB701" s="15" t="s">
        <v>2796</v>
      </c>
      <c r="AC701" s="15" t="s">
        <v>2796</v>
      </c>
      <c r="AD701" s="15" t="s">
        <v>2796</v>
      </c>
      <c r="AE701" s="15" t="s">
        <v>2796</v>
      </c>
      <c r="AF701" s="15">
        <v>7.47</v>
      </c>
      <c r="AG701" s="15">
        <v>6.14</v>
      </c>
      <c r="AH701" s="15">
        <v>67.73</v>
      </c>
      <c r="AI701" s="18"/>
      <c r="AJ701" s="15" t="s">
        <v>2797</v>
      </c>
      <c r="AK701" s="15" t="s">
        <v>2787</v>
      </c>
      <c r="AL701" s="18"/>
      <c r="AM701" s="29">
        <v>4.2057077E8</v>
      </c>
      <c r="AN701" s="15" t="s">
        <v>2787</v>
      </c>
      <c r="AO701" s="15" t="s">
        <v>18575</v>
      </c>
      <c r="AP701" s="15" t="s">
        <v>18576</v>
      </c>
      <c r="AQ701" s="15" t="s">
        <v>5387</v>
      </c>
      <c r="AR701" s="18"/>
      <c r="AS701" s="18"/>
      <c r="AT701" s="18"/>
      <c r="AU701" s="18"/>
      <c r="AV701" s="15" t="s">
        <v>18577</v>
      </c>
      <c r="AW701" s="15" t="s">
        <v>18578</v>
      </c>
      <c r="AX701" s="18"/>
      <c r="AY701" s="15" t="s">
        <v>18579</v>
      </c>
      <c r="AZ701" s="15" t="s">
        <v>4670</v>
      </c>
      <c r="BA701" s="15" t="s">
        <v>2839</v>
      </c>
      <c r="BB701" s="15" t="s">
        <v>3109</v>
      </c>
      <c r="BC701" s="15" t="s">
        <v>4746</v>
      </c>
      <c r="BD701" s="15" t="s">
        <v>2807</v>
      </c>
      <c r="BE701" s="15" t="s">
        <v>2796</v>
      </c>
      <c r="BF701" s="18"/>
      <c r="BG701" s="18"/>
      <c r="BH701" s="18"/>
      <c r="BI701" s="15" t="s">
        <v>18580</v>
      </c>
      <c r="BJ701" s="19" t="s">
        <v>18581</v>
      </c>
      <c r="BK701" s="19" t="s">
        <v>18582</v>
      </c>
      <c r="BL701" s="18"/>
      <c r="BM701" s="19" t="s">
        <v>18583</v>
      </c>
      <c r="BN701" s="19" t="s">
        <v>18584</v>
      </c>
      <c r="BO701" s="19" t="s">
        <v>18585</v>
      </c>
      <c r="BP701" s="19" t="s">
        <v>18586</v>
      </c>
      <c r="BQ701" s="26"/>
      <c r="BR701" s="26"/>
      <c r="BS701" s="26"/>
      <c r="BT701" s="26"/>
      <c r="BU701" s="26"/>
      <c r="BV701" s="26"/>
      <c r="BW701" s="26"/>
      <c r="BX701" s="26"/>
      <c r="BY701" s="18" t="str">
        <f t="shared" si="108"/>
        <v>ETX</v>
      </c>
      <c r="BZ701" s="18" t="str">
        <f t="shared" si="100"/>
        <v/>
      </c>
      <c r="CA701" s="24" t="str">
        <f t="shared" si="101"/>
        <v>https://drive.google.com/open?id=1V7PA-QqWz2VpupRd4Ze3AertyBKAO1iv</v>
      </c>
      <c r="CB701" s="15" t="s">
        <v>2908</v>
      </c>
      <c r="CC701" s="15" t="s">
        <v>2821</v>
      </c>
      <c r="CD701" s="25" t="s">
        <v>2797</v>
      </c>
      <c r="CE701" s="18"/>
      <c r="CF701" s="18"/>
    </row>
    <row r="702" hidden="1">
      <c r="A702" s="14">
        <v>44723.001007314815</v>
      </c>
      <c r="B702" s="15" t="s">
        <v>2178</v>
      </c>
      <c r="C702" s="16" t="s">
        <v>18587</v>
      </c>
      <c r="D702" s="15" t="str">
        <f>IFERROR(__xludf.DUMMYFUNCTION("QUERY(TY_ALL_2023_Batch!$A$1:$E$824, ""SELECT E WHERE C='""&amp;B702&amp;""'"", 0)"),"IT")</f>
        <v>IT</v>
      </c>
      <c r="E702" s="15" t="s">
        <v>18588</v>
      </c>
      <c r="F702" s="15" t="s">
        <v>16775</v>
      </c>
      <c r="G702" s="15" t="s">
        <v>18589</v>
      </c>
      <c r="H702" s="15" t="s">
        <v>2785</v>
      </c>
      <c r="I702" s="17">
        <v>37153.0</v>
      </c>
      <c r="J702" s="15">
        <v>2019.0</v>
      </c>
      <c r="K702" s="15" t="s">
        <v>2786</v>
      </c>
      <c r="L702" s="15" t="s">
        <v>2787</v>
      </c>
      <c r="M702" s="18"/>
      <c r="N702" s="15" t="s">
        <v>18590</v>
      </c>
      <c r="O702" s="15" t="s">
        <v>2178</v>
      </c>
      <c r="P702" s="19" t="s">
        <v>18591</v>
      </c>
      <c r="Q702" s="15">
        <v>7.249622769E9</v>
      </c>
      <c r="R702" s="15">
        <v>7.249622769E9</v>
      </c>
      <c r="S702" s="18"/>
      <c r="T702" s="15" t="s">
        <v>18592</v>
      </c>
      <c r="U702" s="15" t="s">
        <v>18593</v>
      </c>
      <c r="V702" s="15" t="s">
        <v>18594</v>
      </c>
      <c r="W702" s="18"/>
      <c r="X702" s="15">
        <v>8.0</v>
      </c>
      <c r="Y702" s="15" t="s">
        <v>2795</v>
      </c>
      <c r="Z702" s="15">
        <v>8.43</v>
      </c>
      <c r="AA702" s="15">
        <v>8.9</v>
      </c>
      <c r="AB702" s="15" t="s">
        <v>2796</v>
      </c>
      <c r="AC702" s="15" t="s">
        <v>2796</v>
      </c>
      <c r="AD702" s="15" t="s">
        <v>2796</v>
      </c>
      <c r="AE702" s="15" t="s">
        <v>2796</v>
      </c>
      <c r="AF702" s="15">
        <v>7.42</v>
      </c>
      <c r="AG702" s="15">
        <v>6.86</v>
      </c>
      <c r="AH702" s="15">
        <v>79.83</v>
      </c>
      <c r="AI702" s="18"/>
      <c r="AJ702" s="15" t="s">
        <v>2787</v>
      </c>
      <c r="AK702" s="15" t="s">
        <v>2787</v>
      </c>
      <c r="AL702" s="15">
        <v>653.33</v>
      </c>
      <c r="AM702" s="15">
        <v>686.67</v>
      </c>
      <c r="AN702" s="15" t="s">
        <v>2787</v>
      </c>
      <c r="AO702" s="18"/>
      <c r="AP702" s="18"/>
      <c r="AQ702" s="15" t="s">
        <v>2796</v>
      </c>
      <c r="AR702" s="18"/>
      <c r="AS702" s="15" t="s">
        <v>5356</v>
      </c>
      <c r="AT702" s="18"/>
      <c r="AU702" s="15" t="s">
        <v>2796</v>
      </c>
      <c r="AV702" s="15" t="s">
        <v>18595</v>
      </c>
      <c r="AW702" s="15" t="s">
        <v>18596</v>
      </c>
      <c r="AX702" s="18"/>
      <c r="AY702" s="15" t="s">
        <v>18597</v>
      </c>
      <c r="AZ702" s="15" t="s">
        <v>5287</v>
      </c>
      <c r="BA702" s="15" t="s">
        <v>18598</v>
      </c>
      <c r="BB702" s="15" t="s">
        <v>18599</v>
      </c>
      <c r="BC702" s="15" t="s">
        <v>12298</v>
      </c>
      <c r="BD702" s="15" t="s">
        <v>2807</v>
      </c>
      <c r="BE702" s="15" t="s">
        <v>18600</v>
      </c>
      <c r="BF702" s="18"/>
      <c r="BG702" s="18"/>
      <c r="BH702" s="18"/>
      <c r="BI702" s="15" t="s">
        <v>18601</v>
      </c>
      <c r="BJ702" s="19" t="s">
        <v>18602</v>
      </c>
      <c r="BK702" s="19" t="s">
        <v>18603</v>
      </c>
      <c r="BL702" s="19" t="s">
        <v>18604</v>
      </c>
      <c r="BM702" s="19" t="s">
        <v>18605</v>
      </c>
      <c r="BN702" s="28" t="s">
        <v>2931</v>
      </c>
      <c r="BO702" s="19" t="s">
        <v>18606</v>
      </c>
      <c r="BP702" s="19" t="s">
        <v>18607</v>
      </c>
      <c r="BQ702" s="26"/>
      <c r="BR702" s="26"/>
      <c r="BS702" s="26"/>
      <c r="BT702" s="26"/>
      <c r="BU702" s="26"/>
      <c r="BV702" s="26"/>
      <c r="BW702" s="26"/>
      <c r="BX702" s="26"/>
      <c r="BY702" s="18" t="str">
        <f t="shared" si="108"/>
        <v>IT</v>
      </c>
      <c r="BZ702" s="24" t="str">
        <f t="shared" si="100"/>
        <v>https://drive.google.com/open?id=1EGhx711Xe8tTE9yVoQ1Mr9oxsxIA4dyB</v>
      </c>
      <c r="CA702" s="24" t="str">
        <f t="shared" si="101"/>
        <v>https://drive.google.com/open?id=1S3x6zJPxHPPxfv67eywJTIXMIWyOo9ni</v>
      </c>
      <c r="CB702" s="15" t="s">
        <v>2821</v>
      </c>
      <c r="CC702" s="15" t="s">
        <v>2821</v>
      </c>
      <c r="CD702" s="25" t="s">
        <v>2797</v>
      </c>
      <c r="CE702" s="18"/>
      <c r="CF702" s="18"/>
    </row>
    <row r="703" hidden="1">
      <c r="A703" s="14">
        <v>44722.89355778936</v>
      </c>
      <c r="B703" s="15" t="s">
        <v>2199</v>
      </c>
      <c r="C703" s="16" t="s">
        <v>18608</v>
      </c>
      <c r="D703" s="15" t="str">
        <f>IFERROR(__xludf.DUMMYFUNCTION("QUERY(TY_ALL_2023_Batch!$A$1:$E$824, ""SELECT E WHERE C='""&amp;B703&amp;""'"", 0)"),"IT")</f>
        <v>IT</v>
      </c>
      <c r="E703" s="15" t="s">
        <v>18609</v>
      </c>
      <c r="F703" s="18"/>
      <c r="G703" s="15" t="s">
        <v>18610</v>
      </c>
      <c r="H703" s="15" t="s">
        <v>2785</v>
      </c>
      <c r="I703" s="17">
        <v>37117.0</v>
      </c>
      <c r="J703" s="15">
        <v>2019.0</v>
      </c>
      <c r="K703" s="15" t="s">
        <v>2786</v>
      </c>
      <c r="L703" s="15" t="s">
        <v>2787</v>
      </c>
      <c r="M703" s="18"/>
      <c r="N703" s="15" t="s">
        <v>18611</v>
      </c>
      <c r="O703" s="15" t="s">
        <v>2199</v>
      </c>
      <c r="P703" s="19" t="s">
        <v>18612</v>
      </c>
      <c r="Q703" s="15">
        <v>7.889624862E9</v>
      </c>
      <c r="R703" s="15">
        <v>7.889624862E9</v>
      </c>
      <c r="S703" s="15">
        <v>7.006143488E9</v>
      </c>
      <c r="T703" s="15" t="s">
        <v>18613</v>
      </c>
      <c r="U703" s="15" t="s">
        <v>18614</v>
      </c>
      <c r="V703" s="15" t="s">
        <v>18615</v>
      </c>
      <c r="W703" s="18"/>
      <c r="X703" s="15">
        <v>87.4</v>
      </c>
      <c r="Y703" s="15" t="s">
        <v>2795</v>
      </c>
      <c r="Z703" s="15">
        <v>9.62</v>
      </c>
      <c r="AA703" s="15">
        <v>9.76</v>
      </c>
      <c r="AB703" s="15" t="s">
        <v>2796</v>
      </c>
      <c r="AC703" s="15" t="s">
        <v>2796</v>
      </c>
      <c r="AD703" s="15" t="s">
        <v>2796</v>
      </c>
      <c r="AE703" s="15" t="s">
        <v>2796</v>
      </c>
      <c r="AF703" s="15">
        <v>8.68</v>
      </c>
      <c r="AG703" s="15">
        <v>9.1</v>
      </c>
      <c r="AH703" s="15">
        <v>83.8</v>
      </c>
      <c r="AI703" s="18"/>
      <c r="AJ703" s="15" t="s">
        <v>2787</v>
      </c>
      <c r="AK703" s="15" t="s">
        <v>2787</v>
      </c>
      <c r="AL703" s="15">
        <v>643.0</v>
      </c>
      <c r="AM703" s="15">
        <v>620.0</v>
      </c>
      <c r="AN703" s="15" t="s">
        <v>2787</v>
      </c>
      <c r="AO703" s="15" t="s">
        <v>2796</v>
      </c>
      <c r="AP703" s="15" t="s">
        <v>3385</v>
      </c>
      <c r="AQ703" s="15" t="s">
        <v>5415</v>
      </c>
      <c r="AR703" s="15" t="s">
        <v>17581</v>
      </c>
      <c r="AS703" s="15" t="s">
        <v>2796</v>
      </c>
      <c r="AT703" s="15" t="s">
        <v>2796</v>
      </c>
      <c r="AU703" s="15" t="s">
        <v>18616</v>
      </c>
      <c r="AV703" s="15" t="s">
        <v>17423</v>
      </c>
      <c r="AW703" s="15" t="s">
        <v>17424</v>
      </c>
      <c r="AX703" s="15" t="s">
        <v>2796</v>
      </c>
      <c r="AY703" s="15" t="s">
        <v>17425</v>
      </c>
      <c r="AZ703" s="15" t="s">
        <v>5287</v>
      </c>
      <c r="BA703" s="15" t="s">
        <v>18617</v>
      </c>
      <c r="BB703" s="15" t="s">
        <v>11446</v>
      </c>
      <c r="BC703" s="15" t="s">
        <v>18618</v>
      </c>
      <c r="BD703" s="15" t="s">
        <v>2807</v>
      </c>
      <c r="BE703" s="15" t="s">
        <v>18619</v>
      </c>
      <c r="BF703" s="18"/>
      <c r="BG703" s="15"/>
      <c r="BH703" s="18"/>
      <c r="BI703" s="18"/>
      <c r="BJ703" s="19" t="s">
        <v>18620</v>
      </c>
      <c r="BK703" s="19" t="s">
        <v>18621</v>
      </c>
      <c r="BL703" s="18"/>
      <c r="BM703" s="18"/>
      <c r="BN703" s="19" t="s">
        <v>18622</v>
      </c>
      <c r="BO703" s="19" t="s">
        <v>18623</v>
      </c>
      <c r="BP703" s="19" t="s">
        <v>18624</v>
      </c>
      <c r="BQ703" s="26"/>
      <c r="BR703" s="26"/>
      <c r="BS703" s="26"/>
      <c r="BT703" s="26"/>
      <c r="BU703" s="26"/>
      <c r="BV703" s="26"/>
      <c r="BW703" s="26"/>
      <c r="BX703" s="26"/>
      <c r="BY703" s="18" t="str">
        <f t="shared" si="108"/>
        <v>IT</v>
      </c>
      <c r="BZ703" s="18" t="str">
        <f t="shared" si="100"/>
        <v/>
      </c>
      <c r="CA703" s="18" t="str">
        <f t="shared" si="101"/>
        <v/>
      </c>
      <c r="CB703" s="15" t="s">
        <v>2908</v>
      </c>
      <c r="CC703" s="15" t="s">
        <v>2908</v>
      </c>
      <c r="CD703" s="25" t="s">
        <v>2797</v>
      </c>
      <c r="CE703" s="18"/>
      <c r="CF703" s="18"/>
    </row>
    <row r="704" hidden="1">
      <c r="A704" s="14">
        <v>44722.84366627315</v>
      </c>
      <c r="B704" s="15" t="s">
        <v>2208</v>
      </c>
      <c r="C704" s="16" t="s">
        <v>18625</v>
      </c>
      <c r="D704" s="15" t="str">
        <f>IFERROR(__xludf.DUMMYFUNCTION("QUERY(TY_ALL_2023_Batch!$A$1:$E$824, ""SELECT E WHERE C='""&amp;B704&amp;""'"", 0)"),"IT")</f>
        <v>IT</v>
      </c>
      <c r="E704" s="15" t="s">
        <v>18626</v>
      </c>
      <c r="F704" s="18"/>
      <c r="G704" s="15" t="s">
        <v>18627</v>
      </c>
      <c r="H704" s="15" t="s">
        <v>2785</v>
      </c>
      <c r="I704" s="17">
        <v>36992.0</v>
      </c>
      <c r="J704" s="15">
        <v>2019.0</v>
      </c>
      <c r="K704" s="15" t="s">
        <v>2786</v>
      </c>
      <c r="L704" s="15" t="s">
        <v>2787</v>
      </c>
      <c r="M704" s="18"/>
      <c r="N704" s="15" t="s">
        <v>18628</v>
      </c>
      <c r="O704" s="15" t="s">
        <v>2208</v>
      </c>
      <c r="P704" s="19" t="s">
        <v>18629</v>
      </c>
      <c r="Q704" s="15">
        <v>9.082262461E9</v>
      </c>
      <c r="R704" s="15">
        <v>9.082262461E9</v>
      </c>
      <c r="S704" s="18"/>
      <c r="T704" s="15" t="s">
        <v>18630</v>
      </c>
      <c r="U704" s="15" t="s">
        <v>18631</v>
      </c>
      <c r="V704" s="15" t="s">
        <v>18632</v>
      </c>
      <c r="W704" s="18"/>
      <c r="X704" s="15">
        <v>94.6</v>
      </c>
      <c r="Y704" s="15" t="s">
        <v>2795</v>
      </c>
      <c r="Z704" s="15">
        <v>9.71</v>
      </c>
      <c r="AA704" s="15">
        <v>9.43</v>
      </c>
      <c r="AB704" s="15" t="s">
        <v>2796</v>
      </c>
      <c r="AC704" s="15" t="s">
        <v>2796</v>
      </c>
      <c r="AD704" s="15" t="s">
        <v>2796</v>
      </c>
      <c r="AE704" s="15" t="s">
        <v>2796</v>
      </c>
      <c r="AF704" s="15">
        <v>9.32</v>
      </c>
      <c r="AG704" s="15">
        <v>8.71</v>
      </c>
      <c r="AH704" s="15">
        <v>72.6</v>
      </c>
      <c r="AI704" s="18"/>
      <c r="AJ704" s="15" t="s">
        <v>2787</v>
      </c>
      <c r="AK704" s="15" t="s">
        <v>2787</v>
      </c>
      <c r="AL704" s="15">
        <v>629.16</v>
      </c>
      <c r="AM704" s="15">
        <v>696.66</v>
      </c>
      <c r="AN704" s="15" t="s">
        <v>2797</v>
      </c>
      <c r="AO704" s="18"/>
      <c r="AP704" s="18"/>
      <c r="AQ704" s="15" t="s">
        <v>18633</v>
      </c>
      <c r="AR704" s="18"/>
      <c r="AS704" s="18"/>
      <c r="AT704" s="18"/>
      <c r="AU704" s="18"/>
      <c r="AV704" s="18"/>
      <c r="AW704" s="15" t="s">
        <v>18634</v>
      </c>
      <c r="AX704" s="18"/>
      <c r="AY704" s="15" t="s">
        <v>18635</v>
      </c>
      <c r="AZ704" s="15" t="s">
        <v>5335</v>
      </c>
      <c r="BA704" s="15" t="s">
        <v>2899</v>
      </c>
      <c r="BB704" s="15" t="s">
        <v>2807</v>
      </c>
      <c r="BC704" s="15" t="s">
        <v>2796</v>
      </c>
      <c r="BD704" s="15" t="s">
        <v>4556</v>
      </c>
      <c r="BE704" s="15" t="s">
        <v>2796</v>
      </c>
      <c r="BF704" s="18"/>
      <c r="BG704" s="18"/>
      <c r="BH704" s="18"/>
      <c r="BI704" s="15" t="s">
        <v>18636</v>
      </c>
      <c r="BJ704" s="19" t="s">
        <v>18637</v>
      </c>
      <c r="BK704" s="19" t="s">
        <v>18638</v>
      </c>
      <c r="BL704" s="18"/>
      <c r="BM704" s="18"/>
      <c r="BN704" s="18"/>
      <c r="BO704" s="19" t="s">
        <v>18639</v>
      </c>
      <c r="BP704" s="18"/>
      <c r="BQ704" s="18"/>
      <c r="BR704" s="18"/>
      <c r="BS704" s="18"/>
      <c r="BT704" s="18"/>
      <c r="BU704" s="18"/>
      <c r="BV704" s="18"/>
      <c r="BW704" s="18"/>
      <c r="BX704" s="18"/>
      <c r="BY704" s="18" t="str">
        <f t="shared" si="108"/>
        <v>IT</v>
      </c>
      <c r="BZ704" s="18" t="str">
        <f t="shared" si="100"/>
        <v/>
      </c>
      <c r="CA704" s="18" t="str">
        <f t="shared" si="101"/>
        <v/>
      </c>
      <c r="CB704" s="15" t="s">
        <v>2908</v>
      </c>
      <c r="CC704" s="15" t="s">
        <v>2908</v>
      </c>
      <c r="CD704" s="25" t="s">
        <v>2797</v>
      </c>
      <c r="CE704" s="18"/>
      <c r="CF704" s="18"/>
    </row>
    <row r="705" hidden="1">
      <c r="A705" s="14">
        <v>44718.773289467594</v>
      </c>
      <c r="B705" s="15" t="s">
        <v>2247</v>
      </c>
      <c r="C705" s="16" t="s">
        <v>18640</v>
      </c>
      <c r="D705" s="15" t="str">
        <f>IFERROR(__xludf.DUMMYFUNCTION("QUERY(TY_ALL_2023_Batch!$A$1:$E$824, ""SELECT E WHERE C='""&amp;B705&amp;""'"", 0)"),"IT")</f>
        <v>IT</v>
      </c>
      <c r="E705" s="15" t="s">
        <v>10441</v>
      </c>
      <c r="F705" s="15" t="s">
        <v>18641</v>
      </c>
      <c r="G705" s="15" t="s">
        <v>8023</v>
      </c>
      <c r="H705" s="15" t="s">
        <v>2785</v>
      </c>
      <c r="I705" s="17">
        <v>37005.0</v>
      </c>
      <c r="J705" s="15">
        <v>2019.0</v>
      </c>
      <c r="K705" s="15" t="s">
        <v>2786</v>
      </c>
      <c r="L705" s="15" t="s">
        <v>2787</v>
      </c>
      <c r="M705" s="18"/>
      <c r="N705" s="15" t="s">
        <v>18642</v>
      </c>
      <c r="O705" s="15" t="s">
        <v>2247</v>
      </c>
      <c r="P705" s="19" t="s">
        <v>18643</v>
      </c>
      <c r="Q705" s="15">
        <v>7.709915693E9</v>
      </c>
      <c r="R705" s="15">
        <v>7.709915693E9</v>
      </c>
      <c r="S705" s="18"/>
      <c r="T705" s="15" t="s">
        <v>18641</v>
      </c>
      <c r="U705" s="15" t="s">
        <v>18644</v>
      </c>
      <c r="V705" s="15" t="s">
        <v>18645</v>
      </c>
      <c r="W705" s="18"/>
      <c r="X705" s="15">
        <v>90.4</v>
      </c>
      <c r="Y705" s="15" t="s">
        <v>2795</v>
      </c>
      <c r="Z705" s="15">
        <v>9.62</v>
      </c>
      <c r="AA705" s="15">
        <v>9.43</v>
      </c>
      <c r="AB705" s="15" t="s">
        <v>2796</v>
      </c>
      <c r="AC705" s="15" t="s">
        <v>2796</v>
      </c>
      <c r="AD705" s="15" t="s">
        <v>2796</v>
      </c>
      <c r="AE705" s="15" t="s">
        <v>2796</v>
      </c>
      <c r="AF705" s="15">
        <v>9.05</v>
      </c>
      <c r="AG705" s="15">
        <v>9.71</v>
      </c>
      <c r="AH705" s="15">
        <v>79.54</v>
      </c>
      <c r="AI705" s="18"/>
      <c r="AJ705" s="15" t="s">
        <v>2787</v>
      </c>
      <c r="AK705" s="15" t="s">
        <v>2787</v>
      </c>
      <c r="AL705" s="15">
        <v>76.0</v>
      </c>
      <c r="AM705" s="15">
        <v>96.0</v>
      </c>
      <c r="AN705" s="15" t="s">
        <v>2797</v>
      </c>
      <c r="AO705" s="18"/>
      <c r="AP705" s="18"/>
      <c r="AQ705" s="15" t="s">
        <v>6143</v>
      </c>
      <c r="AR705" s="15" t="s">
        <v>18646</v>
      </c>
      <c r="AS705" s="18"/>
      <c r="AT705" s="18"/>
      <c r="AU705" s="15" t="s">
        <v>18647</v>
      </c>
      <c r="AV705" s="15" t="s">
        <v>18648</v>
      </c>
      <c r="AW705" s="15" t="s">
        <v>18649</v>
      </c>
      <c r="AX705" s="18"/>
      <c r="AY705" s="15" t="s">
        <v>18650</v>
      </c>
      <c r="AZ705" s="15" t="s">
        <v>5287</v>
      </c>
      <c r="BA705" s="15" t="s">
        <v>18651</v>
      </c>
      <c r="BB705" s="15" t="s">
        <v>18652</v>
      </c>
      <c r="BC705" s="15" t="s">
        <v>18653</v>
      </c>
      <c r="BD705" s="15" t="s">
        <v>2807</v>
      </c>
      <c r="BE705" s="15" t="s">
        <v>18654</v>
      </c>
      <c r="BF705" s="15" t="s">
        <v>18655</v>
      </c>
      <c r="BG705" s="18"/>
      <c r="BH705" s="18"/>
      <c r="BI705" s="15" t="s">
        <v>18656</v>
      </c>
      <c r="BJ705" s="19" t="s">
        <v>18657</v>
      </c>
      <c r="BK705" s="19" t="s">
        <v>18658</v>
      </c>
      <c r="BL705" s="18"/>
      <c r="BM705" s="18"/>
      <c r="BN705" s="19" t="s">
        <v>18659</v>
      </c>
      <c r="BO705" s="19" t="s">
        <v>18660</v>
      </c>
      <c r="BP705" s="19" t="s">
        <v>18661</v>
      </c>
      <c r="BQ705" s="26"/>
      <c r="BR705" s="26"/>
      <c r="BS705" s="26"/>
      <c r="BT705" s="26"/>
      <c r="BU705" s="26"/>
      <c r="BV705" s="26"/>
      <c r="BW705" s="26"/>
      <c r="BX705" s="26"/>
      <c r="BY705" s="18" t="str">
        <f t="shared" si="108"/>
        <v>IT</v>
      </c>
      <c r="BZ705" s="18" t="str">
        <f t="shared" si="100"/>
        <v/>
      </c>
      <c r="CA705" s="18" t="str">
        <f t="shared" si="101"/>
        <v/>
      </c>
      <c r="CB705" s="15" t="s">
        <v>2908</v>
      </c>
      <c r="CC705" s="15" t="s">
        <v>2908</v>
      </c>
      <c r="CD705" s="25" t="s">
        <v>2797</v>
      </c>
      <c r="CE705" s="18"/>
      <c r="CF705" s="18"/>
    </row>
    <row r="706" hidden="1">
      <c r="A706" s="14">
        <v>44722.98964347222</v>
      </c>
      <c r="B706" s="15" t="s">
        <v>2133</v>
      </c>
      <c r="C706" s="16" t="s">
        <v>18662</v>
      </c>
      <c r="D706" s="15" t="str">
        <f>IFERROR(__xludf.DUMMYFUNCTION("QUERY(TY_ALL_2023_Batch!$A$1:$E$824, ""SELECT E WHERE C='""&amp;B706&amp;""'"", 0)"),"IT")</f>
        <v>IT</v>
      </c>
      <c r="E706" s="15" t="s">
        <v>18663</v>
      </c>
      <c r="F706" s="15" t="s">
        <v>13562</v>
      </c>
      <c r="G706" s="15" t="s">
        <v>18664</v>
      </c>
      <c r="H706" s="15" t="s">
        <v>2785</v>
      </c>
      <c r="I706" s="17">
        <v>37193.0</v>
      </c>
      <c r="J706" s="15">
        <v>2019.0</v>
      </c>
      <c r="K706" s="15" t="s">
        <v>2786</v>
      </c>
      <c r="L706" s="15" t="s">
        <v>2787</v>
      </c>
      <c r="M706" s="18"/>
      <c r="N706" s="15" t="s">
        <v>18665</v>
      </c>
      <c r="O706" s="15" t="s">
        <v>2133</v>
      </c>
      <c r="P706" s="19" t="s">
        <v>18666</v>
      </c>
      <c r="Q706" s="15">
        <v>7.49967637E9</v>
      </c>
      <c r="R706" s="15">
        <v>7.49967637E9</v>
      </c>
      <c r="S706" s="18"/>
      <c r="T706" s="15" t="s">
        <v>13562</v>
      </c>
      <c r="U706" s="15" t="s">
        <v>7633</v>
      </c>
      <c r="V706" s="15" t="s">
        <v>18667</v>
      </c>
      <c r="W706" s="15" t="s">
        <v>18668</v>
      </c>
      <c r="X706" s="15">
        <v>74.0</v>
      </c>
      <c r="Y706" s="15" t="s">
        <v>2795</v>
      </c>
      <c r="Z706" s="15">
        <v>8.57</v>
      </c>
      <c r="AA706" s="15">
        <v>8.24</v>
      </c>
      <c r="AB706" s="15" t="s">
        <v>2796</v>
      </c>
      <c r="AC706" s="15" t="s">
        <v>2796</v>
      </c>
      <c r="AD706" s="15" t="s">
        <v>2796</v>
      </c>
      <c r="AE706" s="15" t="s">
        <v>2796</v>
      </c>
      <c r="AF706" s="15">
        <v>7.42</v>
      </c>
      <c r="AG706" s="15">
        <v>7.86</v>
      </c>
      <c r="AH706" s="15">
        <v>80.0</v>
      </c>
      <c r="AI706" s="18"/>
      <c r="AJ706" s="15" t="s">
        <v>2787</v>
      </c>
      <c r="AK706" s="15" t="s">
        <v>2787</v>
      </c>
      <c r="AL706" s="15">
        <v>46.0</v>
      </c>
      <c r="AM706" s="15">
        <v>65.0</v>
      </c>
      <c r="AN706" s="15" t="s">
        <v>2787</v>
      </c>
      <c r="AO706" s="15" t="s">
        <v>6951</v>
      </c>
      <c r="AP706" s="15" t="s">
        <v>18669</v>
      </c>
      <c r="AQ706" s="15" t="s">
        <v>18670</v>
      </c>
      <c r="AR706" s="15" t="s">
        <v>6951</v>
      </c>
      <c r="AS706" s="15" t="s">
        <v>6951</v>
      </c>
      <c r="AT706" s="15" t="s">
        <v>6951</v>
      </c>
      <c r="AU706" s="15" t="s">
        <v>18671</v>
      </c>
      <c r="AV706" s="15" t="s">
        <v>18672</v>
      </c>
      <c r="AW706" s="15" t="s">
        <v>2796</v>
      </c>
      <c r="AX706" s="15" t="s">
        <v>2796</v>
      </c>
      <c r="AY706" s="15" t="s">
        <v>18673</v>
      </c>
      <c r="AZ706" s="15" t="s">
        <v>5625</v>
      </c>
      <c r="BA706" s="15" t="s">
        <v>2806</v>
      </c>
      <c r="BB706" s="15" t="s">
        <v>3462</v>
      </c>
      <c r="BC706" s="15" t="s">
        <v>4644</v>
      </c>
      <c r="BD706" s="15" t="s">
        <v>2807</v>
      </c>
      <c r="BE706" s="15" t="s">
        <v>2796</v>
      </c>
      <c r="BF706" s="15" t="s">
        <v>2796</v>
      </c>
      <c r="BG706" s="18"/>
      <c r="BH706" s="18"/>
      <c r="BI706" s="18"/>
      <c r="BJ706" s="19" t="s">
        <v>18674</v>
      </c>
      <c r="BK706" s="19" t="s">
        <v>18675</v>
      </c>
      <c r="BL706" s="18"/>
      <c r="BM706" s="18"/>
      <c r="BN706" s="18"/>
      <c r="BO706" s="19" t="s">
        <v>18676</v>
      </c>
      <c r="BP706" s="18"/>
      <c r="BQ706" s="18"/>
      <c r="BR706" s="18"/>
      <c r="BS706" s="18"/>
      <c r="BT706" s="18"/>
      <c r="BU706" s="18"/>
      <c r="BV706" s="18"/>
      <c r="BW706" s="18"/>
      <c r="BX706" s="18"/>
      <c r="BY706" s="18" t="str">
        <f t="shared" si="108"/>
        <v>IT</v>
      </c>
      <c r="BZ706" s="18" t="str">
        <f t="shared" si="100"/>
        <v/>
      </c>
      <c r="CA706" s="18" t="str">
        <f t="shared" si="101"/>
        <v/>
      </c>
      <c r="CB706" s="15" t="s">
        <v>2908</v>
      </c>
      <c r="CC706" s="15" t="s">
        <v>2908</v>
      </c>
      <c r="CD706" s="25" t="s">
        <v>2797</v>
      </c>
      <c r="CE706" s="18"/>
      <c r="CF706" s="18"/>
    </row>
    <row r="707" hidden="1">
      <c r="A707" s="14">
        <v>44722.97666734953</v>
      </c>
      <c r="B707" s="15" t="s">
        <v>2106</v>
      </c>
      <c r="C707" s="16" t="s">
        <v>18677</v>
      </c>
      <c r="D707" s="15" t="str">
        <f>IFERROR(__xludf.DUMMYFUNCTION("QUERY(TY_ALL_2023_Batch!$A$1:$E$824, ""SELECT E WHERE C='""&amp;B707&amp;""'"", 0)"),"IT")</f>
        <v>IT</v>
      </c>
      <c r="E707" s="15" t="s">
        <v>18678</v>
      </c>
      <c r="F707" s="15" t="s">
        <v>10377</v>
      </c>
      <c r="G707" s="15" t="s">
        <v>18679</v>
      </c>
      <c r="H707" s="15" t="s">
        <v>2826</v>
      </c>
      <c r="I707" s="17">
        <v>37141.0</v>
      </c>
      <c r="J707" s="15">
        <v>2019.0</v>
      </c>
      <c r="K707" s="15" t="s">
        <v>2786</v>
      </c>
      <c r="L707" s="15" t="s">
        <v>2787</v>
      </c>
      <c r="M707" s="18"/>
      <c r="N707" s="15" t="s">
        <v>18680</v>
      </c>
      <c r="O707" s="15" t="s">
        <v>18681</v>
      </c>
      <c r="P707" s="19" t="s">
        <v>18682</v>
      </c>
      <c r="Q707" s="15">
        <v>8.63776982E9</v>
      </c>
      <c r="R707" s="15">
        <v>8.63776982E9</v>
      </c>
      <c r="S707" s="15">
        <v>7.066206375E9</v>
      </c>
      <c r="T707" s="15" t="s">
        <v>10377</v>
      </c>
      <c r="U707" s="15" t="s">
        <v>9063</v>
      </c>
      <c r="V707" s="15" t="s">
        <v>18683</v>
      </c>
      <c r="W707" s="18"/>
      <c r="X707" s="15">
        <v>93.6</v>
      </c>
      <c r="Y707" s="15" t="s">
        <v>2795</v>
      </c>
      <c r="Z707" s="15">
        <v>9.57</v>
      </c>
      <c r="AA707" s="15">
        <v>9.62</v>
      </c>
      <c r="AB707" s="15" t="s">
        <v>2796</v>
      </c>
      <c r="AC707" s="15" t="s">
        <v>2796</v>
      </c>
      <c r="AD707" s="15" t="s">
        <v>2796</v>
      </c>
      <c r="AE707" s="15" t="s">
        <v>2796</v>
      </c>
      <c r="AF707" s="15">
        <v>8.11</v>
      </c>
      <c r="AG707" s="15">
        <v>8.24</v>
      </c>
      <c r="AH707" s="15">
        <v>74.31</v>
      </c>
      <c r="AI707" s="18"/>
      <c r="AJ707" s="15" t="s">
        <v>2787</v>
      </c>
      <c r="AK707" s="15" t="s">
        <v>2787</v>
      </c>
      <c r="AL707" s="15">
        <v>658.0</v>
      </c>
      <c r="AM707" s="15">
        <v>610.0</v>
      </c>
      <c r="AN707" s="15" t="s">
        <v>2797</v>
      </c>
      <c r="AO707" s="15" t="s">
        <v>2796</v>
      </c>
      <c r="AP707" s="15" t="s">
        <v>2796</v>
      </c>
      <c r="AQ707" s="15" t="s">
        <v>5356</v>
      </c>
      <c r="AR707" s="18"/>
      <c r="AS707" s="15" t="s">
        <v>18684</v>
      </c>
      <c r="AT707" s="18"/>
      <c r="AU707" s="18"/>
      <c r="AV707" s="15" t="s">
        <v>18685</v>
      </c>
      <c r="AW707" s="15" t="s">
        <v>18686</v>
      </c>
      <c r="AX707" s="15" t="s">
        <v>18687</v>
      </c>
      <c r="AY707" s="15" t="s">
        <v>18687</v>
      </c>
      <c r="AZ707" s="15" t="s">
        <v>5260</v>
      </c>
      <c r="BA707" s="15" t="s">
        <v>2806</v>
      </c>
      <c r="BB707" s="15" t="s">
        <v>18688</v>
      </c>
      <c r="BC707" s="15" t="s">
        <v>4746</v>
      </c>
      <c r="BD707" s="15" t="s">
        <v>2842</v>
      </c>
      <c r="BE707" s="15" t="s">
        <v>18689</v>
      </c>
      <c r="BF707" s="18"/>
      <c r="BG707" s="18"/>
      <c r="BH707" s="15" t="s">
        <v>18690</v>
      </c>
      <c r="BI707" s="15" t="s">
        <v>18691</v>
      </c>
      <c r="BJ707" s="19" t="s">
        <v>18692</v>
      </c>
      <c r="BK707" s="19" t="s">
        <v>18693</v>
      </c>
      <c r="BL707" s="18"/>
      <c r="BM707" s="18"/>
      <c r="BN707" s="19" t="s">
        <v>18694</v>
      </c>
      <c r="BO707" s="19" t="s">
        <v>18695</v>
      </c>
      <c r="BP707" s="19" t="s">
        <v>18696</v>
      </c>
      <c r="BQ707" s="26"/>
      <c r="BR707" s="26"/>
      <c r="BS707" s="26"/>
      <c r="BT707" s="26"/>
      <c r="BU707" s="26"/>
      <c r="BV707" s="26"/>
      <c r="BW707" s="26"/>
      <c r="BX707" s="26"/>
      <c r="BY707" s="18" t="str">
        <f t="shared" si="108"/>
        <v>IT</v>
      </c>
      <c r="BZ707" s="18" t="str">
        <f t="shared" si="100"/>
        <v/>
      </c>
      <c r="CA707" s="18" t="str">
        <f t="shared" si="101"/>
        <v/>
      </c>
      <c r="CB707" s="15" t="s">
        <v>2908</v>
      </c>
      <c r="CC707" s="15" t="s">
        <v>2908</v>
      </c>
      <c r="CD707" s="25" t="s">
        <v>2797</v>
      </c>
      <c r="CE707" s="18"/>
      <c r="CF707" s="18"/>
    </row>
    <row r="708" hidden="1">
      <c r="A708" s="14">
        <v>44722.98654252315</v>
      </c>
      <c r="B708" s="15" t="s">
        <v>2166</v>
      </c>
      <c r="C708" s="16" t="s">
        <v>18697</v>
      </c>
      <c r="D708" s="15" t="str">
        <f>IFERROR(__xludf.DUMMYFUNCTION("QUERY(TY_ALL_2023_Batch!$A$1:$E$824, ""SELECT E WHERE C='""&amp;B708&amp;""'"", 0)"),"IT")</f>
        <v>IT</v>
      </c>
      <c r="E708" s="15" t="s">
        <v>4447</v>
      </c>
      <c r="F708" s="15" t="s">
        <v>16286</v>
      </c>
      <c r="G708" s="15" t="s">
        <v>14246</v>
      </c>
      <c r="H708" s="15" t="s">
        <v>2785</v>
      </c>
      <c r="I708" s="17">
        <v>36822.0</v>
      </c>
      <c r="J708" s="15">
        <v>2019.0</v>
      </c>
      <c r="K708" s="15" t="s">
        <v>2786</v>
      </c>
      <c r="L708" s="15" t="s">
        <v>2787</v>
      </c>
      <c r="M708" s="18"/>
      <c r="N708" s="15" t="s">
        <v>18698</v>
      </c>
      <c r="O708" s="15" t="s">
        <v>18699</v>
      </c>
      <c r="P708" s="19" t="s">
        <v>18700</v>
      </c>
      <c r="Q708" s="15">
        <v>9.373854882E9</v>
      </c>
      <c r="R708" s="15">
        <v>9.373854882E9</v>
      </c>
      <c r="S708" s="15">
        <v>9.096424886E9</v>
      </c>
      <c r="T708" s="15" t="s">
        <v>18701</v>
      </c>
      <c r="U708" s="15" t="s">
        <v>18702</v>
      </c>
      <c r="V708" s="15" t="s">
        <v>18703</v>
      </c>
      <c r="W708" s="15" t="s">
        <v>18703</v>
      </c>
      <c r="X708" s="15">
        <v>88.2</v>
      </c>
      <c r="Y708" s="15" t="s">
        <v>2795</v>
      </c>
      <c r="Z708" s="15">
        <v>5.0</v>
      </c>
      <c r="AA708" s="15">
        <v>5.98</v>
      </c>
      <c r="AB708" s="15" t="s">
        <v>2796</v>
      </c>
      <c r="AC708" s="15" t="s">
        <v>2796</v>
      </c>
      <c r="AD708" s="15" t="s">
        <v>2796</v>
      </c>
      <c r="AE708" s="15" t="s">
        <v>2796</v>
      </c>
      <c r="AF708" s="15">
        <v>8.08</v>
      </c>
      <c r="AG708" s="15">
        <v>6.31</v>
      </c>
      <c r="AH708" s="15">
        <v>71.3</v>
      </c>
      <c r="AI708" s="18"/>
      <c r="AJ708" s="15" t="s">
        <v>2787</v>
      </c>
      <c r="AK708" s="15" t="s">
        <v>2787</v>
      </c>
      <c r="AL708" s="18"/>
      <c r="AM708" s="18"/>
      <c r="AN708" s="15" t="s">
        <v>2787</v>
      </c>
      <c r="AO708" s="15" t="s">
        <v>18704</v>
      </c>
      <c r="AP708" s="18"/>
      <c r="AQ708" s="15" t="s">
        <v>18705</v>
      </c>
      <c r="AR708" s="18"/>
      <c r="AS708" s="15" t="s">
        <v>7817</v>
      </c>
      <c r="AT708" s="18"/>
      <c r="AU708" s="18"/>
      <c r="AV708" s="15" t="s">
        <v>7636</v>
      </c>
      <c r="AW708" s="15" t="s">
        <v>18706</v>
      </c>
      <c r="AX708" s="18"/>
      <c r="AY708" s="15" t="s">
        <v>18707</v>
      </c>
      <c r="AZ708" s="15" t="s">
        <v>5287</v>
      </c>
      <c r="BA708" s="15" t="s">
        <v>18708</v>
      </c>
      <c r="BB708" s="15" t="s">
        <v>4504</v>
      </c>
      <c r="BC708" s="15" t="s">
        <v>4241</v>
      </c>
      <c r="BD708" s="15" t="s">
        <v>2807</v>
      </c>
      <c r="BE708" s="15" t="s">
        <v>2796</v>
      </c>
      <c r="BF708" s="18"/>
      <c r="BG708" s="18"/>
      <c r="BH708" s="18"/>
      <c r="BI708" s="18"/>
      <c r="BJ708" s="19" t="s">
        <v>18709</v>
      </c>
      <c r="BK708" s="19" t="s">
        <v>18710</v>
      </c>
      <c r="BL708" s="18"/>
      <c r="BM708" s="18"/>
      <c r="BN708" s="19" t="s">
        <v>18711</v>
      </c>
      <c r="BO708" s="19" t="s">
        <v>18712</v>
      </c>
      <c r="BP708" s="19" t="s">
        <v>18713</v>
      </c>
      <c r="BQ708" s="26"/>
      <c r="BR708" s="26"/>
      <c r="BS708" s="26"/>
      <c r="BT708" s="26"/>
      <c r="BU708" s="26"/>
      <c r="BV708" s="26"/>
      <c r="BW708" s="26"/>
      <c r="BX708" s="26"/>
      <c r="BY708" s="18" t="str">
        <f t="shared" si="108"/>
        <v>IT</v>
      </c>
      <c r="BZ708" s="18" t="str">
        <f t="shared" si="100"/>
        <v/>
      </c>
      <c r="CA708" s="18" t="str">
        <f t="shared" si="101"/>
        <v/>
      </c>
      <c r="CB708" s="15" t="s">
        <v>2908</v>
      </c>
      <c r="CC708" s="15" t="s">
        <v>2908</v>
      </c>
      <c r="CD708" s="25" t="s">
        <v>2797</v>
      </c>
      <c r="CE708" s="18"/>
      <c r="CF708" s="18"/>
    </row>
    <row r="709" hidden="1">
      <c r="A709" s="14">
        <v>44722.99299533565</v>
      </c>
      <c r="B709" s="15" t="s">
        <v>2307</v>
      </c>
      <c r="C709" s="16" t="s">
        <v>18714</v>
      </c>
      <c r="D709" s="15" t="str">
        <f>IFERROR(__xludf.DUMMYFUNCTION("QUERY(TY_ALL_2023_Batch!$A$1:$E$824, ""SELECT E WHERE C='""&amp;B709&amp;""'"", 0)"),"IT")</f>
        <v>IT</v>
      </c>
      <c r="E709" s="15" t="s">
        <v>6294</v>
      </c>
      <c r="F709" s="18"/>
      <c r="G709" s="15" t="s">
        <v>18715</v>
      </c>
      <c r="H709" s="15" t="s">
        <v>2785</v>
      </c>
      <c r="I709" s="17">
        <v>37103.0</v>
      </c>
      <c r="J709" s="15">
        <v>2019.0</v>
      </c>
      <c r="K709" s="15" t="s">
        <v>2786</v>
      </c>
      <c r="L709" s="15" t="s">
        <v>2787</v>
      </c>
      <c r="M709" s="18"/>
      <c r="N709" s="15" t="s">
        <v>18716</v>
      </c>
      <c r="O709" s="15" t="s">
        <v>2307</v>
      </c>
      <c r="P709" s="19" t="s">
        <v>18717</v>
      </c>
      <c r="Q709" s="15">
        <v>9.981612034E9</v>
      </c>
      <c r="R709" s="15">
        <v>9.981612034E9</v>
      </c>
      <c r="S709" s="18"/>
      <c r="T709" s="15" t="s">
        <v>18718</v>
      </c>
      <c r="U709" s="15" t="s">
        <v>18719</v>
      </c>
      <c r="V709" s="15" t="s">
        <v>18720</v>
      </c>
      <c r="W709" s="18"/>
      <c r="X709" s="15">
        <v>89.3</v>
      </c>
      <c r="Y709" s="15" t="s">
        <v>2795</v>
      </c>
      <c r="Z709" s="15">
        <v>9.62</v>
      </c>
      <c r="AA709" s="15">
        <v>9.76</v>
      </c>
      <c r="AB709" s="15" t="s">
        <v>2796</v>
      </c>
      <c r="AC709" s="15" t="s">
        <v>2796</v>
      </c>
      <c r="AD709" s="15" t="s">
        <v>2796</v>
      </c>
      <c r="AE709" s="15" t="s">
        <v>2796</v>
      </c>
      <c r="AF709" s="15">
        <v>8.24</v>
      </c>
      <c r="AG709" s="15">
        <v>9.16</v>
      </c>
      <c r="AH709" s="15">
        <v>77.6</v>
      </c>
      <c r="AI709" s="18"/>
      <c r="AJ709" s="15" t="s">
        <v>2787</v>
      </c>
      <c r="AK709" s="15" t="s">
        <v>2787</v>
      </c>
      <c r="AL709" s="15">
        <v>711.6</v>
      </c>
      <c r="AM709" s="15">
        <v>716.6</v>
      </c>
      <c r="AN709" s="15" t="s">
        <v>2797</v>
      </c>
      <c r="AO709" s="18"/>
      <c r="AP709" s="18"/>
      <c r="AQ709" s="15" t="s">
        <v>5415</v>
      </c>
      <c r="AR709" s="18"/>
      <c r="AS709" s="15" t="s">
        <v>8840</v>
      </c>
      <c r="AT709" s="18"/>
      <c r="AU709" s="15" t="s">
        <v>18721</v>
      </c>
      <c r="AV709" s="15" t="s">
        <v>18722</v>
      </c>
      <c r="AW709" s="15" t="s">
        <v>18723</v>
      </c>
      <c r="AX709" s="18"/>
      <c r="AY709" s="15" t="s">
        <v>18724</v>
      </c>
      <c r="AZ709" s="15" t="s">
        <v>5260</v>
      </c>
      <c r="BA709" s="15" t="s">
        <v>8111</v>
      </c>
      <c r="BB709" s="15" t="s">
        <v>18725</v>
      </c>
      <c r="BC709" s="15" t="s">
        <v>18726</v>
      </c>
      <c r="BD709" s="15" t="s">
        <v>2807</v>
      </c>
      <c r="BE709" s="15" t="s">
        <v>18727</v>
      </c>
      <c r="BF709" s="15" t="s">
        <v>18728</v>
      </c>
      <c r="BG709" s="18"/>
      <c r="BH709" s="18"/>
      <c r="BI709" s="15" t="s">
        <v>18729</v>
      </c>
      <c r="BJ709" s="19" t="s">
        <v>18730</v>
      </c>
      <c r="BK709" s="19" t="s">
        <v>18731</v>
      </c>
      <c r="BL709" s="19" t="s">
        <v>18732</v>
      </c>
      <c r="BM709" s="19" t="s">
        <v>18733</v>
      </c>
      <c r="BN709" s="19" t="s">
        <v>18734</v>
      </c>
      <c r="BO709" s="19" t="s">
        <v>18735</v>
      </c>
      <c r="BP709" s="19" t="s">
        <v>18736</v>
      </c>
      <c r="BQ709" s="26"/>
      <c r="BR709" s="26"/>
      <c r="BS709" s="26"/>
      <c r="BT709" s="26"/>
      <c r="BU709" s="26"/>
      <c r="BV709" s="26"/>
      <c r="BW709" s="26"/>
      <c r="BX709" s="26"/>
      <c r="BY709" s="18" t="str">
        <f t="shared" si="108"/>
        <v>IT</v>
      </c>
      <c r="BZ709" s="24" t="str">
        <f t="shared" si="100"/>
        <v>https://drive.google.com/open?id=1dhcBmTUz8sSOVx2UEoC8lAExoPqWwK28</v>
      </c>
      <c r="CA709" s="24" t="str">
        <f t="shared" si="101"/>
        <v>https://drive.google.com/open?id=1JR7W1yDP1ydY1Ea6hIQdiqIlhM4CSiQS</v>
      </c>
      <c r="CB709" s="15" t="s">
        <v>2821</v>
      </c>
      <c r="CC709" s="15" t="s">
        <v>2821</v>
      </c>
      <c r="CD709" s="25" t="s">
        <v>2797</v>
      </c>
      <c r="CE709" s="18"/>
      <c r="CF709" s="18"/>
    </row>
    <row r="710" hidden="1">
      <c r="A710" s="14">
        <v>44722.48460863426</v>
      </c>
      <c r="B710" s="15" t="s">
        <v>2109</v>
      </c>
      <c r="C710" s="16" t="s">
        <v>18737</v>
      </c>
      <c r="D710" s="15" t="str">
        <f>IFERROR(__xludf.DUMMYFUNCTION("QUERY(TY_ALL_2023_Batch!$A$1:$E$824, ""SELECT E WHERE C='""&amp;B710&amp;""'"", 0)"),"IT")</f>
        <v>IT</v>
      </c>
      <c r="E710" s="15" t="s">
        <v>18738</v>
      </c>
      <c r="F710" s="18"/>
      <c r="G710" s="15" t="s">
        <v>5816</v>
      </c>
      <c r="H710" s="15" t="s">
        <v>2785</v>
      </c>
      <c r="I710" s="17">
        <v>36811.0</v>
      </c>
      <c r="J710" s="15">
        <v>2019.0</v>
      </c>
      <c r="K710" s="15" t="s">
        <v>2786</v>
      </c>
      <c r="L710" s="15" t="s">
        <v>2787</v>
      </c>
      <c r="M710" s="18"/>
      <c r="N710" s="15" t="s">
        <v>18739</v>
      </c>
      <c r="O710" s="15" t="s">
        <v>2109</v>
      </c>
      <c r="P710" s="19" t="s">
        <v>18740</v>
      </c>
      <c r="Q710" s="15">
        <v>7.232852865E9</v>
      </c>
      <c r="R710" s="15">
        <v>7.232852865E9</v>
      </c>
      <c r="S710" s="18"/>
      <c r="T710" s="15" t="s">
        <v>18741</v>
      </c>
      <c r="U710" s="15" t="s">
        <v>18742</v>
      </c>
      <c r="V710" s="15" t="s">
        <v>18743</v>
      </c>
      <c r="W710" s="15" t="s">
        <v>18744</v>
      </c>
      <c r="X710" s="15">
        <v>71.0</v>
      </c>
      <c r="Y710" s="15" t="s">
        <v>2795</v>
      </c>
      <c r="Z710" s="15">
        <v>8.5</v>
      </c>
      <c r="AA710" s="15">
        <v>8.6</v>
      </c>
      <c r="AB710" s="15">
        <v>8.8</v>
      </c>
      <c r="AC710" s="15">
        <v>8.4</v>
      </c>
      <c r="AD710" s="15" t="s">
        <v>3005</v>
      </c>
      <c r="AE710" s="15" t="s">
        <v>3005</v>
      </c>
      <c r="AF710" s="15">
        <v>7.5</v>
      </c>
      <c r="AG710" s="15">
        <v>8.2</v>
      </c>
      <c r="AH710" s="15">
        <v>65.0</v>
      </c>
      <c r="AI710" s="18"/>
      <c r="AJ710" s="15" t="s">
        <v>2787</v>
      </c>
      <c r="AK710" s="15" t="s">
        <v>2787</v>
      </c>
      <c r="AL710" s="15">
        <v>90.0</v>
      </c>
      <c r="AM710" s="15">
        <v>90.0</v>
      </c>
      <c r="AN710" s="15" t="s">
        <v>2787</v>
      </c>
      <c r="AO710" s="15" t="s">
        <v>3005</v>
      </c>
      <c r="AP710" s="15" t="s">
        <v>18745</v>
      </c>
      <c r="AQ710" s="15" t="s">
        <v>9027</v>
      </c>
      <c r="AR710" s="15" t="s">
        <v>18746</v>
      </c>
      <c r="AS710" s="18"/>
      <c r="AT710" s="18"/>
      <c r="AU710" s="15" t="s">
        <v>18747</v>
      </c>
      <c r="AV710" s="15" t="s">
        <v>18748</v>
      </c>
      <c r="AW710" s="15" t="s">
        <v>18749</v>
      </c>
      <c r="AX710" s="18"/>
      <c r="AY710" s="15" t="s">
        <v>18750</v>
      </c>
      <c r="AZ710" s="15" t="s">
        <v>5625</v>
      </c>
      <c r="BA710" s="15" t="s">
        <v>2806</v>
      </c>
      <c r="BB710" s="15" t="s">
        <v>3514</v>
      </c>
      <c r="BC710" s="15" t="s">
        <v>3686</v>
      </c>
      <c r="BD710" s="15" t="s">
        <v>2807</v>
      </c>
      <c r="BE710" s="15" t="s">
        <v>3005</v>
      </c>
      <c r="BF710" s="18"/>
      <c r="BG710" s="18"/>
      <c r="BH710" s="18"/>
      <c r="BI710" s="18"/>
      <c r="BJ710" s="19" t="s">
        <v>18751</v>
      </c>
      <c r="BK710" s="19" t="s">
        <v>18752</v>
      </c>
      <c r="BL710" s="18"/>
      <c r="BM710" s="18"/>
      <c r="BN710" s="18"/>
      <c r="BO710" s="19" t="s">
        <v>18753</v>
      </c>
      <c r="BP710" s="19" t="s">
        <v>18754</v>
      </c>
      <c r="BQ710" s="26"/>
      <c r="BR710" s="26"/>
      <c r="BS710" s="26"/>
      <c r="BT710" s="26"/>
      <c r="BU710" s="26"/>
      <c r="BV710" s="26"/>
      <c r="BW710" s="26"/>
      <c r="BX710" s="26"/>
      <c r="BY710" s="18" t="str">
        <f t="shared" si="108"/>
        <v>IT</v>
      </c>
      <c r="BZ710" s="18" t="str">
        <f t="shared" si="100"/>
        <v/>
      </c>
      <c r="CA710" s="18" t="str">
        <f t="shared" si="101"/>
        <v/>
      </c>
      <c r="CB710" s="15" t="s">
        <v>2908</v>
      </c>
      <c r="CC710" s="15" t="s">
        <v>2908</v>
      </c>
      <c r="CD710" s="25" t="s">
        <v>2797</v>
      </c>
      <c r="CE710" s="18"/>
      <c r="CF710" s="18"/>
    </row>
    <row r="711" hidden="1">
      <c r="A711" s="14">
        <v>44718.74648930556</v>
      </c>
      <c r="B711" s="15" t="s">
        <v>1458</v>
      </c>
      <c r="C711" s="15">
        <v>2.20200215E8</v>
      </c>
      <c r="D711" s="15" t="str">
        <f>IFERROR(__xludf.DUMMYFUNCTION("QUERY(TY_ALL_2023_Batch!$A$1:$E$824, ""SELECT E WHERE C='""&amp;B711&amp;""'"", 0)"),"MECH")</f>
        <v>MECH</v>
      </c>
      <c r="E711" s="15" t="s">
        <v>7663</v>
      </c>
      <c r="F711" s="15" t="s">
        <v>18755</v>
      </c>
      <c r="G711" s="15" t="s">
        <v>18756</v>
      </c>
      <c r="H711" s="15" t="s">
        <v>2785</v>
      </c>
      <c r="I711" s="17">
        <v>37015.0</v>
      </c>
      <c r="J711" s="15">
        <v>2020.0</v>
      </c>
      <c r="K711" s="15" t="s">
        <v>2941</v>
      </c>
      <c r="L711" s="15" t="s">
        <v>2787</v>
      </c>
      <c r="M711" s="18"/>
      <c r="N711" s="15" t="s">
        <v>18757</v>
      </c>
      <c r="O711" s="15" t="s">
        <v>1458</v>
      </c>
      <c r="P711" s="19" t="s">
        <v>18758</v>
      </c>
      <c r="Q711" s="15">
        <v>7.875681325E9</v>
      </c>
      <c r="R711" s="15">
        <v>7.875681325E9</v>
      </c>
      <c r="S711" s="15">
        <v>9.021731348E9</v>
      </c>
      <c r="T711" s="15" t="s">
        <v>18755</v>
      </c>
      <c r="U711" s="15" t="s">
        <v>4958</v>
      </c>
      <c r="V711" s="15" t="s">
        <v>18759</v>
      </c>
      <c r="W711" s="15" t="s">
        <v>18760</v>
      </c>
      <c r="X711" s="15">
        <v>86.6</v>
      </c>
      <c r="Y711" s="15" t="s">
        <v>2948</v>
      </c>
      <c r="Z711" s="15">
        <v>8.9</v>
      </c>
      <c r="AA711" s="15">
        <v>7.95</v>
      </c>
      <c r="AB711" s="15" t="s">
        <v>2796</v>
      </c>
      <c r="AC711" s="15" t="s">
        <v>2796</v>
      </c>
      <c r="AD711" s="15" t="s">
        <v>2796</v>
      </c>
      <c r="AE711" s="15" t="s">
        <v>2796</v>
      </c>
      <c r="AF711" s="18"/>
      <c r="AG711" s="18"/>
      <c r="AH711" s="18"/>
      <c r="AI711" s="15">
        <v>90.56</v>
      </c>
      <c r="AJ711" s="15" t="s">
        <v>2787</v>
      </c>
      <c r="AK711" s="15" t="s">
        <v>2787</v>
      </c>
      <c r="AL711" s="18"/>
      <c r="AM711" s="15">
        <v>541.66</v>
      </c>
      <c r="AN711" s="15" t="s">
        <v>2797</v>
      </c>
      <c r="AO711" s="18"/>
      <c r="AP711" s="18"/>
      <c r="AQ711" s="15" t="s">
        <v>18761</v>
      </c>
      <c r="AR711" s="18"/>
      <c r="AS711" s="18"/>
      <c r="AT711" s="18"/>
      <c r="AU711" s="18"/>
      <c r="AV711" s="15" t="s">
        <v>18762</v>
      </c>
      <c r="AW711" s="15" t="s">
        <v>18763</v>
      </c>
      <c r="AX711" s="18"/>
      <c r="AY711" s="15" t="s">
        <v>18764</v>
      </c>
      <c r="AZ711" s="15" t="s">
        <v>3960</v>
      </c>
      <c r="BA711" s="15" t="s">
        <v>2870</v>
      </c>
      <c r="BB711" s="15" t="s">
        <v>2807</v>
      </c>
      <c r="BC711" s="15" t="s">
        <v>13013</v>
      </c>
      <c r="BD711" s="15" t="s">
        <v>2807</v>
      </c>
      <c r="BE711" s="15" t="s">
        <v>18765</v>
      </c>
      <c r="BF711" s="15" t="s">
        <v>18766</v>
      </c>
      <c r="BG711" s="18"/>
      <c r="BH711" s="18"/>
      <c r="BI711" s="15" t="s">
        <v>18767</v>
      </c>
      <c r="BJ711" s="19" t="s">
        <v>18768</v>
      </c>
      <c r="BK711" s="19" t="s">
        <v>18769</v>
      </c>
      <c r="BL711" s="18"/>
      <c r="BM711" s="18"/>
      <c r="BN711" s="28" t="s">
        <v>2931</v>
      </c>
      <c r="BO711" s="19" t="s">
        <v>18770</v>
      </c>
      <c r="BP711" s="18"/>
      <c r="BQ711" s="18"/>
      <c r="BR711" s="18"/>
      <c r="BS711" s="18"/>
      <c r="BT711" s="18"/>
      <c r="BU711" s="18"/>
      <c r="BV711" s="18"/>
      <c r="BW711" s="18"/>
      <c r="BX711" s="18"/>
      <c r="BY711" s="18" t="str">
        <f t="shared" si="108"/>
        <v>MECH</v>
      </c>
      <c r="BZ711" s="18" t="str">
        <f t="shared" si="100"/>
        <v/>
      </c>
      <c r="CA711" s="18" t="str">
        <f t="shared" si="101"/>
        <v/>
      </c>
      <c r="CB711" s="15" t="s">
        <v>2908</v>
      </c>
      <c r="CC711" s="15" t="s">
        <v>2908</v>
      </c>
      <c r="CD711" s="25" t="s">
        <v>2797</v>
      </c>
      <c r="CE711" s="18"/>
      <c r="CF711" s="18"/>
    </row>
    <row r="712" hidden="1">
      <c r="A712" s="14">
        <v>44722.015586203706</v>
      </c>
      <c r="B712" s="15" t="s">
        <v>2562</v>
      </c>
      <c r="C712" s="16" t="s">
        <v>18771</v>
      </c>
      <c r="D712" s="15" t="str">
        <f>IFERROR(__xludf.DUMMYFUNCTION("QUERY(TY_ALL_2023_Batch!$A$1:$E$824, ""SELECT E WHERE C='""&amp;B712&amp;""'"", 0)"),"MECH")</f>
        <v>MECH</v>
      </c>
      <c r="E712" s="15" t="s">
        <v>3404</v>
      </c>
      <c r="F712" s="15" t="s">
        <v>18772</v>
      </c>
      <c r="G712" s="15" t="s">
        <v>18773</v>
      </c>
      <c r="H712" s="15" t="s">
        <v>2785</v>
      </c>
      <c r="I712" s="17">
        <v>37106.0</v>
      </c>
      <c r="J712" s="15">
        <v>2019.0</v>
      </c>
      <c r="K712" s="15" t="s">
        <v>2786</v>
      </c>
      <c r="L712" s="15" t="s">
        <v>2787</v>
      </c>
      <c r="M712" s="18"/>
      <c r="N712" s="15" t="s">
        <v>18774</v>
      </c>
      <c r="O712" s="15" t="s">
        <v>2562</v>
      </c>
      <c r="P712" s="19" t="s">
        <v>18775</v>
      </c>
      <c r="Q712" s="15">
        <v>7.49948781E9</v>
      </c>
      <c r="R712" s="15">
        <v>7.49948781E9</v>
      </c>
      <c r="S712" s="15">
        <v>7.49948781E9</v>
      </c>
      <c r="T712" s="15" t="s">
        <v>18772</v>
      </c>
      <c r="U712" s="15" t="s">
        <v>4073</v>
      </c>
      <c r="V712" s="15" t="s">
        <v>18776</v>
      </c>
      <c r="W712" s="15" t="s">
        <v>4453</v>
      </c>
      <c r="X712" s="15">
        <v>90.8</v>
      </c>
      <c r="Y712" s="15" t="s">
        <v>2795</v>
      </c>
      <c r="Z712" s="15">
        <v>8.0</v>
      </c>
      <c r="AA712" s="15">
        <v>8.1</v>
      </c>
      <c r="AB712" s="15" t="s">
        <v>2796</v>
      </c>
      <c r="AC712" s="15" t="s">
        <v>2796</v>
      </c>
      <c r="AD712" s="15" t="s">
        <v>2796</v>
      </c>
      <c r="AE712" s="15" t="s">
        <v>2796</v>
      </c>
      <c r="AF712" s="15">
        <v>7.74</v>
      </c>
      <c r="AG712" s="15">
        <v>7.74</v>
      </c>
      <c r="AH712" s="15">
        <v>73.23</v>
      </c>
      <c r="AI712" s="18"/>
      <c r="AJ712" s="15" t="s">
        <v>2787</v>
      </c>
      <c r="AK712" s="15" t="s">
        <v>2787</v>
      </c>
      <c r="AL712" s="15" t="s">
        <v>2796</v>
      </c>
      <c r="AM712" s="15">
        <v>418.0</v>
      </c>
      <c r="AN712" s="15" t="s">
        <v>2797</v>
      </c>
      <c r="AO712" s="15" t="s">
        <v>2796</v>
      </c>
      <c r="AP712" s="15" t="s">
        <v>2796</v>
      </c>
      <c r="AQ712" s="15" t="s">
        <v>18777</v>
      </c>
      <c r="AR712" s="15" t="s">
        <v>18778</v>
      </c>
      <c r="AS712" s="15" t="s">
        <v>18779</v>
      </c>
      <c r="AT712" s="15" t="s">
        <v>2796</v>
      </c>
      <c r="AU712" s="18"/>
      <c r="AV712" s="15" t="s">
        <v>18780</v>
      </c>
      <c r="AW712" s="15" t="s">
        <v>18781</v>
      </c>
      <c r="AX712" s="18"/>
      <c r="AY712" s="15" t="s">
        <v>18782</v>
      </c>
      <c r="AZ712" s="15" t="s">
        <v>9648</v>
      </c>
      <c r="BA712" s="15" t="s">
        <v>18783</v>
      </c>
      <c r="BB712" s="15" t="s">
        <v>18784</v>
      </c>
      <c r="BC712" s="15" t="s">
        <v>6148</v>
      </c>
      <c r="BD712" s="15" t="s">
        <v>2807</v>
      </c>
      <c r="BE712" s="15" t="s">
        <v>18785</v>
      </c>
      <c r="BF712" s="15" t="s">
        <v>2796</v>
      </c>
      <c r="BG712" s="15" t="s">
        <v>2796</v>
      </c>
      <c r="BH712" s="15" t="s">
        <v>18786</v>
      </c>
      <c r="BI712" s="15" t="s">
        <v>18787</v>
      </c>
      <c r="BJ712" s="19" t="s">
        <v>18788</v>
      </c>
      <c r="BK712" s="19" t="s">
        <v>18789</v>
      </c>
      <c r="BL712" s="18"/>
      <c r="BM712" s="18"/>
      <c r="BN712" s="19" t="s">
        <v>18790</v>
      </c>
      <c r="BO712" s="19" t="s">
        <v>18791</v>
      </c>
      <c r="BP712" s="18"/>
      <c r="BQ712" s="18"/>
      <c r="BR712" s="18"/>
      <c r="BS712" s="18"/>
      <c r="BT712" s="18"/>
      <c r="BU712" s="18"/>
      <c r="BV712" s="18"/>
      <c r="BW712" s="18"/>
      <c r="BX712" s="18"/>
      <c r="BY712" s="18" t="str">
        <f t="shared" si="108"/>
        <v>MECH</v>
      </c>
      <c r="BZ712" s="18" t="str">
        <f t="shared" si="100"/>
        <v/>
      </c>
      <c r="CA712" s="18" t="str">
        <f t="shared" si="101"/>
        <v/>
      </c>
      <c r="CB712" s="15" t="s">
        <v>2908</v>
      </c>
      <c r="CC712" s="15" t="s">
        <v>2908</v>
      </c>
      <c r="CD712" s="25" t="s">
        <v>2797</v>
      </c>
      <c r="CE712" s="18"/>
      <c r="CF712" s="18"/>
    </row>
    <row r="713" ht="75.0" hidden="1" customHeight="1">
      <c r="A713" s="14">
        <v>44722.6830659838</v>
      </c>
      <c r="B713" s="15" t="s">
        <v>2538</v>
      </c>
      <c r="C713" s="16" t="s">
        <v>18792</v>
      </c>
      <c r="D713" s="15" t="str">
        <f>IFERROR(__xludf.DUMMYFUNCTION("QUERY(TY_ALL_2023_Batch!$A$1:$E$824, ""SELECT E WHERE C='""&amp;B713&amp;""'"", 0)"),"MECH")</f>
        <v>MECH</v>
      </c>
      <c r="E713" s="15" t="s">
        <v>18793</v>
      </c>
      <c r="F713" s="18"/>
      <c r="G713" s="15" t="s">
        <v>4542</v>
      </c>
      <c r="H713" s="15" t="s">
        <v>2785</v>
      </c>
      <c r="I713" s="17">
        <v>36855.0</v>
      </c>
      <c r="J713" s="15">
        <v>2019.0</v>
      </c>
      <c r="K713" s="15" t="s">
        <v>2786</v>
      </c>
      <c r="L713" s="15" t="s">
        <v>2787</v>
      </c>
      <c r="M713" s="18"/>
      <c r="N713" s="15" t="s">
        <v>18794</v>
      </c>
      <c r="O713" s="15" t="s">
        <v>2538</v>
      </c>
      <c r="P713" s="19" t="s">
        <v>18795</v>
      </c>
      <c r="Q713" s="15">
        <v>7.974173167E9</v>
      </c>
      <c r="R713" s="15">
        <v>7.974173167E9</v>
      </c>
      <c r="S713" s="15">
        <v>7.898054044E9</v>
      </c>
      <c r="T713" s="15" t="s">
        <v>18796</v>
      </c>
      <c r="U713" s="15" t="s">
        <v>18797</v>
      </c>
      <c r="V713" s="15" t="s">
        <v>18798</v>
      </c>
      <c r="W713" s="18"/>
      <c r="X713" s="15">
        <v>86.0</v>
      </c>
      <c r="Y713" s="15" t="s">
        <v>2795</v>
      </c>
      <c r="Z713" s="15">
        <v>8.95</v>
      </c>
      <c r="AA713" s="15">
        <v>8.62</v>
      </c>
      <c r="AB713" s="15" t="s">
        <v>2796</v>
      </c>
      <c r="AC713" s="15" t="s">
        <v>2796</v>
      </c>
      <c r="AD713" s="15" t="s">
        <v>2796</v>
      </c>
      <c r="AE713" s="15" t="s">
        <v>2796</v>
      </c>
      <c r="AF713" s="15">
        <v>9.26</v>
      </c>
      <c r="AG713" s="15">
        <v>9.1</v>
      </c>
      <c r="AH713" s="15">
        <v>80.0</v>
      </c>
      <c r="AI713" s="18"/>
      <c r="AJ713" s="15" t="s">
        <v>2787</v>
      </c>
      <c r="AK713" s="15" t="s">
        <v>2787</v>
      </c>
      <c r="AL713" s="15">
        <v>599.0</v>
      </c>
      <c r="AM713" s="15">
        <v>715.0</v>
      </c>
      <c r="AN713" s="15" t="s">
        <v>2797</v>
      </c>
      <c r="AO713" s="18"/>
      <c r="AP713" s="18"/>
      <c r="AQ713" s="15" t="s">
        <v>18799</v>
      </c>
      <c r="AR713" s="18"/>
      <c r="AS713" s="18"/>
      <c r="AT713" s="18"/>
      <c r="AU713" s="18"/>
      <c r="AV713" s="15" t="s">
        <v>18800</v>
      </c>
      <c r="AW713" s="15" t="s">
        <v>18801</v>
      </c>
      <c r="AX713" s="18"/>
      <c r="AY713" s="15" t="s">
        <v>18802</v>
      </c>
      <c r="AZ713" s="15" t="s">
        <v>9648</v>
      </c>
      <c r="BA713" s="15" t="s">
        <v>2899</v>
      </c>
      <c r="BB713" s="15" t="s">
        <v>2807</v>
      </c>
      <c r="BC713" s="15" t="s">
        <v>18803</v>
      </c>
      <c r="BD713" s="15" t="s">
        <v>2807</v>
      </c>
      <c r="BE713" s="15" t="s">
        <v>18804</v>
      </c>
      <c r="BF713" s="18"/>
      <c r="BG713" s="18"/>
      <c r="BH713" s="15" t="s">
        <v>18805</v>
      </c>
      <c r="BI713" s="18"/>
      <c r="BJ713" s="19" t="s">
        <v>18806</v>
      </c>
      <c r="BK713" s="19" t="s">
        <v>18807</v>
      </c>
      <c r="BL713" s="18"/>
      <c r="BM713" s="18"/>
      <c r="BN713" s="19" t="s">
        <v>18808</v>
      </c>
      <c r="BO713" s="19" t="s">
        <v>18809</v>
      </c>
      <c r="BP713" s="19" t="s">
        <v>18810</v>
      </c>
      <c r="BQ713" s="26"/>
      <c r="BR713" s="26"/>
      <c r="BS713" s="26"/>
      <c r="BT713" s="26"/>
      <c r="BU713" s="26"/>
      <c r="BV713" s="26"/>
      <c r="BW713" s="26"/>
      <c r="BX713" s="26"/>
      <c r="BY713" s="18" t="str">
        <f t="shared" si="108"/>
        <v>MECH</v>
      </c>
      <c r="BZ713" s="18" t="str">
        <f t="shared" si="100"/>
        <v/>
      </c>
      <c r="CA713" s="18" t="str">
        <f t="shared" si="101"/>
        <v/>
      </c>
      <c r="CB713" s="15" t="s">
        <v>2908</v>
      </c>
      <c r="CC713" s="15" t="s">
        <v>2908</v>
      </c>
      <c r="CD713" s="25" t="s">
        <v>2797</v>
      </c>
      <c r="CE713" s="18"/>
      <c r="CF713" s="18"/>
    </row>
    <row r="714" hidden="1">
      <c r="A714" s="14">
        <v>44722.56712813658</v>
      </c>
      <c r="B714" s="15" t="s">
        <v>1569</v>
      </c>
      <c r="C714" s="16" t="s">
        <v>18811</v>
      </c>
      <c r="D714" s="15" t="str">
        <f>IFERROR(__xludf.DUMMYFUNCTION("QUERY(TY_ALL_2023_Batch!$A$1:$E$824, ""SELECT E WHERE C='""&amp;B714&amp;""'"", 0)"),"MECH")</f>
        <v>MECH</v>
      </c>
      <c r="E714" s="15" t="s">
        <v>18812</v>
      </c>
      <c r="F714" s="15" t="s">
        <v>18813</v>
      </c>
      <c r="G714" s="15" t="s">
        <v>18814</v>
      </c>
      <c r="H714" s="15" t="s">
        <v>2826</v>
      </c>
      <c r="I714" s="17">
        <v>36375.0</v>
      </c>
      <c r="J714" s="15">
        <v>2020.0</v>
      </c>
      <c r="K714" s="15" t="s">
        <v>2941</v>
      </c>
      <c r="L714" s="15" t="s">
        <v>2787</v>
      </c>
      <c r="M714" s="18"/>
      <c r="N714" s="15" t="s">
        <v>18815</v>
      </c>
      <c r="O714" s="15" t="s">
        <v>1569</v>
      </c>
      <c r="P714" s="19" t="s">
        <v>18816</v>
      </c>
      <c r="Q714" s="15">
        <v>7.218469811E9</v>
      </c>
      <c r="R714" s="15">
        <v>9.373383422E9</v>
      </c>
      <c r="S714" s="15">
        <v>8.530114951E9</v>
      </c>
      <c r="T714" s="15" t="s">
        <v>18813</v>
      </c>
      <c r="U714" s="15" t="s">
        <v>18817</v>
      </c>
      <c r="V714" s="15" t="s">
        <v>18818</v>
      </c>
      <c r="W714" s="15" t="s">
        <v>18819</v>
      </c>
      <c r="X714" s="15">
        <v>91.2</v>
      </c>
      <c r="Y714" s="15" t="s">
        <v>2948</v>
      </c>
      <c r="Z714" s="15">
        <v>7.29</v>
      </c>
      <c r="AA714" s="15">
        <v>7.52</v>
      </c>
      <c r="AB714" s="15" t="s">
        <v>10806</v>
      </c>
      <c r="AC714" s="15" t="s">
        <v>2796</v>
      </c>
      <c r="AD714" s="15" t="s">
        <v>2796</v>
      </c>
      <c r="AE714" s="15" t="s">
        <v>2796</v>
      </c>
      <c r="AF714" s="18"/>
      <c r="AG714" s="18"/>
      <c r="AH714" s="18"/>
      <c r="AI714" s="15">
        <v>92.0</v>
      </c>
      <c r="AJ714" s="15" t="s">
        <v>2787</v>
      </c>
      <c r="AK714" s="15" t="s">
        <v>2787</v>
      </c>
      <c r="AL714" s="18"/>
      <c r="AM714" s="15">
        <v>60.0</v>
      </c>
      <c r="AN714" s="15" t="s">
        <v>2797</v>
      </c>
      <c r="AO714" s="15" t="s">
        <v>10477</v>
      </c>
      <c r="AP714" s="15" t="s">
        <v>2797</v>
      </c>
      <c r="AQ714" s="15" t="s">
        <v>18820</v>
      </c>
      <c r="AR714" s="15" t="s">
        <v>18821</v>
      </c>
      <c r="AS714" s="15" t="s">
        <v>18822</v>
      </c>
      <c r="AT714" s="15" t="s">
        <v>18823</v>
      </c>
      <c r="AU714" s="15" t="s">
        <v>2796</v>
      </c>
      <c r="AV714" s="15" t="s">
        <v>16315</v>
      </c>
      <c r="AW714" s="15" t="s">
        <v>18824</v>
      </c>
      <c r="AX714" s="15" t="s">
        <v>2796</v>
      </c>
      <c r="AY714" s="15" t="s">
        <v>18825</v>
      </c>
      <c r="AZ714" s="15" t="s">
        <v>8440</v>
      </c>
      <c r="BA714" s="15" t="s">
        <v>18826</v>
      </c>
      <c r="BB714" s="15" t="s">
        <v>12859</v>
      </c>
      <c r="BC714" s="15" t="s">
        <v>18827</v>
      </c>
      <c r="BD714" s="15" t="s">
        <v>18828</v>
      </c>
      <c r="BE714" s="15" t="s">
        <v>18829</v>
      </c>
      <c r="BF714" s="15" t="s">
        <v>2796</v>
      </c>
      <c r="BG714" s="18"/>
      <c r="BH714" s="15" t="s">
        <v>18830</v>
      </c>
      <c r="BI714" s="15" t="s">
        <v>18831</v>
      </c>
      <c r="BJ714" s="19" t="s">
        <v>18832</v>
      </c>
      <c r="BK714" s="19" t="s">
        <v>18833</v>
      </c>
      <c r="BL714" s="18"/>
      <c r="BM714" s="18"/>
      <c r="BN714" s="19" t="s">
        <v>18834</v>
      </c>
      <c r="BO714" s="19" t="s">
        <v>18835</v>
      </c>
      <c r="BP714" s="19" t="s">
        <v>18836</v>
      </c>
      <c r="BQ714" s="26"/>
      <c r="BR714" s="26"/>
      <c r="BS714" s="26"/>
      <c r="BT714" s="26"/>
      <c r="BU714" s="26"/>
      <c r="BV714" s="26"/>
      <c r="BW714" s="26"/>
      <c r="BX714" s="26"/>
      <c r="BY714" s="18" t="str">
        <f t="shared" si="108"/>
        <v>MECH</v>
      </c>
      <c r="BZ714" s="18" t="str">
        <f t="shared" si="100"/>
        <v/>
      </c>
      <c r="CA714" s="18" t="str">
        <f t="shared" si="101"/>
        <v/>
      </c>
      <c r="CB714" s="15" t="s">
        <v>2908</v>
      </c>
      <c r="CC714" s="15" t="s">
        <v>2908</v>
      </c>
      <c r="CD714" s="25" t="s">
        <v>2797</v>
      </c>
      <c r="CE714" s="18"/>
      <c r="CF714" s="18"/>
    </row>
    <row r="715" hidden="1">
      <c r="A715" s="14">
        <v>44722.633287488425</v>
      </c>
      <c r="B715" s="15" t="s">
        <v>2487</v>
      </c>
      <c r="C715" s="16" t="s">
        <v>18837</v>
      </c>
      <c r="D715" s="15" t="str">
        <f>IFERROR(__xludf.DUMMYFUNCTION("QUERY(TY_ALL_2023_Batch!$A$1:$E$824, ""SELECT E WHERE C='""&amp;B715&amp;""'"", 0)"),"MECH")</f>
        <v>MECH</v>
      </c>
      <c r="E715" s="15" t="s">
        <v>18838</v>
      </c>
      <c r="F715" s="15" t="s">
        <v>8628</v>
      </c>
      <c r="G715" s="15" t="s">
        <v>18839</v>
      </c>
      <c r="H715" s="15" t="s">
        <v>2785</v>
      </c>
      <c r="I715" s="17">
        <v>37160.0</v>
      </c>
      <c r="J715" s="15">
        <v>2019.0</v>
      </c>
      <c r="K715" s="15" t="s">
        <v>2786</v>
      </c>
      <c r="L715" s="15" t="s">
        <v>2787</v>
      </c>
      <c r="M715" s="18"/>
      <c r="N715" s="15" t="s">
        <v>18840</v>
      </c>
      <c r="O715" s="15" t="s">
        <v>2487</v>
      </c>
      <c r="P715" s="19" t="s">
        <v>18841</v>
      </c>
      <c r="Q715" s="15">
        <v>9.307296754E9</v>
      </c>
      <c r="R715" s="15">
        <v>8.308185953E9</v>
      </c>
      <c r="S715" s="15">
        <v>9.307296754E9</v>
      </c>
      <c r="T715" s="15" t="s">
        <v>18842</v>
      </c>
      <c r="U715" s="15" t="s">
        <v>3885</v>
      </c>
      <c r="V715" s="15" t="s">
        <v>18843</v>
      </c>
      <c r="W715" s="15" t="s">
        <v>18844</v>
      </c>
      <c r="X715" s="15">
        <v>87.2</v>
      </c>
      <c r="Y715" s="15" t="s">
        <v>2795</v>
      </c>
      <c r="Z715" s="15">
        <v>7.2</v>
      </c>
      <c r="AA715" s="15">
        <v>5.9</v>
      </c>
      <c r="AB715" s="15" t="s">
        <v>2796</v>
      </c>
      <c r="AC715" s="15" t="s">
        <v>2796</v>
      </c>
      <c r="AD715" s="15" t="s">
        <v>2796</v>
      </c>
      <c r="AE715" s="15" t="s">
        <v>2796</v>
      </c>
      <c r="AF715" s="15">
        <v>7.42</v>
      </c>
      <c r="AG715" s="15">
        <v>7.1</v>
      </c>
      <c r="AH715" s="15">
        <v>61.38</v>
      </c>
      <c r="AI715" s="18"/>
      <c r="AJ715" s="15" t="s">
        <v>2797</v>
      </c>
      <c r="AK715" s="15" t="s">
        <v>2787</v>
      </c>
      <c r="AL715" s="15" t="s">
        <v>2796</v>
      </c>
      <c r="AM715" s="15" t="s">
        <v>18845</v>
      </c>
      <c r="AN715" s="15" t="s">
        <v>2787</v>
      </c>
      <c r="AO715" s="15" t="s">
        <v>18846</v>
      </c>
      <c r="AP715" s="15" t="s">
        <v>18847</v>
      </c>
      <c r="AQ715" s="15" t="s">
        <v>18848</v>
      </c>
      <c r="AR715" s="15" t="s">
        <v>18849</v>
      </c>
      <c r="AS715" s="15" t="s">
        <v>2796</v>
      </c>
      <c r="AT715" s="15" t="s">
        <v>2796</v>
      </c>
      <c r="AU715" s="15" t="s">
        <v>18850</v>
      </c>
      <c r="AV715" s="15" t="s">
        <v>18851</v>
      </c>
      <c r="AW715" s="15" t="s">
        <v>18852</v>
      </c>
      <c r="AX715" s="15" t="s">
        <v>2796</v>
      </c>
      <c r="AY715" s="15" t="s">
        <v>18853</v>
      </c>
      <c r="AZ715" s="15" t="s">
        <v>9648</v>
      </c>
      <c r="BA715" s="15" t="s">
        <v>2899</v>
      </c>
      <c r="BB715" s="15" t="s">
        <v>2807</v>
      </c>
      <c r="BC715" s="15" t="s">
        <v>13107</v>
      </c>
      <c r="BD715" s="15" t="s">
        <v>2807</v>
      </c>
      <c r="BE715" s="15" t="s">
        <v>2796</v>
      </c>
      <c r="BF715" s="15" t="s">
        <v>2796</v>
      </c>
      <c r="BG715" s="15" t="s">
        <v>2796</v>
      </c>
      <c r="BH715" s="15" t="s">
        <v>2796</v>
      </c>
      <c r="BI715" s="15" t="s">
        <v>2796</v>
      </c>
      <c r="BJ715" s="19" t="s">
        <v>18854</v>
      </c>
      <c r="BK715" s="19" t="s">
        <v>18855</v>
      </c>
      <c r="BL715" s="18"/>
      <c r="BM715" s="18"/>
      <c r="BN715" s="18"/>
      <c r="BO715" s="19" t="s">
        <v>18856</v>
      </c>
      <c r="BP715" s="19" t="s">
        <v>18857</v>
      </c>
      <c r="BQ715" s="26"/>
      <c r="BR715" s="26"/>
      <c r="BS715" s="26"/>
      <c r="BT715" s="26"/>
      <c r="BU715" s="26"/>
      <c r="BV715" s="26"/>
      <c r="BW715" s="26"/>
      <c r="BX715" s="26"/>
      <c r="BY715" s="18" t="str">
        <f t="shared" si="108"/>
        <v>MECH</v>
      </c>
      <c r="BZ715" s="18" t="str">
        <f t="shared" si="100"/>
        <v/>
      </c>
      <c r="CA715" s="18" t="str">
        <f t="shared" si="101"/>
        <v/>
      </c>
      <c r="CB715" s="15" t="s">
        <v>2908</v>
      </c>
      <c r="CC715" s="15" t="s">
        <v>2908</v>
      </c>
      <c r="CD715" s="25" t="s">
        <v>2797</v>
      </c>
      <c r="CE715" s="18"/>
      <c r="CF715" s="18"/>
    </row>
    <row r="716" hidden="1">
      <c r="A716" s="14">
        <v>44722.682190949075</v>
      </c>
      <c r="B716" s="15" t="s">
        <v>2607</v>
      </c>
      <c r="C716" s="16" t="s">
        <v>18858</v>
      </c>
      <c r="D716" s="15" t="str">
        <f>IFERROR(__xludf.DUMMYFUNCTION("QUERY(TY_ALL_2023_Batch!$A$1:$E$824, ""SELECT E WHERE C='""&amp;B716&amp;""'"", 0)"),"MECH")</f>
        <v>MECH</v>
      </c>
      <c r="E716" s="15" t="s">
        <v>18859</v>
      </c>
      <c r="F716" s="18"/>
      <c r="G716" s="15" t="s">
        <v>11936</v>
      </c>
      <c r="H716" s="15" t="s">
        <v>2785</v>
      </c>
      <c r="I716" s="17">
        <v>36832.0</v>
      </c>
      <c r="J716" s="15">
        <v>2019.0</v>
      </c>
      <c r="K716" s="15" t="s">
        <v>2786</v>
      </c>
      <c r="L716" s="15" t="s">
        <v>2787</v>
      </c>
      <c r="M716" s="18"/>
      <c r="N716" s="15" t="s">
        <v>18860</v>
      </c>
      <c r="O716" s="15" t="s">
        <v>18861</v>
      </c>
      <c r="P716" s="19" t="s">
        <v>18862</v>
      </c>
      <c r="Q716" s="15">
        <v>9.102794214E9</v>
      </c>
      <c r="R716" s="15">
        <v>9.102794214E9</v>
      </c>
      <c r="S716" s="18"/>
      <c r="T716" s="15" t="s">
        <v>18863</v>
      </c>
      <c r="U716" s="15" t="s">
        <v>11020</v>
      </c>
      <c r="V716" s="15" t="s">
        <v>18864</v>
      </c>
      <c r="W716" s="18"/>
      <c r="X716" s="15">
        <v>76.0</v>
      </c>
      <c r="Y716" s="15" t="s">
        <v>2795</v>
      </c>
      <c r="Z716" s="15">
        <v>9.67</v>
      </c>
      <c r="AA716" s="15">
        <v>9.67</v>
      </c>
      <c r="AB716" s="15" t="s">
        <v>2796</v>
      </c>
      <c r="AC716" s="15" t="s">
        <v>2796</v>
      </c>
      <c r="AD716" s="15" t="s">
        <v>2796</v>
      </c>
      <c r="AE716" s="15" t="s">
        <v>2796</v>
      </c>
      <c r="AF716" s="15">
        <v>9.0</v>
      </c>
      <c r="AG716" s="15">
        <v>9.84</v>
      </c>
      <c r="AH716" s="15">
        <v>78.0</v>
      </c>
      <c r="AI716" s="18"/>
      <c r="AJ716" s="15" t="s">
        <v>2787</v>
      </c>
      <c r="AK716" s="15" t="s">
        <v>2787</v>
      </c>
      <c r="AL716" s="15">
        <v>90.0</v>
      </c>
      <c r="AM716" s="15">
        <v>80.0</v>
      </c>
      <c r="AN716" s="15" t="s">
        <v>2797</v>
      </c>
      <c r="AO716" s="18"/>
      <c r="AP716" s="18"/>
      <c r="AQ716" s="15" t="s">
        <v>13505</v>
      </c>
      <c r="AR716" s="18"/>
      <c r="AS716" s="18"/>
      <c r="AT716" s="18"/>
      <c r="AU716" s="18"/>
      <c r="AV716" s="18"/>
      <c r="AW716" s="15" t="s">
        <v>18865</v>
      </c>
      <c r="AX716" s="18"/>
      <c r="AY716" s="15" t="s">
        <v>18866</v>
      </c>
      <c r="AZ716" s="15" t="s">
        <v>3960</v>
      </c>
      <c r="BA716" s="15" t="s">
        <v>2870</v>
      </c>
      <c r="BB716" s="15" t="s">
        <v>3989</v>
      </c>
      <c r="BC716" s="15" t="s">
        <v>13107</v>
      </c>
      <c r="BD716" s="15" t="s">
        <v>2807</v>
      </c>
      <c r="BE716" s="15" t="s">
        <v>18867</v>
      </c>
      <c r="BF716" s="18"/>
      <c r="BG716" s="18"/>
      <c r="BH716" s="18"/>
      <c r="BI716" s="18"/>
      <c r="BJ716" s="19" t="s">
        <v>18868</v>
      </c>
      <c r="BK716" s="19" t="s">
        <v>18869</v>
      </c>
      <c r="BL716" s="19" t="s">
        <v>18870</v>
      </c>
      <c r="BM716" s="20" t="s">
        <v>18871</v>
      </c>
      <c r="BN716" s="18"/>
      <c r="BO716" s="19" t="s">
        <v>18872</v>
      </c>
      <c r="BP716" s="18"/>
      <c r="BQ716" s="18"/>
      <c r="BR716" s="18"/>
      <c r="BS716" s="18"/>
      <c r="BT716" s="18"/>
      <c r="BU716" s="18"/>
      <c r="BV716" s="18"/>
      <c r="BW716" s="18"/>
      <c r="BX716" s="18"/>
      <c r="BY716" s="18" t="str">
        <f t="shared" si="108"/>
        <v>MECH</v>
      </c>
      <c r="BZ716" s="24" t="str">
        <f t="shared" si="100"/>
        <v>https://drive.google.com/open?id=1P3cI70NNZtKStgWRy1YEx8yiwTslPBJ7</v>
      </c>
      <c r="CA716" s="24" t="str">
        <f t="shared" si="101"/>
        <v>https://drive.google.com/open?id=1c5fs6nwH3mNMff2CprQafNWpad_oOy18</v>
      </c>
      <c r="CB716" s="15" t="s">
        <v>2821</v>
      </c>
      <c r="CC716" s="15" t="s">
        <v>2821</v>
      </c>
      <c r="CD716" s="25" t="s">
        <v>2797</v>
      </c>
      <c r="CE716" s="18"/>
      <c r="CF716" s="18"/>
    </row>
    <row r="717" hidden="1">
      <c r="A717" s="14">
        <v>44722.744642418984</v>
      </c>
      <c r="B717" s="15" t="s">
        <v>2424</v>
      </c>
      <c r="C717" s="16" t="s">
        <v>18873</v>
      </c>
      <c r="D717" s="15" t="str">
        <f>IFERROR(__xludf.DUMMYFUNCTION("QUERY(TY_ALL_2023_Batch!$A$1:$E$824, ""SELECT E WHERE C='""&amp;B717&amp;""'"", 0)"),"MECH")</f>
        <v>MECH</v>
      </c>
      <c r="E717" s="15" t="s">
        <v>18874</v>
      </c>
      <c r="F717" s="15" t="s">
        <v>4299</v>
      </c>
      <c r="G717" s="15" t="s">
        <v>7104</v>
      </c>
      <c r="H717" s="15" t="s">
        <v>2785</v>
      </c>
      <c r="I717" s="17">
        <v>37167.0</v>
      </c>
      <c r="J717" s="15">
        <v>2019.0</v>
      </c>
      <c r="K717" s="15" t="s">
        <v>2786</v>
      </c>
      <c r="L717" s="15" t="s">
        <v>2787</v>
      </c>
      <c r="M717" s="18"/>
      <c r="N717" s="15" t="s">
        <v>18875</v>
      </c>
      <c r="O717" s="15" t="s">
        <v>18876</v>
      </c>
      <c r="P717" s="19" t="s">
        <v>18877</v>
      </c>
      <c r="Q717" s="15">
        <v>7.755926887E9</v>
      </c>
      <c r="R717" s="15">
        <v>7.755926887E9</v>
      </c>
      <c r="S717" s="15">
        <v>9.40343539E9</v>
      </c>
      <c r="T717" s="15" t="s">
        <v>18878</v>
      </c>
      <c r="U717" s="15" t="s">
        <v>18879</v>
      </c>
      <c r="V717" s="15" t="s">
        <v>18880</v>
      </c>
      <c r="W717" s="15" t="s">
        <v>18881</v>
      </c>
      <c r="X717" s="15">
        <v>94.2</v>
      </c>
      <c r="Y717" s="15" t="s">
        <v>2795</v>
      </c>
      <c r="Z717" s="15">
        <v>9.0</v>
      </c>
      <c r="AA717" s="15">
        <v>8.1</v>
      </c>
      <c r="AB717" s="15" t="s">
        <v>3005</v>
      </c>
      <c r="AC717" s="15" t="s">
        <v>3005</v>
      </c>
      <c r="AD717" s="15" t="s">
        <v>3005</v>
      </c>
      <c r="AE717" s="15" t="s">
        <v>3005</v>
      </c>
      <c r="AF717" s="15">
        <v>7.79</v>
      </c>
      <c r="AG717" s="15">
        <v>8.76</v>
      </c>
      <c r="AH717" s="15">
        <v>65.85</v>
      </c>
      <c r="AI717" s="18"/>
      <c r="AJ717" s="15" t="s">
        <v>2797</v>
      </c>
      <c r="AK717" s="15" t="s">
        <v>2787</v>
      </c>
      <c r="AL717" s="15" t="s">
        <v>18882</v>
      </c>
      <c r="AM717" s="15">
        <v>578.0</v>
      </c>
      <c r="AN717" s="15" t="s">
        <v>2787</v>
      </c>
      <c r="AO717" s="15" t="s">
        <v>18883</v>
      </c>
      <c r="AP717" s="15" t="s">
        <v>2796</v>
      </c>
      <c r="AQ717" s="15" t="s">
        <v>18884</v>
      </c>
      <c r="AR717" s="15" t="s">
        <v>18885</v>
      </c>
      <c r="AS717" s="15" t="s">
        <v>18886</v>
      </c>
      <c r="AT717" s="15" t="s">
        <v>2796</v>
      </c>
      <c r="AU717" s="15" t="s">
        <v>18887</v>
      </c>
      <c r="AV717" s="15" t="s">
        <v>18888</v>
      </c>
      <c r="AW717" s="15" t="s">
        <v>18889</v>
      </c>
      <c r="AX717" s="15" t="s">
        <v>5798</v>
      </c>
      <c r="AY717" s="15" t="s">
        <v>18890</v>
      </c>
      <c r="AZ717" s="15" t="s">
        <v>9648</v>
      </c>
      <c r="BA717" s="15" t="s">
        <v>4085</v>
      </c>
      <c r="BB717" s="15" t="s">
        <v>5673</v>
      </c>
      <c r="BC717" s="15" t="s">
        <v>2808</v>
      </c>
      <c r="BD717" s="15" t="s">
        <v>2807</v>
      </c>
      <c r="BE717" s="15" t="s">
        <v>2796</v>
      </c>
      <c r="BF717" s="16" t="s">
        <v>18891</v>
      </c>
      <c r="BG717" s="15" t="s">
        <v>2796</v>
      </c>
      <c r="BH717" s="15" t="s">
        <v>18892</v>
      </c>
      <c r="BI717" s="15" t="s">
        <v>2796</v>
      </c>
      <c r="BJ717" s="19" t="s">
        <v>18893</v>
      </c>
      <c r="BK717" s="19" t="s">
        <v>18894</v>
      </c>
      <c r="BL717" s="18"/>
      <c r="BM717" s="18"/>
      <c r="BN717" s="19" t="s">
        <v>18895</v>
      </c>
      <c r="BO717" s="19" t="s">
        <v>18896</v>
      </c>
      <c r="BP717" s="19" t="s">
        <v>18897</v>
      </c>
      <c r="BQ717" s="26"/>
      <c r="BR717" s="26"/>
      <c r="BS717" s="26"/>
      <c r="BT717" s="26"/>
      <c r="BU717" s="26"/>
      <c r="BV717" s="26"/>
      <c r="BW717" s="26"/>
      <c r="BX717" s="26"/>
      <c r="BY717" s="18" t="str">
        <f t="shared" si="108"/>
        <v>MECH</v>
      </c>
      <c r="BZ717" s="18" t="str">
        <f t="shared" si="100"/>
        <v/>
      </c>
      <c r="CA717" s="18" t="str">
        <f t="shared" si="101"/>
        <v/>
      </c>
      <c r="CB717" s="15" t="s">
        <v>2908</v>
      </c>
      <c r="CC717" s="15" t="s">
        <v>2908</v>
      </c>
      <c r="CD717" s="25" t="s">
        <v>2797</v>
      </c>
      <c r="CE717" s="18"/>
      <c r="CF717" s="18"/>
    </row>
    <row r="718" hidden="1">
      <c r="A718" s="14">
        <v>44722.83416215278</v>
      </c>
      <c r="B718" s="15" t="s">
        <v>1572</v>
      </c>
      <c r="C718" s="16" t="s">
        <v>18898</v>
      </c>
      <c r="D718" s="15" t="str">
        <f>IFERROR(__xludf.DUMMYFUNCTION("QUERY(TY_ALL_2023_Batch!$A$1:$E$824, ""SELECT E WHERE C='""&amp;B718&amp;""'"", 0)"),"MECH")</f>
        <v>MECH</v>
      </c>
      <c r="E718" s="15" t="s">
        <v>14451</v>
      </c>
      <c r="F718" s="15" t="s">
        <v>9609</v>
      </c>
      <c r="G718" s="15" t="s">
        <v>18899</v>
      </c>
      <c r="H718" s="15" t="s">
        <v>2785</v>
      </c>
      <c r="I718" s="17">
        <v>36834.0</v>
      </c>
      <c r="J718" s="15">
        <v>2020.0</v>
      </c>
      <c r="K718" s="15" t="s">
        <v>2941</v>
      </c>
      <c r="L718" s="15" t="s">
        <v>2787</v>
      </c>
      <c r="M718" s="18"/>
      <c r="N718" s="15" t="s">
        <v>18900</v>
      </c>
      <c r="O718" s="15" t="s">
        <v>18901</v>
      </c>
      <c r="P718" s="19" t="s">
        <v>18902</v>
      </c>
      <c r="Q718" s="15">
        <v>7.773944574E9</v>
      </c>
      <c r="R718" s="15">
        <v>7.773944574E9</v>
      </c>
      <c r="S718" s="15">
        <v>7.773944574E9</v>
      </c>
      <c r="T718" s="15" t="s">
        <v>9609</v>
      </c>
      <c r="U718" s="15" t="s">
        <v>18903</v>
      </c>
      <c r="V718" s="15" t="s">
        <v>18904</v>
      </c>
      <c r="W718" s="15" t="s">
        <v>18905</v>
      </c>
      <c r="X718" s="15">
        <v>83.2</v>
      </c>
      <c r="Y718" s="15" t="s">
        <v>2948</v>
      </c>
      <c r="Z718" s="15">
        <v>7.6</v>
      </c>
      <c r="AA718" s="15">
        <v>7.6</v>
      </c>
      <c r="AB718" s="15">
        <v>7.3</v>
      </c>
      <c r="AC718" s="15" t="s">
        <v>2796</v>
      </c>
      <c r="AD718" s="15" t="s">
        <v>2796</v>
      </c>
      <c r="AE718" s="15" t="s">
        <v>2796</v>
      </c>
      <c r="AF718" s="18"/>
      <c r="AG718" s="18"/>
      <c r="AH718" s="18"/>
      <c r="AI718" s="15">
        <v>86.92</v>
      </c>
      <c r="AJ718" s="15" t="s">
        <v>2787</v>
      </c>
      <c r="AK718" s="15" t="s">
        <v>2787</v>
      </c>
      <c r="AL718" s="15">
        <v>72.0</v>
      </c>
      <c r="AM718" s="15">
        <v>72.0</v>
      </c>
      <c r="AN718" s="15" t="s">
        <v>2797</v>
      </c>
      <c r="AO718" s="15" t="s">
        <v>2796</v>
      </c>
      <c r="AP718" s="15" t="s">
        <v>2796</v>
      </c>
      <c r="AQ718" s="15" t="s">
        <v>2796</v>
      </c>
      <c r="AR718" s="15" t="s">
        <v>2796</v>
      </c>
      <c r="AS718" s="15" t="s">
        <v>2796</v>
      </c>
      <c r="AT718" s="15" t="s">
        <v>2796</v>
      </c>
      <c r="AU718" s="15" t="s">
        <v>2796</v>
      </c>
      <c r="AV718" s="15" t="s">
        <v>18906</v>
      </c>
      <c r="AW718" s="15" t="s">
        <v>18907</v>
      </c>
      <c r="AX718" s="15" t="s">
        <v>2796</v>
      </c>
      <c r="AY718" s="15" t="s">
        <v>18908</v>
      </c>
      <c r="AZ718" s="15" t="s">
        <v>9648</v>
      </c>
      <c r="BA718" s="15" t="s">
        <v>2870</v>
      </c>
      <c r="BB718" s="15" t="s">
        <v>2807</v>
      </c>
      <c r="BC718" s="15" t="s">
        <v>18909</v>
      </c>
      <c r="BD718" s="15" t="s">
        <v>2807</v>
      </c>
      <c r="BE718" s="15" t="s">
        <v>2796</v>
      </c>
      <c r="BF718" s="15" t="s">
        <v>2796</v>
      </c>
      <c r="BG718" s="15" t="s">
        <v>2796</v>
      </c>
      <c r="BH718" s="15" t="s">
        <v>2796</v>
      </c>
      <c r="BI718" s="15" t="s">
        <v>2796</v>
      </c>
      <c r="BJ718" s="19" t="s">
        <v>18910</v>
      </c>
      <c r="BK718" s="19" t="s">
        <v>18911</v>
      </c>
      <c r="BL718" s="20" t="s">
        <v>18912</v>
      </c>
      <c r="BM718" s="20" t="s">
        <v>18913</v>
      </c>
      <c r="BN718" s="19" t="s">
        <v>18914</v>
      </c>
      <c r="BO718" s="19" t="s">
        <v>18915</v>
      </c>
      <c r="BP718" s="19" t="s">
        <v>18916</v>
      </c>
      <c r="BQ718" s="26"/>
      <c r="BR718" s="26"/>
      <c r="BS718" s="26"/>
      <c r="BT718" s="26"/>
      <c r="BU718" s="26"/>
      <c r="BV718" s="26"/>
      <c r="BW718" s="26"/>
      <c r="BX718" s="26"/>
      <c r="BY718" s="18" t="str">
        <f t="shared" si="108"/>
        <v>MECH</v>
      </c>
      <c r="BZ718" s="24" t="str">
        <f t="shared" si="100"/>
        <v>https://drive.google.com/open?id=1P5A8ErMzB0iozmxoAeA2j9ypcW-UIjn1</v>
      </c>
      <c r="CA718" s="24" t="str">
        <f t="shared" si="101"/>
        <v>https://drive.google.com/open?id=1fzxyU0HdEWV-X2x6h8ad0a87x2jP1fe2</v>
      </c>
      <c r="CB718" s="15" t="s">
        <v>2821</v>
      </c>
      <c r="CC718" s="15" t="s">
        <v>2821</v>
      </c>
      <c r="CD718" s="25" t="s">
        <v>2797</v>
      </c>
      <c r="CE718" s="18"/>
      <c r="CF718" s="18"/>
    </row>
    <row r="719" hidden="1">
      <c r="A719" s="14">
        <v>44722.84411571759</v>
      </c>
      <c r="B719" s="15" t="s">
        <v>2340</v>
      </c>
      <c r="C719" s="16" t="s">
        <v>18917</v>
      </c>
      <c r="D719" s="15" t="str">
        <f>IFERROR(__xludf.DUMMYFUNCTION("QUERY(TY_ALL_2023_Batch!$A$1:$E$824, ""SELECT E WHERE C='""&amp;B719&amp;""'"", 0)"),"MECH")</f>
        <v>MECH</v>
      </c>
      <c r="E719" s="15" t="s">
        <v>18918</v>
      </c>
      <c r="F719" s="15" t="s">
        <v>18919</v>
      </c>
      <c r="G719" s="15" t="s">
        <v>18920</v>
      </c>
      <c r="H719" s="15" t="s">
        <v>2785</v>
      </c>
      <c r="I719" s="17">
        <v>37165.0</v>
      </c>
      <c r="J719" s="15">
        <v>2019.0</v>
      </c>
      <c r="K719" s="15" t="s">
        <v>2786</v>
      </c>
      <c r="L719" s="15" t="s">
        <v>2787</v>
      </c>
      <c r="M719" s="18"/>
      <c r="N719" s="15" t="s">
        <v>18921</v>
      </c>
      <c r="O719" s="15" t="s">
        <v>18922</v>
      </c>
      <c r="P719" s="19" t="s">
        <v>18923</v>
      </c>
      <c r="Q719" s="15">
        <v>9.92263169E9</v>
      </c>
      <c r="R719" s="15">
        <v>9.92263169E9</v>
      </c>
      <c r="S719" s="15">
        <v>9.28472265E9</v>
      </c>
      <c r="T719" s="15" t="s">
        <v>18924</v>
      </c>
      <c r="U719" s="15" t="s">
        <v>18925</v>
      </c>
      <c r="V719" s="15" t="s">
        <v>18926</v>
      </c>
      <c r="W719" s="18"/>
      <c r="X719" s="15">
        <v>79.8</v>
      </c>
      <c r="Y719" s="15" t="s">
        <v>2795</v>
      </c>
      <c r="Z719" s="15">
        <v>9.05</v>
      </c>
      <c r="AA719" s="15">
        <v>9.0</v>
      </c>
      <c r="AB719" s="15" t="s">
        <v>2796</v>
      </c>
      <c r="AC719" s="15" t="s">
        <v>2796</v>
      </c>
      <c r="AD719" s="15" t="s">
        <v>3005</v>
      </c>
      <c r="AE719" s="15" t="s">
        <v>2796</v>
      </c>
      <c r="AF719" s="15">
        <v>7.21</v>
      </c>
      <c r="AG719" s="15">
        <v>8.1</v>
      </c>
      <c r="AH719" s="15">
        <v>58.0</v>
      </c>
      <c r="AI719" s="18"/>
      <c r="AJ719" s="15" t="s">
        <v>2787</v>
      </c>
      <c r="AK719" s="15" t="s">
        <v>2787</v>
      </c>
      <c r="AL719" s="18"/>
      <c r="AM719" s="18"/>
      <c r="AN719" s="15" t="s">
        <v>2787</v>
      </c>
      <c r="AO719" s="18"/>
      <c r="AP719" s="15" t="s">
        <v>18927</v>
      </c>
      <c r="AQ719" s="15" t="s">
        <v>18928</v>
      </c>
      <c r="AR719" s="18"/>
      <c r="AS719" s="15" t="s">
        <v>18929</v>
      </c>
      <c r="AT719" s="18"/>
      <c r="AU719" s="18"/>
      <c r="AV719" s="15" t="s">
        <v>18930</v>
      </c>
      <c r="AW719" s="15" t="s">
        <v>18931</v>
      </c>
      <c r="AX719" s="18"/>
      <c r="AY719" s="15" t="s">
        <v>18932</v>
      </c>
      <c r="AZ719" s="15" t="s">
        <v>5625</v>
      </c>
      <c r="BA719" s="15" t="s">
        <v>2870</v>
      </c>
      <c r="BB719" s="15" t="s">
        <v>2807</v>
      </c>
      <c r="BC719" s="15" t="s">
        <v>18933</v>
      </c>
      <c r="BD719" s="15" t="s">
        <v>2807</v>
      </c>
      <c r="BE719" s="15" t="s">
        <v>2796</v>
      </c>
      <c r="BF719" s="18"/>
      <c r="BG719" s="18"/>
      <c r="BH719" s="18"/>
      <c r="BI719" s="15" t="s">
        <v>18934</v>
      </c>
      <c r="BJ719" s="19" t="s">
        <v>18935</v>
      </c>
      <c r="BK719" s="19" t="s">
        <v>18936</v>
      </c>
      <c r="BL719" s="18"/>
      <c r="BM719" s="18"/>
      <c r="BN719" s="18"/>
      <c r="BO719" s="19" t="s">
        <v>18937</v>
      </c>
      <c r="BP719" s="18"/>
      <c r="BQ719" s="18"/>
      <c r="BR719" s="18"/>
      <c r="BS719" s="18"/>
      <c r="BT719" s="18"/>
      <c r="BU719" s="18"/>
      <c r="BV719" s="18"/>
      <c r="BW719" s="18"/>
      <c r="BX719" s="18"/>
      <c r="BY719" s="18" t="str">
        <f t="shared" si="108"/>
        <v>MECH</v>
      </c>
      <c r="BZ719" s="18" t="str">
        <f t="shared" si="100"/>
        <v/>
      </c>
      <c r="CA719" s="18" t="str">
        <f t="shared" si="101"/>
        <v/>
      </c>
      <c r="CB719" s="15" t="s">
        <v>2908</v>
      </c>
      <c r="CC719" s="15" t="s">
        <v>2908</v>
      </c>
      <c r="CD719" s="25" t="s">
        <v>2797</v>
      </c>
      <c r="CE719" s="18"/>
      <c r="CF719" s="18"/>
    </row>
    <row r="720" hidden="1">
      <c r="A720" s="14">
        <v>44722.861063206015</v>
      </c>
      <c r="B720" s="15" t="s">
        <v>2691</v>
      </c>
      <c r="C720" s="16" t="s">
        <v>18938</v>
      </c>
      <c r="D720" s="15" t="str">
        <f>IFERROR(__xludf.DUMMYFUNCTION("QUERY(TY_ALL_2023_Batch!$A$1:$E$824, ""SELECT E WHERE C='""&amp;B720&amp;""'"", 0)"),"MECH")</f>
        <v>MECH</v>
      </c>
      <c r="E720" s="15" t="s">
        <v>10588</v>
      </c>
      <c r="F720" s="15" t="s">
        <v>18939</v>
      </c>
      <c r="G720" s="15" t="s">
        <v>15916</v>
      </c>
      <c r="H720" s="15" t="s">
        <v>2785</v>
      </c>
      <c r="I720" s="17">
        <v>37043.0</v>
      </c>
      <c r="J720" s="15">
        <v>2019.0</v>
      </c>
      <c r="K720" s="15" t="s">
        <v>2786</v>
      </c>
      <c r="L720" s="15" t="s">
        <v>2787</v>
      </c>
      <c r="M720" s="18"/>
      <c r="N720" s="15" t="s">
        <v>18940</v>
      </c>
      <c r="O720" s="15" t="s">
        <v>18941</v>
      </c>
      <c r="P720" s="19" t="s">
        <v>18942</v>
      </c>
      <c r="Q720" s="15">
        <v>8.806051617E9</v>
      </c>
      <c r="R720" s="15">
        <v>8.806051617E9</v>
      </c>
      <c r="S720" s="15">
        <v>8.806051617E9</v>
      </c>
      <c r="T720" s="15" t="s">
        <v>18943</v>
      </c>
      <c r="U720" s="15" t="s">
        <v>18944</v>
      </c>
      <c r="V720" s="15" t="s">
        <v>18945</v>
      </c>
      <c r="W720" s="15" t="s">
        <v>18946</v>
      </c>
      <c r="X720" s="15">
        <v>91.0</v>
      </c>
      <c r="Y720" s="15" t="s">
        <v>2795</v>
      </c>
      <c r="Z720" s="15">
        <v>8.6</v>
      </c>
      <c r="AA720" s="15">
        <v>8.33</v>
      </c>
      <c r="AB720" s="15" t="s">
        <v>2796</v>
      </c>
      <c r="AC720" s="15" t="s">
        <v>2796</v>
      </c>
      <c r="AD720" s="15" t="s">
        <v>2796</v>
      </c>
      <c r="AE720" s="15" t="s">
        <v>2796</v>
      </c>
      <c r="AF720" s="15">
        <v>7.8</v>
      </c>
      <c r="AG720" s="15">
        <v>8.67</v>
      </c>
      <c r="AH720" s="15">
        <v>65.0</v>
      </c>
      <c r="AI720" s="18"/>
      <c r="AJ720" s="15" t="s">
        <v>2787</v>
      </c>
      <c r="AK720" s="15" t="s">
        <v>2787</v>
      </c>
      <c r="AL720" s="15">
        <v>96.0</v>
      </c>
      <c r="AM720" s="15">
        <v>97.0</v>
      </c>
      <c r="AN720" s="15" t="s">
        <v>2797</v>
      </c>
      <c r="AO720" s="15" t="s">
        <v>2797</v>
      </c>
      <c r="AP720" s="15" t="s">
        <v>2797</v>
      </c>
      <c r="AQ720" s="15" t="s">
        <v>2787</v>
      </c>
      <c r="AR720" s="18"/>
      <c r="AS720" s="18"/>
      <c r="AT720" s="18"/>
      <c r="AU720" s="15" t="s">
        <v>18947</v>
      </c>
      <c r="AV720" s="15" t="s">
        <v>18948</v>
      </c>
      <c r="AW720" s="15" t="s">
        <v>18949</v>
      </c>
      <c r="AX720" s="18"/>
      <c r="AY720" s="15" t="s">
        <v>18950</v>
      </c>
      <c r="AZ720" s="15" t="s">
        <v>9648</v>
      </c>
      <c r="BA720" s="15" t="s">
        <v>2899</v>
      </c>
      <c r="BB720" s="15" t="s">
        <v>3109</v>
      </c>
      <c r="BC720" s="15" t="s">
        <v>2808</v>
      </c>
      <c r="BD720" s="15" t="s">
        <v>2807</v>
      </c>
      <c r="BE720" s="15" t="s">
        <v>2796</v>
      </c>
      <c r="BF720" s="18"/>
      <c r="BG720" s="18"/>
      <c r="BH720" s="18"/>
      <c r="BI720" s="15" t="s">
        <v>18951</v>
      </c>
      <c r="BJ720" s="19" t="s">
        <v>18952</v>
      </c>
      <c r="BK720" s="19" t="s">
        <v>18953</v>
      </c>
      <c r="BL720" s="18"/>
      <c r="BM720" s="18"/>
      <c r="BN720" s="18"/>
      <c r="BO720" s="19" t="s">
        <v>18954</v>
      </c>
      <c r="BP720" s="18"/>
      <c r="BQ720" s="18"/>
      <c r="BR720" s="18"/>
      <c r="BS720" s="18"/>
      <c r="BT720" s="18"/>
      <c r="BU720" s="18"/>
      <c r="BV720" s="18"/>
      <c r="BW720" s="18"/>
      <c r="BX720" s="18"/>
      <c r="BY720" s="18" t="str">
        <f t="shared" si="108"/>
        <v>MECH</v>
      </c>
      <c r="BZ720" s="18" t="str">
        <f t="shared" si="100"/>
        <v/>
      </c>
      <c r="CA720" s="18" t="str">
        <f t="shared" si="101"/>
        <v/>
      </c>
      <c r="CB720" s="15" t="s">
        <v>2908</v>
      </c>
      <c r="CC720" s="15" t="s">
        <v>2908</v>
      </c>
      <c r="CD720" s="25" t="s">
        <v>2797</v>
      </c>
      <c r="CE720" s="18"/>
      <c r="CF720" s="18"/>
    </row>
    <row r="721" hidden="1">
      <c r="A721" s="14">
        <v>44722.86898050926</v>
      </c>
      <c r="B721" s="15" t="s">
        <v>2397</v>
      </c>
      <c r="C721" s="16" t="s">
        <v>18955</v>
      </c>
      <c r="D721" s="15" t="str">
        <f>IFERROR(__xludf.DUMMYFUNCTION("QUERY(TY_ALL_2023_Batch!$A$1:$E$824, ""SELECT E WHERE C='""&amp;B721&amp;""'"", 0)"),"MECH")</f>
        <v>MECH</v>
      </c>
      <c r="E721" s="15" t="s">
        <v>18956</v>
      </c>
      <c r="F721" s="15" t="s">
        <v>3379</v>
      </c>
      <c r="G721" s="15" t="s">
        <v>18957</v>
      </c>
      <c r="H721" s="15" t="s">
        <v>2785</v>
      </c>
      <c r="I721" s="17">
        <v>37000.0</v>
      </c>
      <c r="J721" s="15">
        <v>2019.0</v>
      </c>
      <c r="K721" s="15" t="s">
        <v>2786</v>
      </c>
      <c r="L721" s="15" t="s">
        <v>2787</v>
      </c>
      <c r="M721" s="18"/>
      <c r="N721" s="15" t="s">
        <v>18958</v>
      </c>
      <c r="O721" s="15" t="s">
        <v>2397</v>
      </c>
      <c r="P721" s="19" t="s">
        <v>18959</v>
      </c>
      <c r="Q721" s="15">
        <v>7.620028066E9</v>
      </c>
      <c r="R721" s="15">
        <v>7.620028066E9</v>
      </c>
      <c r="S721" s="15">
        <v>9.923630311E9</v>
      </c>
      <c r="T721" s="15" t="s">
        <v>3379</v>
      </c>
      <c r="U721" s="15" t="s">
        <v>14856</v>
      </c>
      <c r="V721" s="15" t="s">
        <v>18960</v>
      </c>
      <c r="W721" s="18"/>
      <c r="X721" s="15">
        <v>90.0</v>
      </c>
      <c r="Y721" s="15" t="s">
        <v>2795</v>
      </c>
      <c r="Z721" s="15">
        <v>9.52</v>
      </c>
      <c r="AA721" s="15">
        <v>9.1</v>
      </c>
      <c r="AB721" s="15">
        <v>9.05</v>
      </c>
      <c r="AC721" s="15">
        <v>9.2</v>
      </c>
      <c r="AD721" s="15" t="s">
        <v>2796</v>
      </c>
      <c r="AE721" s="15" t="s">
        <v>2796</v>
      </c>
      <c r="AF721" s="15">
        <v>8.95</v>
      </c>
      <c r="AG721" s="15">
        <v>9.71</v>
      </c>
      <c r="AH721" s="15">
        <v>79.08</v>
      </c>
      <c r="AI721" s="18"/>
      <c r="AJ721" s="15" t="s">
        <v>2787</v>
      </c>
      <c r="AK721" s="15" t="s">
        <v>2787</v>
      </c>
      <c r="AL721" s="15">
        <v>625.0</v>
      </c>
      <c r="AM721" s="15">
        <v>681.0</v>
      </c>
      <c r="AN721" s="15" t="s">
        <v>2797</v>
      </c>
      <c r="AO721" s="18"/>
      <c r="AP721" s="18"/>
      <c r="AQ721" s="15" t="s">
        <v>18961</v>
      </c>
      <c r="AR721" s="15" t="s">
        <v>18962</v>
      </c>
      <c r="AS721" s="18"/>
      <c r="AT721" s="18"/>
      <c r="AU721" s="15" t="s">
        <v>18963</v>
      </c>
      <c r="AV721" s="15" t="s">
        <v>18964</v>
      </c>
      <c r="AW721" s="15" t="s">
        <v>18965</v>
      </c>
      <c r="AX721" s="18"/>
      <c r="AY721" s="15" t="s">
        <v>18966</v>
      </c>
      <c r="AZ721" s="15" t="s">
        <v>8440</v>
      </c>
      <c r="BA721" s="15" t="s">
        <v>2839</v>
      </c>
      <c r="BB721" s="15" t="s">
        <v>12859</v>
      </c>
      <c r="BC721" s="15" t="s">
        <v>18967</v>
      </c>
      <c r="BD721" s="15" t="s">
        <v>3393</v>
      </c>
      <c r="BE721" s="15" t="s">
        <v>18968</v>
      </c>
      <c r="BF721" s="15" t="s">
        <v>18969</v>
      </c>
      <c r="BG721" s="18"/>
      <c r="BH721" s="15" t="s">
        <v>18970</v>
      </c>
      <c r="BI721" s="15" t="s">
        <v>18971</v>
      </c>
      <c r="BJ721" s="19" t="s">
        <v>18972</v>
      </c>
      <c r="BK721" s="19" t="s">
        <v>18973</v>
      </c>
      <c r="BL721" s="19" t="s">
        <v>18974</v>
      </c>
      <c r="BM721" s="19" t="s">
        <v>18975</v>
      </c>
      <c r="BN721" s="19" t="s">
        <v>18976</v>
      </c>
      <c r="BO721" s="19" t="s">
        <v>18977</v>
      </c>
      <c r="BP721" s="19" t="s">
        <v>18978</v>
      </c>
      <c r="BQ721" s="26"/>
      <c r="BR721" s="26"/>
      <c r="BS721" s="26"/>
      <c r="BT721" s="26"/>
      <c r="BU721" s="26"/>
      <c r="BV721" s="26"/>
      <c r="BW721" s="26"/>
      <c r="BX721" s="26"/>
      <c r="BY721" s="18" t="str">
        <f t="shared" si="108"/>
        <v>MECH</v>
      </c>
      <c r="BZ721" s="24" t="str">
        <f t="shared" si="100"/>
        <v>https://drive.google.com/open?id=1jtvfvLkBmaxHHaXQGgIwi-vPOu7W2Lr8</v>
      </c>
      <c r="CA721" s="24" t="str">
        <f t="shared" si="101"/>
        <v>https://drive.google.com/open?id=1dzCKfLN7fExBUTEsTSq6--kPmiQoBerY</v>
      </c>
      <c r="CB721" s="15" t="s">
        <v>2821</v>
      </c>
      <c r="CC721" s="15" t="s">
        <v>2821</v>
      </c>
      <c r="CD721" s="25" t="s">
        <v>2787</v>
      </c>
      <c r="CE721" s="18"/>
      <c r="CF721" s="18"/>
    </row>
    <row r="722" hidden="1">
      <c r="A722" s="14">
        <v>44722.88062267361</v>
      </c>
      <c r="B722" s="15" t="s">
        <v>2601</v>
      </c>
      <c r="C722" s="15">
        <v>1.20190102E8</v>
      </c>
      <c r="D722" s="15" t="str">
        <f>IFERROR(__xludf.DUMMYFUNCTION("QUERY(TY_ALL_2023_Batch!$A$1:$E$824, ""SELECT E WHERE C='""&amp;B722&amp;""'"", 0)"),"MECH")</f>
        <v>MECH</v>
      </c>
      <c r="E722" s="15" t="s">
        <v>6372</v>
      </c>
      <c r="F722" s="15" t="s">
        <v>4134</v>
      </c>
      <c r="G722" s="15" t="s">
        <v>4471</v>
      </c>
      <c r="H722" s="15" t="s">
        <v>2785</v>
      </c>
      <c r="I722" s="17">
        <v>36958.0</v>
      </c>
      <c r="J722" s="15">
        <v>2019.0</v>
      </c>
      <c r="K722" s="15" t="s">
        <v>2786</v>
      </c>
      <c r="L722" s="15" t="s">
        <v>2787</v>
      </c>
      <c r="M722" s="18"/>
      <c r="N722" s="15" t="s">
        <v>18979</v>
      </c>
      <c r="O722" s="15" t="s">
        <v>2601</v>
      </c>
      <c r="P722" s="19" t="s">
        <v>18980</v>
      </c>
      <c r="Q722" s="15">
        <v>7.378793585E9</v>
      </c>
      <c r="R722" s="15">
        <v>7.378793585E9</v>
      </c>
      <c r="S722" s="18"/>
      <c r="T722" s="15" t="s">
        <v>18981</v>
      </c>
      <c r="U722" s="15" t="s">
        <v>18982</v>
      </c>
      <c r="V722" s="15" t="s">
        <v>18983</v>
      </c>
      <c r="W722" s="18"/>
      <c r="X722" s="15">
        <v>93.4</v>
      </c>
      <c r="Y722" s="15" t="s">
        <v>2795</v>
      </c>
      <c r="Z722" s="15">
        <v>9.19</v>
      </c>
      <c r="AA722" s="15">
        <v>8.48</v>
      </c>
      <c r="AB722" s="15" t="s">
        <v>2796</v>
      </c>
      <c r="AC722" s="15" t="s">
        <v>2796</v>
      </c>
      <c r="AD722" s="15" t="s">
        <v>2796</v>
      </c>
      <c r="AE722" s="15" t="s">
        <v>2796</v>
      </c>
      <c r="AF722" s="15">
        <v>8.89</v>
      </c>
      <c r="AG722" s="15">
        <v>8.48</v>
      </c>
      <c r="AH722" s="15">
        <v>79.23</v>
      </c>
      <c r="AI722" s="18"/>
      <c r="AJ722" s="15" t="s">
        <v>2787</v>
      </c>
      <c r="AK722" s="15" t="s">
        <v>2787</v>
      </c>
      <c r="AL722" s="18"/>
      <c r="AM722" s="18"/>
      <c r="AN722" s="15" t="s">
        <v>2797</v>
      </c>
      <c r="AO722" s="18"/>
      <c r="AP722" s="18"/>
      <c r="AQ722" s="15" t="s">
        <v>15424</v>
      </c>
      <c r="AR722" s="18"/>
      <c r="AS722" s="18"/>
      <c r="AT722" s="18"/>
      <c r="AU722" s="18"/>
      <c r="AV722" s="15" t="s">
        <v>18984</v>
      </c>
      <c r="AW722" s="15" t="s">
        <v>18985</v>
      </c>
      <c r="AX722" s="18"/>
      <c r="AY722" s="15" t="s">
        <v>18986</v>
      </c>
      <c r="AZ722" s="15" t="s">
        <v>9648</v>
      </c>
      <c r="BA722" s="15" t="s">
        <v>2899</v>
      </c>
      <c r="BB722" s="15" t="s">
        <v>2807</v>
      </c>
      <c r="BC722" s="15" t="s">
        <v>2808</v>
      </c>
      <c r="BD722" s="15" t="s">
        <v>3393</v>
      </c>
      <c r="BE722" s="15" t="s">
        <v>2796</v>
      </c>
      <c r="BF722" s="18"/>
      <c r="BG722" s="18"/>
      <c r="BH722" s="18"/>
      <c r="BI722" s="18"/>
      <c r="BJ722" s="19" t="s">
        <v>18987</v>
      </c>
      <c r="BK722" s="19" t="s">
        <v>18988</v>
      </c>
      <c r="BL722" s="18"/>
      <c r="BM722" s="18"/>
      <c r="BN722" s="18"/>
      <c r="BO722" s="19" t="s">
        <v>18989</v>
      </c>
      <c r="BP722" s="18"/>
      <c r="BQ722" s="18"/>
      <c r="BR722" s="18"/>
      <c r="BS722" s="18"/>
      <c r="BT722" s="18"/>
      <c r="BU722" s="18"/>
      <c r="BV722" s="18"/>
      <c r="BW722" s="18"/>
      <c r="BX722" s="18"/>
      <c r="BY722" s="18" t="str">
        <f t="shared" si="108"/>
        <v>MECH</v>
      </c>
      <c r="BZ722" s="18" t="str">
        <f t="shared" si="100"/>
        <v/>
      </c>
      <c r="CA722" s="18" t="str">
        <f t="shared" si="101"/>
        <v/>
      </c>
      <c r="CB722" s="15" t="s">
        <v>2908</v>
      </c>
      <c r="CC722" s="15" t="s">
        <v>2908</v>
      </c>
      <c r="CD722" s="25" t="s">
        <v>2797</v>
      </c>
      <c r="CE722" s="18"/>
      <c r="CF722" s="18"/>
    </row>
    <row r="723" hidden="1">
      <c r="A723" s="14">
        <v>44722.88380350695</v>
      </c>
      <c r="B723" s="15" t="s">
        <v>2541</v>
      </c>
      <c r="C723" s="16" t="s">
        <v>18990</v>
      </c>
      <c r="D723" s="15" t="str">
        <f>IFERROR(__xludf.DUMMYFUNCTION("QUERY(TY_ALL_2023_Batch!$A$1:$E$824, ""SELECT E WHERE C='""&amp;B723&amp;""'"", 0)"),"MECH")</f>
        <v>MECH</v>
      </c>
      <c r="E723" s="15" t="s">
        <v>10441</v>
      </c>
      <c r="F723" s="15" t="s">
        <v>2939</v>
      </c>
      <c r="G723" s="15" t="s">
        <v>3926</v>
      </c>
      <c r="H723" s="15" t="s">
        <v>2785</v>
      </c>
      <c r="I723" s="17">
        <v>36997.0</v>
      </c>
      <c r="J723" s="15">
        <v>2019.0</v>
      </c>
      <c r="K723" s="15" t="s">
        <v>2786</v>
      </c>
      <c r="L723" s="15" t="s">
        <v>2787</v>
      </c>
      <c r="M723" s="18"/>
      <c r="N723" s="15" t="s">
        <v>18991</v>
      </c>
      <c r="O723" s="15" t="s">
        <v>2541</v>
      </c>
      <c r="P723" s="19" t="s">
        <v>18992</v>
      </c>
      <c r="Q723" s="15">
        <v>7.972993185E9</v>
      </c>
      <c r="R723" s="15">
        <v>7.972993185E9</v>
      </c>
      <c r="S723" s="18"/>
      <c r="T723" s="15" t="s">
        <v>18993</v>
      </c>
      <c r="U723" s="15" t="s">
        <v>18994</v>
      </c>
      <c r="V723" s="15" t="s">
        <v>18995</v>
      </c>
      <c r="W723" s="15" t="s">
        <v>18996</v>
      </c>
      <c r="X723" s="15">
        <v>86.54</v>
      </c>
      <c r="Y723" s="15" t="s">
        <v>2795</v>
      </c>
      <c r="Z723" s="15">
        <v>8.94</v>
      </c>
      <c r="AA723" s="15">
        <v>8.86</v>
      </c>
      <c r="AB723" s="15" t="s">
        <v>2796</v>
      </c>
      <c r="AC723" s="15" t="s">
        <v>2796</v>
      </c>
      <c r="AD723" s="15" t="s">
        <v>2796</v>
      </c>
      <c r="AE723" s="15" t="s">
        <v>2796</v>
      </c>
      <c r="AF723" s="15">
        <v>8.4</v>
      </c>
      <c r="AG723" s="15">
        <v>8.7</v>
      </c>
      <c r="AH723" s="15">
        <v>79.46</v>
      </c>
      <c r="AI723" s="18"/>
      <c r="AJ723" s="15" t="s">
        <v>2787</v>
      </c>
      <c r="AK723" s="15" t="s">
        <v>2787</v>
      </c>
      <c r="AL723" s="18"/>
      <c r="AM723" s="18"/>
      <c r="AN723" s="15" t="s">
        <v>2797</v>
      </c>
      <c r="AO723" s="15" t="s">
        <v>2797</v>
      </c>
      <c r="AP723" s="15" t="s">
        <v>2797</v>
      </c>
      <c r="AQ723" s="15" t="s">
        <v>18997</v>
      </c>
      <c r="AR723" s="18"/>
      <c r="AS723" s="18"/>
      <c r="AT723" s="18"/>
      <c r="AU723" s="15" t="s">
        <v>16811</v>
      </c>
      <c r="AV723" s="15" t="s">
        <v>18998</v>
      </c>
      <c r="AW723" s="15" t="s">
        <v>18508</v>
      </c>
      <c r="AX723" s="15" t="s">
        <v>2796</v>
      </c>
      <c r="AY723" s="15" t="s">
        <v>18999</v>
      </c>
      <c r="AZ723" s="15" t="s">
        <v>9648</v>
      </c>
      <c r="BA723" s="15" t="s">
        <v>2925</v>
      </c>
      <c r="BB723" s="15" t="s">
        <v>3109</v>
      </c>
      <c r="BC723" s="15" t="s">
        <v>13774</v>
      </c>
      <c r="BD723" s="15" t="s">
        <v>2807</v>
      </c>
      <c r="BE723" s="15" t="s">
        <v>2796</v>
      </c>
      <c r="BF723" s="18"/>
      <c r="BG723" s="18"/>
      <c r="BH723" s="18"/>
      <c r="BI723" s="18"/>
      <c r="BJ723" s="19" t="s">
        <v>19000</v>
      </c>
      <c r="BK723" s="19" t="s">
        <v>19001</v>
      </c>
      <c r="BL723" s="18"/>
      <c r="BM723" s="18"/>
      <c r="BN723" s="18"/>
      <c r="BO723" s="19" t="s">
        <v>19002</v>
      </c>
      <c r="BP723" s="18"/>
      <c r="BQ723" s="18"/>
      <c r="BR723" s="18"/>
      <c r="BS723" s="18"/>
      <c r="BT723" s="18"/>
      <c r="BU723" s="18"/>
      <c r="BV723" s="18"/>
      <c r="BW723" s="18"/>
      <c r="BX723" s="18"/>
      <c r="BY723" s="18" t="str">
        <f t="shared" si="108"/>
        <v>MECH</v>
      </c>
      <c r="BZ723" s="18" t="str">
        <f t="shared" si="100"/>
        <v/>
      </c>
      <c r="CA723" s="18" t="str">
        <f t="shared" si="101"/>
        <v/>
      </c>
      <c r="CB723" s="15" t="s">
        <v>2908</v>
      </c>
      <c r="CC723" s="15" t="s">
        <v>2908</v>
      </c>
      <c r="CD723" s="25" t="s">
        <v>2797</v>
      </c>
      <c r="CE723" s="18"/>
      <c r="CF723" s="18"/>
    </row>
    <row r="724" hidden="1">
      <c r="A724" s="14">
        <v>44722.943381481484</v>
      </c>
      <c r="B724" s="15" t="s">
        <v>2667</v>
      </c>
      <c r="C724" s="16" t="s">
        <v>19003</v>
      </c>
      <c r="D724" s="15" t="str">
        <f>IFERROR(__xludf.DUMMYFUNCTION("QUERY(TY_ALL_2023_Batch!$A$1:$E$824, ""SELECT E WHERE C='""&amp;B724&amp;""'"", 0)"),"MECH")</f>
        <v>MECH</v>
      </c>
      <c r="E724" s="15" t="s">
        <v>5131</v>
      </c>
      <c r="F724" s="15" t="s">
        <v>19004</v>
      </c>
      <c r="G724" s="15" t="s">
        <v>14092</v>
      </c>
      <c r="H724" s="15" t="s">
        <v>2785</v>
      </c>
      <c r="I724" s="17">
        <v>37325.0</v>
      </c>
      <c r="J724" s="15">
        <v>2019.0</v>
      </c>
      <c r="K724" s="15" t="s">
        <v>2786</v>
      </c>
      <c r="L724" s="15" t="s">
        <v>2787</v>
      </c>
      <c r="M724" s="18"/>
      <c r="N724" s="15" t="s">
        <v>19005</v>
      </c>
      <c r="O724" s="15" t="s">
        <v>2667</v>
      </c>
      <c r="P724" s="19" t="s">
        <v>19006</v>
      </c>
      <c r="Q724" s="15">
        <v>7.02075862E9</v>
      </c>
      <c r="R724" s="15">
        <v>7.02075862E9</v>
      </c>
      <c r="S724" s="15">
        <v>9.604119667E9</v>
      </c>
      <c r="T724" s="15" t="s">
        <v>19004</v>
      </c>
      <c r="U724" s="15" t="s">
        <v>7158</v>
      </c>
      <c r="V724" s="15" t="s">
        <v>19007</v>
      </c>
      <c r="W724" s="15" t="s">
        <v>19008</v>
      </c>
      <c r="X724" s="15">
        <v>86.5</v>
      </c>
      <c r="Y724" s="15" t="s">
        <v>2795</v>
      </c>
      <c r="Z724" s="15">
        <v>8.81</v>
      </c>
      <c r="AA724" s="15">
        <v>8.33</v>
      </c>
      <c r="AB724" s="15" t="s">
        <v>2796</v>
      </c>
      <c r="AC724" s="15" t="s">
        <v>2796</v>
      </c>
      <c r="AD724" s="15" t="s">
        <v>2796</v>
      </c>
      <c r="AE724" s="15" t="s">
        <v>2796</v>
      </c>
      <c r="AF724" s="15">
        <v>9.11</v>
      </c>
      <c r="AG724" s="15">
        <v>8.81</v>
      </c>
      <c r="AH724" s="15">
        <v>81.5</v>
      </c>
      <c r="AI724" s="18"/>
      <c r="AJ724" s="15" t="s">
        <v>2787</v>
      </c>
      <c r="AK724" s="15" t="s">
        <v>2787</v>
      </c>
      <c r="AL724" s="18"/>
      <c r="AM724" s="18"/>
      <c r="AN724" s="15" t="s">
        <v>2797</v>
      </c>
      <c r="AO724" s="15" t="s">
        <v>2796</v>
      </c>
      <c r="AP724" s="15" t="s">
        <v>2796</v>
      </c>
      <c r="AQ724" s="15" t="s">
        <v>19009</v>
      </c>
      <c r="AR724" s="18"/>
      <c r="AS724" s="18"/>
      <c r="AT724" s="18"/>
      <c r="AU724" s="15" t="s">
        <v>19010</v>
      </c>
      <c r="AV724" s="15" t="s">
        <v>19011</v>
      </c>
      <c r="AW724" s="15" t="s">
        <v>19012</v>
      </c>
      <c r="AX724" s="18"/>
      <c r="AY724" s="15" t="s">
        <v>19013</v>
      </c>
      <c r="AZ724" s="15" t="s">
        <v>8440</v>
      </c>
      <c r="BA724" s="15" t="s">
        <v>19014</v>
      </c>
      <c r="BB724" s="15" t="s">
        <v>2807</v>
      </c>
      <c r="BC724" s="15" t="s">
        <v>19015</v>
      </c>
      <c r="BD724" s="15" t="s">
        <v>2807</v>
      </c>
      <c r="BE724" s="15" t="s">
        <v>19016</v>
      </c>
      <c r="BF724" s="15" t="s">
        <v>19017</v>
      </c>
      <c r="BG724" s="15" t="s">
        <v>2796</v>
      </c>
      <c r="BH724" s="18"/>
      <c r="BI724" s="15" t="s">
        <v>19018</v>
      </c>
      <c r="BJ724" s="19" t="s">
        <v>19019</v>
      </c>
      <c r="BK724" s="19" t="s">
        <v>19020</v>
      </c>
      <c r="BL724" s="18"/>
      <c r="BM724" s="18"/>
      <c r="BN724" s="19" t="s">
        <v>19021</v>
      </c>
      <c r="BO724" s="19" t="s">
        <v>19022</v>
      </c>
      <c r="BP724" s="19" t="s">
        <v>19023</v>
      </c>
      <c r="BQ724" s="26"/>
      <c r="BR724" s="26"/>
      <c r="BS724" s="26"/>
      <c r="BT724" s="26"/>
      <c r="BU724" s="26"/>
      <c r="BV724" s="26"/>
      <c r="BW724" s="26"/>
      <c r="BX724" s="26"/>
      <c r="BY724" s="18" t="str">
        <f t="shared" si="108"/>
        <v>MECH</v>
      </c>
      <c r="BZ724" s="18" t="str">
        <f t="shared" si="100"/>
        <v/>
      </c>
      <c r="CA724" s="18" t="str">
        <f t="shared" si="101"/>
        <v/>
      </c>
      <c r="CB724" s="15" t="s">
        <v>2908</v>
      </c>
      <c r="CC724" s="15" t="s">
        <v>2908</v>
      </c>
      <c r="CD724" s="25" t="s">
        <v>2797</v>
      </c>
      <c r="CE724" s="18"/>
      <c r="CF724" s="18"/>
    </row>
    <row r="725" hidden="1">
      <c r="A725" s="14">
        <v>44722.9502637963</v>
      </c>
      <c r="B725" s="15" t="s">
        <v>2520</v>
      </c>
      <c r="C725" s="16" t="s">
        <v>19024</v>
      </c>
      <c r="D725" s="15" t="str">
        <f>IFERROR(__xludf.DUMMYFUNCTION("QUERY(TY_ALL_2023_Batch!$A$1:$E$824, ""SELECT E WHERE C='""&amp;B725&amp;""'"", 0)"),"MECH")</f>
        <v>MECH</v>
      </c>
      <c r="E725" s="15" t="s">
        <v>19025</v>
      </c>
      <c r="F725" s="15" t="s">
        <v>19026</v>
      </c>
      <c r="G725" s="15" t="s">
        <v>19027</v>
      </c>
      <c r="H725" s="15" t="s">
        <v>2785</v>
      </c>
      <c r="I725" s="17">
        <v>37119.0</v>
      </c>
      <c r="J725" s="15">
        <v>2019.0</v>
      </c>
      <c r="K725" s="15" t="s">
        <v>2786</v>
      </c>
      <c r="L725" s="15" t="s">
        <v>2787</v>
      </c>
      <c r="M725" s="18"/>
      <c r="N725" s="15" t="s">
        <v>19028</v>
      </c>
      <c r="O725" s="15" t="s">
        <v>2520</v>
      </c>
      <c r="P725" s="19" t="s">
        <v>19029</v>
      </c>
      <c r="Q725" s="15">
        <v>9.172391184E9</v>
      </c>
      <c r="R725" s="15">
        <v>9.172391184E9</v>
      </c>
      <c r="S725" s="15">
        <v>7.620412219E9</v>
      </c>
      <c r="T725" s="15" t="s">
        <v>19030</v>
      </c>
      <c r="U725" s="15" t="s">
        <v>19031</v>
      </c>
      <c r="V725" s="15" t="s">
        <v>19032</v>
      </c>
      <c r="W725" s="18"/>
      <c r="X725" s="15">
        <v>87.4</v>
      </c>
      <c r="Y725" s="15" t="s">
        <v>2795</v>
      </c>
      <c r="Z725" s="15">
        <v>8.1</v>
      </c>
      <c r="AA725" s="15">
        <v>8.43</v>
      </c>
      <c r="AB725" s="15" t="s">
        <v>2796</v>
      </c>
      <c r="AC725" s="15" t="s">
        <v>2796</v>
      </c>
      <c r="AD725" s="15" t="s">
        <v>2796</v>
      </c>
      <c r="AE725" s="15" t="s">
        <v>2796</v>
      </c>
      <c r="AF725" s="15">
        <v>7.95</v>
      </c>
      <c r="AG725" s="15">
        <v>7.33</v>
      </c>
      <c r="AH725" s="15">
        <v>70.8</v>
      </c>
      <c r="AI725" s="18"/>
      <c r="AJ725" s="15" t="s">
        <v>2787</v>
      </c>
      <c r="AK725" s="15" t="s">
        <v>2787</v>
      </c>
      <c r="AL725" s="15">
        <v>75.66</v>
      </c>
      <c r="AM725" s="15">
        <v>90.0</v>
      </c>
      <c r="AN725" s="15" t="s">
        <v>2787</v>
      </c>
      <c r="AO725" s="18"/>
      <c r="AP725" s="15" t="s">
        <v>19033</v>
      </c>
      <c r="AQ725" s="15" t="s">
        <v>19034</v>
      </c>
      <c r="AR725" s="18"/>
      <c r="AS725" s="15" t="s">
        <v>19035</v>
      </c>
      <c r="AT725" s="18"/>
      <c r="AU725" s="15" t="s">
        <v>2796</v>
      </c>
      <c r="AV725" s="15" t="s">
        <v>19036</v>
      </c>
      <c r="AW725" s="15" t="s">
        <v>19037</v>
      </c>
      <c r="AX725" s="15" t="s">
        <v>19038</v>
      </c>
      <c r="AY725" s="15" t="s">
        <v>19039</v>
      </c>
      <c r="AZ725" s="15" t="s">
        <v>3960</v>
      </c>
      <c r="BA725" s="15" t="s">
        <v>19040</v>
      </c>
      <c r="BB725" s="15" t="s">
        <v>2807</v>
      </c>
      <c r="BC725" s="15" t="s">
        <v>13013</v>
      </c>
      <c r="BD725" s="15" t="s">
        <v>2807</v>
      </c>
      <c r="BE725" s="15" t="s">
        <v>19041</v>
      </c>
      <c r="BF725" s="15" t="s">
        <v>2796</v>
      </c>
      <c r="BG725" s="15" t="s">
        <v>2796</v>
      </c>
      <c r="BH725" s="15" t="s">
        <v>19042</v>
      </c>
      <c r="BI725" s="15" t="s">
        <v>2796</v>
      </c>
      <c r="BJ725" s="19" t="s">
        <v>19043</v>
      </c>
      <c r="BK725" s="19" t="s">
        <v>19044</v>
      </c>
      <c r="BL725" s="18"/>
      <c r="BM725" s="19" t="s">
        <v>19045</v>
      </c>
      <c r="BN725" s="19" t="s">
        <v>19046</v>
      </c>
      <c r="BO725" s="19" t="s">
        <v>19047</v>
      </c>
      <c r="BP725" s="19" t="s">
        <v>19048</v>
      </c>
      <c r="BQ725" s="26"/>
      <c r="BR725" s="26"/>
      <c r="BS725" s="26"/>
      <c r="BT725" s="26"/>
      <c r="BU725" s="26"/>
      <c r="BV725" s="26"/>
      <c r="BW725" s="26"/>
      <c r="BX725" s="26"/>
      <c r="BY725" s="18" t="str">
        <f t="shared" si="108"/>
        <v>MECH</v>
      </c>
      <c r="BZ725" s="18" t="str">
        <f t="shared" si="100"/>
        <v/>
      </c>
      <c r="CA725" s="24" t="str">
        <f t="shared" si="101"/>
        <v>https://drive.google.com/open?id=1LjdPYsCs41kfrlRE9Czi4GfnFPQhhJ8i</v>
      </c>
      <c r="CB725" s="15" t="s">
        <v>2908</v>
      </c>
      <c r="CC725" s="15" t="s">
        <v>2821</v>
      </c>
      <c r="CD725" s="25" t="s">
        <v>2797</v>
      </c>
      <c r="CE725" s="18"/>
      <c r="CF725" s="18"/>
    </row>
    <row r="726" hidden="1">
      <c r="A726" s="14">
        <v>44722.99786644676</v>
      </c>
      <c r="B726" s="15" t="s">
        <v>2655</v>
      </c>
      <c r="C726" s="16" t="s">
        <v>19049</v>
      </c>
      <c r="D726" s="15" t="str">
        <f>IFERROR(__xludf.DUMMYFUNCTION("QUERY(TY_ALL_2023_Batch!$A$1:$E$824, ""SELECT E WHERE C='""&amp;B726&amp;""'"", 0)"),"MECH")</f>
        <v>MECH</v>
      </c>
      <c r="E726" s="15" t="s">
        <v>8174</v>
      </c>
      <c r="F726" s="15" t="s">
        <v>6015</v>
      </c>
      <c r="G726" s="15" t="s">
        <v>19050</v>
      </c>
      <c r="H726" s="15" t="s">
        <v>2785</v>
      </c>
      <c r="I726" s="17">
        <v>37182.0</v>
      </c>
      <c r="J726" s="15">
        <v>2019.0</v>
      </c>
      <c r="K726" s="15" t="s">
        <v>2786</v>
      </c>
      <c r="L726" s="15" t="s">
        <v>2787</v>
      </c>
      <c r="M726" s="18"/>
      <c r="N726" s="15" t="s">
        <v>19051</v>
      </c>
      <c r="O726" s="15" t="s">
        <v>19052</v>
      </c>
      <c r="P726" s="19" t="s">
        <v>19053</v>
      </c>
      <c r="Q726" s="15">
        <v>8.08082623E9</v>
      </c>
      <c r="R726" s="15">
        <v>8.08082623E9</v>
      </c>
      <c r="S726" s="18"/>
      <c r="T726" s="15" t="s">
        <v>19054</v>
      </c>
      <c r="U726" s="15" t="s">
        <v>19055</v>
      </c>
      <c r="V726" s="15" t="s">
        <v>19056</v>
      </c>
      <c r="W726" s="15" t="s">
        <v>19057</v>
      </c>
      <c r="X726" s="15">
        <v>84.6</v>
      </c>
      <c r="Y726" s="15" t="s">
        <v>2795</v>
      </c>
      <c r="Z726" s="15">
        <v>9.57</v>
      </c>
      <c r="AA726" s="15">
        <v>9.14</v>
      </c>
      <c r="AB726" s="15">
        <v>8.2</v>
      </c>
      <c r="AC726" s="15">
        <v>7.75</v>
      </c>
      <c r="AD726" s="15" t="s">
        <v>2796</v>
      </c>
      <c r="AE726" s="15" t="s">
        <v>2796</v>
      </c>
      <c r="AF726" s="15">
        <v>8.57</v>
      </c>
      <c r="AG726" s="15">
        <v>7.32</v>
      </c>
      <c r="AH726" s="15">
        <v>69.4</v>
      </c>
      <c r="AI726" s="18"/>
      <c r="AJ726" s="15" t="s">
        <v>2787</v>
      </c>
      <c r="AK726" s="15" t="s">
        <v>2787</v>
      </c>
      <c r="AL726" s="15">
        <v>58.8</v>
      </c>
      <c r="AM726" s="15">
        <v>70.3</v>
      </c>
      <c r="AN726" s="15" t="s">
        <v>2797</v>
      </c>
      <c r="AO726" s="15" t="s">
        <v>2796</v>
      </c>
      <c r="AP726" s="15" t="s">
        <v>2796</v>
      </c>
      <c r="AQ726" s="15" t="s">
        <v>19058</v>
      </c>
      <c r="AR726" s="18"/>
      <c r="AS726" s="15" t="s">
        <v>19059</v>
      </c>
      <c r="AT726" s="18"/>
      <c r="AU726" s="18"/>
      <c r="AV726" s="18"/>
      <c r="AW726" s="15" t="s">
        <v>19060</v>
      </c>
      <c r="AX726" s="18"/>
      <c r="AY726" s="15" t="s">
        <v>19061</v>
      </c>
      <c r="AZ726" s="15" t="s">
        <v>9648</v>
      </c>
      <c r="BA726" s="15" t="s">
        <v>3210</v>
      </c>
      <c r="BB726" s="15" t="s">
        <v>12859</v>
      </c>
      <c r="BC726" s="15" t="s">
        <v>19062</v>
      </c>
      <c r="BD726" s="15" t="s">
        <v>2807</v>
      </c>
      <c r="BE726" s="15" t="s">
        <v>19063</v>
      </c>
      <c r="BF726" s="15" t="s">
        <v>19064</v>
      </c>
      <c r="BG726" s="15" t="s">
        <v>3313</v>
      </c>
      <c r="BH726" s="15" t="s">
        <v>3313</v>
      </c>
      <c r="BI726" s="15" t="s">
        <v>3313</v>
      </c>
      <c r="BJ726" s="19" t="s">
        <v>19065</v>
      </c>
      <c r="BK726" s="19" t="s">
        <v>19066</v>
      </c>
      <c r="BL726" s="20" t="s">
        <v>19067</v>
      </c>
      <c r="BM726" s="19" t="s">
        <v>19068</v>
      </c>
      <c r="BN726" s="19" t="s">
        <v>19069</v>
      </c>
      <c r="BO726" s="19" t="s">
        <v>19070</v>
      </c>
      <c r="BP726" s="19" t="s">
        <v>19071</v>
      </c>
      <c r="BQ726" s="26"/>
      <c r="BR726" s="26"/>
      <c r="BS726" s="26"/>
      <c r="BT726" s="26"/>
      <c r="BU726" s="26"/>
      <c r="BV726" s="26"/>
      <c r="BW726" s="26"/>
      <c r="BX726" s="26"/>
      <c r="BY726" s="18" t="str">
        <f t="shared" si="108"/>
        <v>MECH</v>
      </c>
      <c r="BZ726" s="24" t="str">
        <f t="shared" si="100"/>
        <v>https://drive.google.com/open?id=1EsKh6nAINYiaeZfgHwlr8EX2bwSLRbg3</v>
      </c>
      <c r="CA726" s="24" t="str">
        <f t="shared" si="101"/>
        <v>https://drive.google.com/open?id=1IWpDD2WdTO-Gga-ATUpKnoBZSfeAwi0n</v>
      </c>
      <c r="CB726" s="15" t="s">
        <v>2821</v>
      </c>
      <c r="CC726" s="15" t="s">
        <v>2821</v>
      </c>
      <c r="CD726" s="25" t="s">
        <v>2797</v>
      </c>
      <c r="CE726" s="18"/>
      <c r="CF726" s="18"/>
    </row>
    <row r="727" hidden="1">
      <c r="A727" s="14">
        <v>44723.032111782406</v>
      </c>
      <c r="B727" s="15" t="s">
        <v>2388</v>
      </c>
      <c r="C727" s="16" t="s">
        <v>19072</v>
      </c>
      <c r="D727" s="15" t="str">
        <f>IFERROR(__xludf.DUMMYFUNCTION("QUERY(TY_ALL_2023_Batch!$A$1:$E$824, ""SELECT E WHERE C='""&amp;B727&amp;""'"", 0)"),"MECH")</f>
        <v>MECH</v>
      </c>
      <c r="E727" s="15" t="s">
        <v>19073</v>
      </c>
      <c r="F727" s="15" t="s">
        <v>4935</v>
      </c>
      <c r="G727" s="15" t="s">
        <v>19074</v>
      </c>
      <c r="H727" s="15" t="s">
        <v>2826</v>
      </c>
      <c r="I727" s="17">
        <v>37129.0</v>
      </c>
      <c r="J727" s="15">
        <v>2019.0</v>
      </c>
      <c r="K727" s="15" t="s">
        <v>2786</v>
      </c>
      <c r="L727" s="15" t="s">
        <v>2787</v>
      </c>
      <c r="M727" s="18"/>
      <c r="N727" s="15" t="s">
        <v>19075</v>
      </c>
      <c r="O727" s="15" t="s">
        <v>2388</v>
      </c>
      <c r="P727" s="19" t="s">
        <v>19076</v>
      </c>
      <c r="Q727" s="15">
        <v>7.776013481E9</v>
      </c>
      <c r="R727" s="15">
        <v>7.776013481E9</v>
      </c>
      <c r="S727" s="15">
        <v>9.325282316E9</v>
      </c>
      <c r="T727" s="15" t="s">
        <v>19077</v>
      </c>
      <c r="U727" s="15" t="s">
        <v>19078</v>
      </c>
      <c r="V727" s="15" t="s">
        <v>19079</v>
      </c>
      <c r="W727" s="15" t="s">
        <v>19080</v>
      </c>
      <c r="X727" s="15">
        <v>96.0</v>
      </c>
      <c r="Y727" s="15" t="s">
        <v>2795</v>
      </c>
      <c r="Z727" s="15">
        <v>9.71</v>
      </c>
      <c r="AA727" s="15">
        <v>9.05</v>
      </c>
      <c r="AB727" s="15" t="s">
        <v>2796</v>
      </c>
      <c r="AC727" s="15" t="s">
        <v>2796</v>
      </c>
      <c r="AD727" s="15" t="s">
        <v>2796</v>
      </c>
      <c r="AE727" s="15" t="s">
        <v>2796</v>
      </c>
      <c r="AF727" s="15">
        <v>8.16</v>
      </c>
      <c r="AG727" s="15">
        <v>8.81</v>
      </c>
      <c r="AH727" s="15">
        <v>6.0</v>
      </c>
      <c r="AI727" s="18"/>
      <c r="AJ727" s="15" t="s">
        <v>2787</v>
      </c>
      <c r="AK727" s="15" t="s">
        <v>2787</v>
      </c>
      <c r="AL727" s="15">
        <v>551.0</v>
      </c>
      <c r="AM727" s="15">
        <v>587.0</v>
      </c>
      <c r="AN727" s="15" t="s">
        <v>2787</v>
      </c>
      <c r="AO727" s="18"/>
      <c r="AP727" s="15" t="s">
        <v>19081</v>
      </c>
      <c r="AQ727" s="15" t="s">
        <v>19082</v>
      </c>
      <c r="AR727" s="15" t="s">
        <v>19083</v>
      </c>
      <c r="AS727" s="15" t="s">
        <v>19084</v>
      </c>
      <c r="AT727" s="18"/>
      <c r="AU727" s="15" t="s">
        <v>19085</v>
      </c>
      <c r="AV727" s="15" t="s">
        <v>19086</v>
      </c>
      <c r="AW727" s="15" t="s">
        <v>19087</v>
      </c>
      <c r="AX727" s="18"/>
      <c r="AY727" s="15" t="s">
        <v>19088</v>
      </c>
      <c r="AZ727" s="15" t="s">
        <v>3960</v>
      </c>
      <c r="BA727" s="15" t="s">
        <v>2899</v>
      </c>
      <c r="BB727" s="15" t="s">
        <v>2807</v>
      </c>
      <c r="BC727" s="15" t="s">
        <v>13150</v>
      </c>
      <c r="BD727" s="15" t="s">
        <v>2807</v>
      </c>
      <c r="BE727" s="15" t="s">
        <v>19089</v>
      </c>
      <c r="BF727" s="15" t="s">
        <v>19090</v>
      </c>
      <c r="BG727" s="18"/>
      <c r="BH727" s="18"/>
      <c r="BI727" s="15" t="s">
        <v>19091</v>
      </c>
      <c r="BJ727" s="19" t="s">
        <v>19092</v>
      </c>
      <c r="BK727" s="19" t="s">
        <v>19093</v>
      </c>
      <c r="BL727" s="19" t="s">
        <v>19094</v>
      </c>
      <c r="BM727" s="19" t="s">
        <v>19095</v>
      </c>
      <c r="BN727" s="19" t="s">
        <v>19096</v>
      </c>
      <c r="BO727" s="19" t="s">
        <v>19097</v>
      </c>
      <c r="BP727" s="19" t="s">
        <v>19098</v>
      </c>
      <c r="BQ727" s="26"/>
      <c r="BR727" s="26"/>
      <c r="BS727" s="26"/>
      <c r="BT727" s="26"/>
      <c r="BU727" s="26"/>
      <c r="BV727" s="26"/>
      <c r="BW727" s="26"/>
      <c r="BX727" s="26"/>
      <c r="BY727" s="18" t="str">
        <f t="shared" si="108"/>
        <v>MECH</v>
      </c>
      <c r="BZ727" s="24" t="str">
        <f t="shared" si="100"/>
        <v>https://drive.google.com/open?id=1qCo_HznSLpdHGRu-07ZK1Ht088m84dS-</v>
      </c>
      <c r="CA727" s="24" t="str">
        <f t="shared" si="101"/>
        <v>https://drive.google.com/open?id=1wqqrJpyXREiDIjeFMd7F7WrwAiEgb3Tz</v>
      </c>
      <c r="CB727" s="15" t="s">
        <v>2821</v>
      </c>
      <c r="CC727" s="15" t="s">
        <v>2821</v>
      </c>
      <c r="CD727" s="25" t="s">
        <v>2797</v>
      </c>
      <c r="CE727" s="18"/>
      <c r="CF727" s="18"/>
    </row>
    <row r="728" hidden="1">
      <c r="A728" s="14">
        <v>44723.007610879635</v>
      </c>
      <c r="B728" s="15" t="s">
        <v>2640</v>
      </c>
      <c r="C728" s="16" t="s">
        <v>19099</v>
      </c>
      <c r="D728" s="15" t="str">
        <f>IFERROR(__xludf.DUMMYFUNCTION("QUERY(TY_ALL_2023_Batch!$A$1:$E$824, ""SELECT E WHERE C='""&amp;B728&amp;""'"", 0)"),"MECH")</f>
        <v>MECH</v>
      </c>
      <c r="E728" s="15" t="s">
        <v>4958</v>
      </c>
      <c r="F728" s="15" t="s">
        <v>6816</v>
      </c>
      <c r="G728" s="15" t="s">
        <v>19100</v>
      </c>
      <c r="H728" s="15" t="s">
        <v>2826</v>
      </c>
      <c r="I728" s="17">
        <v>36992.0</v>
      </c>
      <c r="J728" s="15">
        <v>2019.0</v>
      </c>
      <c r="K728" s="15" t="s">
        <v>2786</v>
      </c>
      <c r="L728" s="15" t="s">
        <v>2787</v>
      </c>
      <c r="M728" s="18"/>
      <c r="N728" s="15" t="s">
        <v>19101</v>
      </c>
      <c r="O728" s="15" t="s">
        <v>19102</v>
      </c>
      <c r="P728" s="19" t="s">
        <v>19103</v>
      </c>
      <c r="Q728" s="15">
        <v>7.410501071E9</v>
      </c>
      <c r="R728" s="15">
        <v>7.410501071E9</v>
      </c>
      <c r="S728" s="15">
        <v>9.607137706E9</v>
      </c>
      <c r="T728" s="15" t="s">
        <v>6816</v>
      </c>
      <c r="U728" s="15" t="s">
        <v>11039</v>
      </c>
      <c r="V728" s="15" t="s">
        <v>19104</v>
      </c>
      <c r="W728" s="15" t="s">
        <v>19105</v>
      </c>
      <c r="X728" s="15">
        <v>89.6</v>
      </c>
      <c r="Y728" s="15" t="s">
        <v>2795</v>
      </c>
      <c r="Z728" s="15">
        <v>6.5</v>
      </c>
      <c r="AA728" s="15">
        <v>7.0</v>
      </c>
      <c r="AB728" s="15">
        <v>7.5</v>
      </c>
      <c r="AC728" s="15">
        <v>7.6</v>
      </c>
      <c r="AD728" s="15">
        <v>7.5</v>
      </c>
      <c r="AE728" s="15">
        <v>7.5</v>
      </c>
      <c r="AF728" s="15">
        <v>6.5</v>
      </c>
      <c r="AG728" s="15">
        <v>6.5</v>
      </c>
      <c r="AH728" s="15">
        <v>68.0</v>
      </c>
      <c r="AI728" s="18"/>
      <c r="AJ728" s="15" t="s">
        <v>2787</v>
      </c>
      <c r="AK728" s="15" t="s">
        <v>2787</v>
      </c>
      <c r="AL728" s="15">
        <v>8.0</v>
      </c>
      <c r="AM728" s="15">
        <v>8.0</v>
      </c>
      <c r="AN728" s="15" t="s">
        <v>2797</v>
      </c>
      <c r="AO728" s="15" t="s">
        <v>3989</v>
      </c>
      <c r="AP728" s="15" t="s">
        <v>3989</v>
      </c>
      <c r="AQ728" s="15" t="s">
        <v>3989</v>
      </c>
      <c r="AR728" s="15" t="s">
        <v>3989</v>
      </c>
      <c r="AS728" s="15" t="s">
        <v>3989</v>
      </c>
      <c r="AT728" s="15" t="s">
        <v>3989</v>
      </c>
      <c r="AU728" s="15" t="s">
        <v>3035</v>
      </c>
      <c r="AV728" s="15" t="s">
        <v>19106</v>
      </c>
      <c r="AW728" s="15" t="s">
        <v>19107</v>
      </c>
      <c r="AX728" s="15" t="s">
        <v>19108</v>
      </c>
      <c r="AY728" s="15" t="s">
        <v>19109</v>
      </c>
      <c r="AZ728" s="15" t="s">
        <v>9648</v>
      </c>
      <c r="BA728" s="15" t="s">
        <v>2899</v>
      </c>
      <c r="BB728" s="15" t="s">
        <v>3462</v>
      </c>
      <c r="BC728" s="15" t="s">
        <v>2808</v>
      </c>
      <c r="BD728" s="15" t="s">
        <v>3393</v>
      </c>
      <c r="BE728" s="15" t="s">
        <v>19110</v>
      </c>
      <c r="BF728" s="15" t="s">
        <v>19111</v>
      </c>
      <c r="BG728" s="15" t="s">
        <v>3989</v>
      </c>
      <c r="BH728" s="15" t="s">
        <v>19108</v>
      </c>
      <c r="BI728" s="15" t="s">
        <v>19112</v>
      </c>
      <c r="BJ728" s="19" t="s">
        <v>19113</v>
      </c>
      <c r="BK728" s="19" t="s">
        <v>19114</v>
      </c>
      <c r="BL728" s="18"/>
      <c r="BM728" s="18"/>
      <c r="BN728" s="18"/>
      <c r="BO728" s="19" t="s">
        <v>19115</v>
      </c>
      <c r="BP728" s="18"/>
      <c r="BQ728" s="18"/>
      <c r="BR728" s="18"/>
      <c r="BS728" s="18"/>
      <c r="BT728" s="18"/>
      <c r="BU728" s="18"/>
      <c r="BV728" s="18"/>
      <c r="BW728" s="18"/>
      <c r="BX728" s="18"/>
      <c r="BY728" s="18" t="str">
        <f t="shared" si="108"/>
        <v>MECH</v>
      </c>
      <c r="BZ728" s="18" t="str">
        <f t="shared" si="100"/>
        <v/>
      </c>
      <c r="CA728" s="18" t="str">
        <f t="shared" si="101"/>
        <v/>
      </c>
      <c r="CB728" s="15" t="s">
        <v>2908</v>
      </c>
      <c r="CC728" s="15" t="s">
        <v>2908</v>
      </c>
      <c r="CD728" s="25" t="s">
        <v>2797</v>
      </c>
      <c r="CE728" s="18"/>
      <c r="CF728" s="18"/>
    </row>
    <row r="729" hidden="1">
      <c r="A729" s="14">
        <v>44722.48557929398</v>
      </c>
      <c r="B729" s="15" t="s">
        <v>19116</v>
      </c>
      <c r="C729" s="16" t="s">
        <v>19117</v>
      </c>
      <c r="D729" s="15" t="str">
        <f>IFERROR(__xludf.DUMMYFUNCTION("QUERY(TY_ALL_2023_Batch!$A$1:$E$824, ""SELECT E WHERE C='""&amp;B729&amp;""'"", 0)"),"#N/A")</f>
        <v>#N/A</v>
      </c>
      <c r="E729" s="15" t="s">
        <v>3424</v>
      </c>
      <c r="F729" s="15" t="s">
        <v>19118</v>
      </c>
      <c r="G729" s="15" t="s">
        <v>5691</v>
      </c>
      <c r="H729" s="15" t="s">
        <v>2785</v>
      </c>
      <c r="I729" s="17">
        <v>36210.0</v>
      </c>
      <c r="J729" s="15">
        <v>2019.0</v>
      </c>
      <c r="K729" s="15" t="s">
        <v>2941</v>
      </c>
      <c r="L729" s="15" t="s">
        <v>2797</v>
      </c>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t="str">
        <f t="shared" si="108"/>
        <v>#N/A</v>
      </c>
      <c r="BZ729" s="18" t="str">
        <f t="shared" si="100"/>
        <v/>
      </c>
      <c r="CA729" s="18" t="str">
        <f t="shared" si="101"/>
        <v/>
      </c>
      <c r="CB729" s="15" t="s">
        <v>7277</v>
      </c>
      <c r="CC729" s="15" t="s">
        <v>7277</v>
      </c>
      <c r="CD729" s="25" t="s">
        <v>2797</v>
      </c>
      <c r="CE729" s="18"/>
      <c r="CF729" s="18"/>
    </row>
    <row r="730" hidden="1">
      <c r="A730" s="14">
        <v>44722.52633875</v>
      </c>
      <c r="B730" s="15" t="s">
        <v>19119</v>
      </c>
      <c r="C730" s="16" t="s">
        <v>19120</v>
      </c>
      <c r="D730" s="15" t="str">
        <f>IFERROR(__xludf.DUMMYFUNCTION("QUERY(TY_ALL_2023_Batch!$A$1:$E$824, ""SELECT E WHERE C='""&amp;B730&amp;""'"", 0)"),"#N/A")</f>
        <v>#N/A</v>
      </c>
      <c r="E730" s="15" t="s">
        <v>19121</v>
      </c>
      <c r="F730" s="15" t="s">
        <v>13406</v>
      </c>
      <c r="G730" s="15" t="s">
        <v>17083</v>
      </c>
      <c r="H730" s="15" t="s">
        <v>2826</v>
      </c>
      <c r="I730" s="17">
        <v>36577.0</v>
      </c>
      <c r="J730" s="15">
        <v>2019.0</v>
      </c>
      <c r="K730" s="15" t="s">
        <v>2941</v>
      </c>
      <c r="L730" s="15" t="s">
        <v>2787</v>
      </c>
      <c r="M730" s="18"/>
      <c r="N730" s="15" t="s">
        <v>19122</v>
      </c>
      <c r="O730" s="15" t="s">
        <v>19123</v>
      </c>
      <c r="P730" s="19" t="s">
        <v>19124</v>
      </c>
      <c r="Q730" s="15">
        <v>9.552099782E9</v>
      </c>
      <c r="R730" s="15">
        <v>9.552099782E9</v>
      </c>
      <c r="S730" s="18"/>
      <c r="T730" s="15" t="s">
        <v>2796</v>
      </c>
      <c r="U730" s="15" t="s">
        <v>3083</v>
      </c>
      <c r="V730" s="15" t="s">
        <v>19125</v>
      </c>
      <c r="W730" s="18"/>
      <c r="X730" s="15">
        <v>80.0</v>
      </c>
      <c r="Y730" s="15" t="s">
        <v>2948</v>
      </c>
      <c r="Z730" s="15">
        <v>6.12</v>
      </c>
      <c r="AA730" s="15">
        <v>6.55</v>
      </c>
      <c r="AB730" s="15">
        <v>6.0</v>
      </c>
      <c r="AC730" s="15">
        <v>6.15</v>
      </c>
      <c r="AD730" s="15">
        <v>7.12</v>
      </c>
      <c r="AE730" s="15">
        <v>6.0</v>
      </c>
      <c r="AF730" s="18"/>
      <c r="AG730" s="18"/>
      <c r="AH730" s="18"/>
      <c r="AI730" s="15">
        <v>83.0</v>
      </c>
      <c r="AJ730" s="15" t="s">
        <v>2787</v>
      </c>
      <c r="AK730" s="15" t="s">
        <v>2787</v>
      </c>
      <c r="AL730" s="15">
        <v>4.0</v>
      </c>
      <c r="AM730" s="15">
        <v>4.0</v>
      </c>
      <c r="AN730" s="15" t="s">
        <v>2797</v>
      </c>
      <c r="AO730" s="18"/>
      <c r="AP730" s="18"/>
      <c r="AQ730" s="15" t="s">
        <v>19126</v>
      </c>
      <c r="AR730" s="18"/>
      <c r="AS730" s="18"/>
      <c r="AT730" s="18"/>
      <c r="AU730" s="18"/>
      <c r="AV730" s="18"/>
      <c r="AW730" s="15" t="s">
        <v>19127</v>
      </c>
      <c r="AX730" s="18"/>
      <c r="AY730" s="15" t="s">
        <v>19128</v>
      </c>
      <c r="AZ730" s="15" t="s">
        <v>4670</v>
      </c>
      <c r="BA730" s="15" t="s">
        <v>5552</v>
      </c>
      <c r="BB730" s="15" t="s">
        <v>2807</v>
      </c>
      <c r="BC730" s="15" t="s">
        <v>4217</v>
      </c>
      <c r="BD730" s="15" t="s">
        <v>2807</v>
      </c>
      <c r="BE730" s="15" t="s">
        <v>19129</v>
      </c>
      <c r="BF730" s="18"/>
      <c r="BG730" s="18"/>
      <c r="BH730" s="15" t="s">
        <v>19130</v>
      </c>
      <c r="BI730" s="15" t="s">
        <v>19131</v>
      </c>
      <c r="BJ730" s="15" t="s">
        <v>19119</v>
      </c>
      <c r="BK730" s="19" t="s">
        <v>19132</v>
      </c>
      <c r="BL730" s="18"/>
      <c r="BM730" s="18"/>
      <c r="BN730" s="19" t="s">
        <v>19133</v>
      </c>
      <c r="BO730" s="19" t="s">
        <v>19134</v>
      </c>
      <c r="BP730" s="18"/>
      <c r="BQ730" s="18"/>
      <c r="BR730" s="18"/>
      <c r="BS730" s="18"/>
      <c r="BT730" s="18"/>
      <c r="BU730" s="18"/>
      <c r="BV730" s="18"/>
      <c r="BW730" s="18"/>
      <c r="BX730" s="18"/>
      <c r="BY730" s="18" t="str">
        <f t="shared" si="108"/>
        <v>#N/A</v>
      </c>
      <c r="BZ730" s="18" t="str">
        <f t="shared" si="100"/>
        <v/>
      </c>
      <c r="CA730" s="18" t="str">
        <f t="shared" si="101"/>
        <v/>
      </c>
      <c r="CB730" s="15" t="s">
        <v>7277</v>
      </c>
      <c r="CC730" s="15" t="s">
        <v>7277</v>
      </c>
      <c r="CD730" s="25" t="s">
        <v>2797</v>
      </c>
      <c r="CE730" s="18"/>
      <c r="CF730" s="18"/>
    </row>
    <row r="731" hidden="1">
      <c r="A731" s="14">
        <v>44722.96242275463</v>
      </c>
      <c r="B731" s="15" t="s">
        <v>19135</v>
      </c>
      <c r="C731" s="16" t="s">
        <v>19136</v>
      </c>
      <c r="D731" s="15" t="str">
        <f>IFERROR(__xludf.DUMMYFUNCTION("QUERY(TY_ALL_2023_Batch!$A$1:$E$824, ""SELECT E WHERE C='""&amp;B731&amp;""'"", 0)"),"#N/A")</f>
        <v>#N/A</v>
      </c>
      <c r="E731" s="15" t="s">
        <v>19137</v>
      </c>
      <c r="F731" s="15" t="s">
        <v>19138</v>
      </c>
      <c r="G731" s="15" t="s">
        <v>19139</v>
      </c>
      <c r="H731" s="15" t="s">
        <v>2785</v>
      </c>
      <c r="I731" s="17">
        <v>36927.0</v>
      </c>
      <c r="J731" s="15">
        <v>2020.0</v>
      </c>
      <c r="K731" s="15" t="s">
        <v>2941</v>
      </c>
      <c r="L731" s="15" t="s">
        <v>2787</v>
      </c>
      <c r="M731" s="18"/>
      <c r="N731" s="15" t="s">
        <v>19140</v>
      </c>
      <c r="O731" s="15" t="s">
        <v>19135</v>
      </c>
      <c r="P731" s="19" t="s">
        <v>19141</v>
      </c>
      <c r="Q731" s="15">
        <v>8.308799519E9</v>
      </c>
      <c r="R731" s="15">
        <v>8.308799519E9</v>
      </c>
      <c r="S731" s="18"/>
      <c r="T731" s="15" t="s">
        <v>19138</v>
      </c>
      <c r="U731" s="15" t="s">
        <v>4073</v>
      </c>
      <c r="V731" s="15" t="s">
        <v>19142</v>
      </c>
      <c r="W731" s="18"/>
      <c r="X731" s="15">
        <v>87.0</v>
      </c>
      <c r="Y731" s="15" t="s">
        <v>2948</v>
      </c>
      <c r="Z731" s="15">
        <v>8.14</v>
      </c>
      <c r="AA731" s="15">
        <v>7.81</v>
      </c>
      <c r="AB731" s="15" t="s">
        <v>2796</v>
      </c>
      <c r="AC731" s="15" t="s">
        <v>2796</v>
      </c>
      <c r="AD731" s="15" t="s">
        <v>2796</v>
      </c>
      <c r="AE731" s="15" t="s">
        <v>2796</v>
      </c>
      <c r="AF731" s="18"/>
      <c r="AG731" s="18"/>
      <c r="AH731" s="18"/>
      <c r="AI731" s="15">
        <v>92.21</v>
      </c>
      <c r="AJ731" s="15" t="s">
        <v>2787</v>
      </c>
      <c r="AK731" s="15" t="s">
        <v>2787</v>
      </c>
      <c r="AL731" s="18"/>
      <c r="AM731" s="18"/>
      <c r="AN731" s="15" t="s">
        <v>2797</v>
      </c>
      <c r="AO731" s="18"/>
      <c r="AP731" s="18"/>
      <c r="AQ731" s="15" t="s">
        <v>3587</v>
      </c>
      <c r="AR731" s="18"/>
      <c r="AS731" s="15" t="s">
        <v>2870</v>
      </c>
      <c r="AT731" s="18"/>
      <c r="AU731" s="18"/>
      <c r="AV731" s="15" t="s">
        <v>19143</v>
      </c>
      <c r="AW731" s="15" t="s">
        <v>19144</v>
      </c>
      <c r="AX731" s="18"/>
      <c r="AY731" s="15" t="s">
        <v>19145</v>
      </c>
      <c r="AZ731" s="15" t="s">
        <v>3960</v>
      </c>
      <c r="BA731" s="15" t="s">
        <v>2870</v>
      </c>
      <c r="BB731" s="15" t="s">
        <v>3109</v>
      </c>
      <c r="BC731" s="15" t="s">
        <v>19146</v>
      </c>
      <c r="BD731" s="15" t="s">
        <v>2842</v>
      </c>
      <c r="BE731" s="15" t="s">
        <v>19147</v>
      </c>
      <c r="BF731" s="18"/>
      <c r="BG731" s="18"/>
      <c r="BH731" s="18"/>
      <c r="BI731" s="18"/>
      <c r="BJ731" s="19" t="s">
        <v>19148</v>
      </c>
      <c r="BK731" s="19" t="s">
        <v>19149</v>
      </c>
      <c r="BL731" s="18"/>
      <c r="BM731" s="18"/>
      <c r="BN731" s="18"/>
      <c r="BO731" s="19" t="s">
        <v>19150</v>
      </c>
      <c r="BP731" s="18"/>
      <c r="BQ731" s="18"/>
      <c r="BR731" s="18"/>
      <c r="BS731" s="18"/>
      <c r="BT731" s="18"/>
      <c r="BU731" s="18"/>
      <c r="BV731" s="18"/>
      <c r="BW731" s="18"/>
      <c r="BX731" s="18"/>
      <c r="BY731" s="18" t="str">
        <f t="shared" si="108"/>
        <v>#N/A</v>
      </c>
      <c r="BZ731" s="18" t="str">
        <f t="shared" si="100"/>
        <v/>
      </c>
      <c r="CA731" s="18" t="str">
        <f t="shared" si="101"/>
        <v/>
      </c>
      <c r="CB731" s="15" t="s">
        <v>2908</v>
      </c>
      <c r="CC731" s="15" t="s">
        <v>2908</v>
      </c>
      <c r="CD731" s="25" t="s">
        <v>2797</v>
      </c>
      <c r="CE731" s="18"/>
      <c r="CF731" s="18"/>
    </row>
    <row r="732" hidden="1">
      <c r="A732" s="14">
        <v>44722.92733436343</v>
      </c>
      <c r="B732" s="15" t="s">
        <v>19151</v>
      </c>
      <c r="C732" s="16" t="s">
        <v>19152</v>
      </c>
      <c r="D732" s="15" t="str">
        <f>IFERROR(__xludf.DUMMYFUNCTION("QUERY(TY_ALL_2023_Batch!$A$1:$E$824, ""SELECT E WHERE C='""&amp;B732&amp;""'"", 0)"),"#N/A")</f>
        <v>#N/A</v>
      </c>
      <c r="E732" s="15" t="s">
        <v>19153</v>
      </c>
      <c r="F732" s="15" t="s">
        <v>3924</v>
      </c>
      <c r="G732" s="15" t="s">
        <v>19154</v>
      </c>
      <c r="H732" s="15" t="s">
        <v>2785</v>
      </c>
      <c r="I732" s="17">
        <v>36707.0</v>
      </c>
      <c r="J732" s="15">
        <v>2020.0</v>
      </c>
      <c r="K732" s="15" t="s">
        <v>2786</v>
      </c>
      <c r="L732" s="15" t="s">
        <v>2787</v>
      </c>
      <c r="M732" s="18"/>
      <c r="N732" s="15" t="s">
        <v>19155</v>
      </c>
      <c r="O732" s="15" t="s">
        <v>19151</v>
      </c>
      <c r="P732" s="19" t="s">
        <v>19156</v>
      </c>
      <c r="Q732" s="15">
        <v>9.767038463E9</v>
      </c>
      <c r="R732" s="15">
        <v>9.767038463E9</v>
      </c>
      <c r="S732" s="15">
        <v>8.97587794E9</v>
      </c>
      <c r="T732" s="15" t="s">
        <v>5274</v>
      </c>
      <c r="U732" s="15" t="s">
        <v>19157</v>
      </c>
      <c r="V732" s="15" t="s">
        <v>19158</v>
      </c>
      <c r="W732" s="15" t="s">
        <v>19159</v>
      </c>
      <c r="X732" s="15">
        <v>85.8</v>
      </c>
      <c r="Y732" s="15" t="s">
        <v>2795</v>
      </c>
      <c r="Z732" s="15">
        <v>4.7</v>
      </c>
      <c r="AA732" s="15">
        <v>5.7</v>
      </c>
      <c r="AB732" s="15" t="s">
        <v>2796</v>
      </c>
      <c r="AC732" s="15" t="s">
        <v>2796</v>
      </c>
      <c r="AD732" s="15" t="s">
        <v>2796</v>
      </c>
      <c r="AE732" s="15" t="s">
        <v>2796</v>
      </c>
      <c r="AF732" s="15">
        <v>6.7</v>
      </c>
      <c r="AG732" s="15">
        <v>5.7</v>
      </c>
      <c r="AH732" s="15">
        <v>52.2</v>
      </c>
      <c r="AI732" s="18"/>
      <c r="AJ732" s="15" t="s">
        <v>2787</v>
      </c>
      <c r="AK732" s="15" t="s">
        <v>2787</v>
      </c>
      <c r="AL732" s="18"/>
      <c r="AM732" s="18"/>
      <c r="AN732" s="15" t="s">
        <v>2787</v>
      </c>
      <c r="AO732" s="15" t="s">
        <v>19160</v>
      </c>
      <c r="AP732" s="15" t="s">
        <v>19161</v>
      </c>
      <c r="AQ732" s="15" t="s">
        <v>2796</v>
      </c>
      <c r="AR732" s="18"/>
      <c r="AS732" s="18"/>
      <c r="AT732" s="18"/>
      <c r="AU732" s="18"/>
      <c r="AV732" s="18"/>
      <c r="AW732" s="15" t="s">
        <v>2796</v>
      </c>
      <c r="AX732" s="18"/>
      <c r="AY732" s="15" t="s">
        <v>2796</v>
      </c>
      <c r="AZ732" s="15" t="s">
        <v>4044</v>
      </c>
      <c r="BA732" s="15" t="s">
        <v>2870</v>
      </c>
      <c r="BB732" s="15" t="s">
        <v>5649</v>
      </c>
      <c r="BC732" s="15" t="s">
        <v>3686</v>
      </c>
      <c r="BD732" s="15" t="s">
        <v>2807</v>
      </c>
      <c r="BE732" s="15" t="s">
        <v>2796</v>
      </c>
      <c r="BF732" s="15" t="s">
        <v>2796</v>
      </c>
      <c r="BG732" s="15" t="s">
        <v>19162</v>
      </c>
      <c r="BH732" s="18"/>
      <c r="BI732" s="18"/>
      <c r="BJ732" s="19" t="s">
        <v>19163</v>
      </c>
      <c r="BK732" s="19" t="s">
        <v>19164</v>
      </c>
      <c r="BL732" s="19" t="s">
        <v>19165</v>
      </c>
      <c r="BM732" s="18"/>
      <c r="BN732" s="18"/>
      <c r="BO732" s="19" t="s">
        <v>19166</v>
      </c>
      <c r="BP732" s="18"/>
      <c r="BQ732" s="18"/>
      <c r="BR732" s="18"/>
      <c r="BS732" s="18"/>
      <c r="BT732" s="18"/>
      <c r="BU732" s="18"/>
      <c r="BV732" s="18"/>
      <c r="BW732" s="18"/>
      <c r="BX732" s="18"/>
      <c r="BY732" s="18" t="str">
        <f t="shared" si="108"/>
        <v>#N/A</v>
      </c>
      <c r="BZ732" s="24" t="str">
        <f t="shared" si="100"/>
        <v>https://drive.google.com/open?id=1EBkGgCMMxmBoR3YcBcXvFvt6abB91LK-</v>
      </c>
      <c r="CA732" s="18" t="str">
        <f t="shared" si="101"/>
        <v/>
      </c>
      <c r="CB732" s="15" t="s">
        <v>2821</v>
      </c>
      <c r="CC732" s="15" t="s">
        <v>2908</v>
      </c>
      <c r="CD732" s="25" t="s">
        <v>2797</v>
      </c>
      <c r="CE732" s="18"/>
      <c r="CF732" s="18"/>
    </row>
    <row r="733" hidden="1">
      <c r="A733" s="14">
        <v>44722.98597076389</v>
      </c>
      <c r="B733" s="15" t="s">
        <v>19167</v>
      </c>
      <c r="C733" s="16" t="s">
        <v>19168</v>
      </c>
      <c r="D733" s="15" t="str">
        <f>IFERROR(__xludf.DUMMYFUNCTION("QUERY(TY_ALL_2023_Batch!$A$1:$E$824, ""SELECT E WHERE C='""&amp;B733&amp;""'"", 0)"),"#N/A")</f>
        <v>#N/A</v>
      </c>
      <c r="E733" s="15" t="s">
        <v>19169</v>
      </c>
      <c r="F733" s="15" t="s">
        <v>19170</v>
      </c>
      <c r="G733" s="15" t="s">
        <v>19171</v>
      </c>
      <c r="H733" s="15" t="s">
        <v>2785</v>
      </c>
      <c r="I733" s="17">
        <v>37088.0</v>
      </c>
      <c r="J733" s="15">
        <v>2020.0</v>
      </c>
      <c r="K733" s="15" t="s">
        <v>2941</v>
      </c>
      <c r="L733" s="15" t="s">
        <v>2787</v>
      </c>
      <c r="M733" s="18"/>
      <c r="N733" s="15" t="s">
        <v>1584</v>
      </c>
      <c r="O733" s="15" t="s">
        <v>19167</v>
      </c>
      <c r="P733" s="19" t="s">
        <v>19172</v>
      </c>
      <c r="Q733" s="15">
        <v>7.057961585E9</v>
      </c>
      <c r="R733" s="15">
        <v>7.057961585E9</v>
      </c>
      <c r="S733" s="15">
        <v>9.89023862E9</v>
      </c>
      <c r="T733" s="15" t="s">
        <v>19170</v>
      </c>
      <c r="U733" s="15" t="s">
        <v>18521</v>
      </c>
      <c r="V733" s="15" t="s">
        <v>19173</v>
      </c>
      <c r="W733" s="15" t="s">
        <v>19173</v>
      </c>
      <c r="X733" s="15">
        <v>88.0</v>
      </c>
      <c r="Y733" s="15" t="s">
        <v>2948</v>
      </c>
      <c r="Z733" s="15">
        <v>8.19</v>
      </c>
      <c r="AA733" s="15">
        <v>8.45</v>
      </c>
      <c r="AB733" s="15" t="s">
        <v>2796</v>
      </c>
      <c r="AC733" s="15" t="s">
        <v>2796</v>
      </c>
      <c r="AD733" s="15" t="s">
        <v>2796</v>
      </c>
      <c r="AE733" s="15" t="s">
        <v>2796</v>
      </c>
      <c r="AF733" s="18"/>
      <c r="AG733" s="18"/>
      <c r="AH733" s="18"/>
      <c r="AI733" s="15">
        <v>92.26</v>
      </c>
      <c r="AJ733" s="15" t="s">
        <v>2787</v>
      </c>
      <c r="AK733" s="15" t="s">
        <v>2787</v>
      </c>
      <c r="AL733" s="15">
        <v>50.0</v>
      </c>
      <c r="AM733" s="15">
        <v>40.0</v>
      </c>
      <c r="AN733" s="15" t="s">
        <v>2797</v>
      </c>
      <c r="AO733" s="15" t="s">
        <v>2796</v>
      </c>
      <c r="AP733" s="15" t="s">
        <v>2796</v>
      </c>
      <c r="AQ733" s="15" t="s">
        <v>2796</v>
      </c>
      <c r="AR733" s="15" t="s">
        <v>2796</v>
      </c>
      <c r="AS733" s="15" t="s">
        <v>2796</v>
      </c>
      <c r="AT733" s="15" t="s">
        <v>2796</v>
      </c>
      <c r="AU733" s="15" t="s">
        <v>2796</v>
      </c>
      <c r="AV733" s="15" t="s">
        <v>19174</v>
      </c>
      <c r="AW733" s="15" t="s">
        <v>19175</v>
      </c>
      <c r="AX733" s="15" t="s">
        <v>2796</v>
      </c>
      <c r="AY733" s="15" t="s">
        <v>19176</v>
      </c>
      <c r="AZ733" s="15" t="s">
        <v>9648</v>
      </c>
      <c r="BA733" s="15" t="s">
        <v>4727</v>
      </c>
      <c r="BB733" s="15" t="s">
        <v>2807</v>
      </c>
      <c r="BC733" s="15" t="s">
        <v>13150</v>
      </c>
      <c r="BD733" s="15" t="s">
        <v>2807</v>
      </c>
      <c r="BE733" s="15" t="s">
        <v>19177</v>
      </c>
      <c r="BF733" s="15" t="s">
        <v>3005</v>
      </c>
      <c r="BG733" s="15" t="s">
        <v>19178</v>
      </c>
      <c r="BH733" s="18"/>
      <c r="BI733" s="15" t="s">
        <v>19179</v>
      </c>
      <c r="BJ733" s="19" t="s">
        <v>19180</v>
      </c>
      <c r="BK733" s="19" t="s">
        <v>19181</v>
      </c>
      <c r="BL733" s="18"/>
      <c r="BM733" s="18"/>
      <c r="BN733" s="18"/>
      <c r="BO733" s="19" t="s">
        <v>19182</v>
      </c>
      <c r="BP733" s="18"/>
      <c r="BQ733" s="18"/>
      <c r="BR733" s="18"/>
      <c r="BS733" s="18"/>
      <c r="BT733" s="18"/>
      <c r="BU733" s="18"/>
      <c r="BV733" s="18"/>
      <c r="BW733" s="18"/>
      <c r="BX733" s="18"/>
      <c r="BY733" s="18" t="str">
        <f t="shared" si="108"/>
        <v>#N/A</v>
      </c>
      <c r="BZ733" s="18" t="str">
        <f t="shared" si="100"/>
        <v/>
      </c>
      <c r="CA733" s="18" t="str">
        <f t="shared" si="101"/>
        <v/>
      </c>
      <c r="CB733" s="15" t="s">
        <v>2908</v>
      </c>
      <c r="CC733" s="15" t="s">
        <v>2908</v>
      </c>
      <c r="CD733" s="25" t="s">
        <v>2797</v>
      </c>
      <c r="CE733" s="18"/>
      <c r="CF733" s="18"/>
    </row>
    <row r="734" ht="18.75" hidden="1" customHeight="1">
      <c r="A734" s="14">
        <v>44722.98909956019</v>
      </c>
      <c r="B734" s="15" t="s">
        <v>19183</v>
      </c>
      <c r="C734" s="16" t="s">
        <v>19184</v>
      </c>
      <c r="D734" s="15" t="str">
        <f>IFERROR(__xludf.DUMMYFUNCTION("QUERY(TY_ALL_2023_Batch!$A$1:$E$824, ""SELECT E WHERE C='""&amp;B734&amp;""'"", 0)"),"#N/A")</f>
        <v>#N/A</v>
      </c>
      <c r="E734" s="15" t="s">
        <v>19185</v>
      </c>
      <c r="F734" s="15" t="s">
        <v>6891</v>
      </c>
      <c r="G734" s="15" t="s">
        <v>19186</v>
      </c>
      <c r="H734" s="15" t="s">
        <v>2785</v>
      </c>
      <c r="I734" s="17">
        <v>36871.0</v>
      </c>
      <c r="J734" s="15">
        <v>2020.0</v>
      </c>
      <c r="K734" s="15" t="s">
        <v>2941</v>
      </c>
      <c r="L734" s="15" t="s">
        <v>2787</v>
      </c>
      <c r="M734" s="18"/>
      <c r="N734" s="15" t="s">
        <v>1593</v>
      </c>
      <c r="O734" s="15" t="s">
        <v>19183</v>
      </c>
      <c r="P734" s="19" t="s">
        <v>19187</v>
      </c>
      <c r="Q734" s="15">
        <v>7.400248161E9</v>
      </c>
      <c r="R734" s="15">
        <v>7.400248161E9</v>
      </c>
      <c r="S734" s="15">
        <v>7.021068406E9</v>
      </c>
      <c r="T734" s="15" t="s">
        <v>19188</v>
      </c>
      <c r="U734" s="15" t="s">
        <v>19189</v>
      </c>
      <c r="V734" s="15" t="s">
        <v>19190</v>
      </c>
      <c r="W734" s="15" t="s">
        <v>19191</v>
      </c>
      <c r="X734" s="15">
        <v>82.81</v>
      </c>
      <c r="Y734" s="15" t="s">
        <v>2948</v>
      </c>
      <c r="Z734" s="15">
        <v>8.61</v>
      </c>
      <c r="AA734" s="15">
        <v>8.61</v>
      </c>
      <c r="AB734" s="15" t="s">
        <v>2796</v>
      </c>
      <c r="AC734" s="15" t="s">
        <v>2796</v>
      </c>
      <c r="AD734" s="15" t="s">
        <v>3005</v>
      </c>
      <c r="AE734" s="15" t="s">
        <v>3005</v>
      </c>
      <c r="AF734" s="18"/>
      <c r="AG734" s="18"/>
      <c r="AH734" s="18"/>
      <c r="AI734" s="15">
        <v>86.81</v>
      </c>
      <c r="AJ734" s="15" t="s">
        <v>2787</v>
      </c>
      <c r="AK734" s="15" t="s">
        <v>2787</v>
      </c>
      <c r="AL734" s="15">
        <v>60.0</v>
      </c>
      <c r="AM734" s="15">
        <v>70.0</v>
      </c>
      <c r="AN734" s="15" t="s">
        <v>2797</v>
      </c>
      <c r="AO734" s="15" t="s">
        <v>3005</v>
      </c>
      <c r="AP734" s="15" t="s">
        <v>3005</v>
      </c>
      <c r="AQ734" s="15" t="s">
        <v>19192</v>
      </c>
      <c r="AR734" s="18"/>
      <c r="AS734" s="15" t="s">
        <v>19193</v>
      </c>
      <c r="AT734" s="18"/>
      <c r="AU734" s="15" t="s">
        <v>3005</v>
      </c>
      <c r="AV734" s="15" t="s">
        <v>19194</v>
      </c>
      <c r="AW734" s="15" t="s">
        <v>19195</v>
      </c>
      <c r="AX734" s="15" t="s">
        <v>3005</v>
      </c>
      <c r="AY734" s="15" t="s">
        <v>19196</v>
      </c>
      <c r="AZ734" s="15" t="s">
        <v>9648</v>
      </c>
      <c r="BA734" s="15" t="s">
        <v>2870</v>
      </c>
      <c r="BB734" s="15" t="s">
        <v>2807</v>
      </c>
      <c r="BC734" s="15" t="s">
        <v>12991</v>
      </c>
      <c r="BD734" s="15" t="s">
        <v>2807</v>
      </c>
      <c r="BE734" s="15" t="s">
        <v>19197</v>
      </c>
      <c r="BF734" s="15" t="s">
        <v>19198</v>
      </c>
      <c r="BG734" s="15" t="s">
        <v>3005</v>
      </c>
      <c r="BH734" s="15" t="s">
        <v>19199</v>
      </c>
      <c r="BI734" s="15" t="s">
        <v>19200</v>
      </c>
      <c r="BJ734" s="19" t="s">
        <v>19201</v>
      </c>
      <c r="BK734" s="19" t="s">
        <v>19202</v>
      </c>
      <c r="BL734" s="18"/>
      <c r="BM734" s="18"/>
      <c r="BN734" s="18"/>
      <c r="BO734" s="19" t="s">
        <v>19203</v>
      </c>
      <c r="BP734" s="18"/>
      <c r="BQ734" s="18"/>
      <c r="BR734" s="18"/>
      <c r="BS734" s="18"/>
      <c r="BT734" s="18"/>
      <c r="BU734" s="18"/>
      <c r="BV734" s="18"/>
      <c r="BW734" s="18"/>
      <c r="BX734" s="18"/>
      <c r="BY734" s="18" t="str">
        <f t="shared" si="108"/>
        <v>#N/A</v>
      </c>
      <c r="BZ734" s="18" t="str">
        <f t="shared" si="100"/>
        <v/>
      </c>
      <c r="CA734" s="18" t="str">
        <f t="shared" si="101"/>
        <v/>
      </c>
      <c r="CB734" s="15" t="s">
        <v>2908</v>
      </c>
      <c r="CC734" s="15" t="s">
        <v>2908</v>
      </c>
      <c r="CD734" s="25" t="s">
        <v>2797</v>
      </c>
      <c r="CE734" s="18"/>
      <c r="CF734" s="18"/>
    </row>
    <row r="735" ht="18.75" customHeight="1">
      <c r="CD735" s="48"/>
    </row>
    <row r="736" ht="18.75" customHeight="1">
      <c r="CD736" s="48"/>
    </row>
    <row r="737" ht="18.75" customHeight="1">
      <c r="CD737" s="48"/>
    </row>
    <row r="738" ht="18.75" customHeight="1">
      <c r="CD738" s="48"/>
    </row>
    <row r="739" ht="18.75" customHeight="1">
      <c r="CD739" s="48"/>
    </row>
    <row r="740" ht="18.75" customHeight="1">
      <c r="CD740" s="48"/>
    </row>
    <row r="741" ht="18.75" customHeight="1">
      <c r="CD741" s="48"/>
    </row>
    <row r="742" ht="18.75" customHeight="1">
      <c r="CD742" s="48"/>
    </row>
    <row r="743" ht="18.75" customHeight="1">
      <c r="CD743" s="48"/>
    </row>
    <row r="744" ht="18.75" customHeight="1">
      <c r="CD744" s="48"/>
    </row>
    <row r="745" ht="18.75" customHeight="1">
      <c r="CD745" s="48"/>
    </row>
    <row r="746" ht="18.75" customHeight="1">
      <c r="CD746" s="48"/>
    </row>
    <row r="747" ht="18.75" customHeight="1">
      <c r="CD747" s="48"/>
    </row>
    <row r="748" ht="18.75" customHeight="1">
      <c r="CD748" s="48"/>
    </row>
    <row r="749" ht="18.75" customHeight="1">
      <c r="CD749" s="48"/>
    </row>
    <row r="750" ht="18.75" customHeight="1">
      <c r="CD750" s="48"/>
    </row>
    <row r="751" ht="18.75" customHeight="1">
      <c r="CD751" s="48"/>
    </row>
    <row r="752" ht="18.75" customHeight="1">
      <c r="CD752" s="48"/>
    </row>
    <row r="753" ht="18.75" customHeight="1">
      <c r="CD753" s="48"/>
    </row>
    <row r="754" ht="18.75" customHeight="1">
      <c r="CD754" s="48"/>
    </row>
    <row r="755" ht="18.75" customHeight="1">
      <c r="CD755" s="48"/>
    </row>
    <row r="756" ht="18.75" customHeight="1">
      <c r="CD756" s="48"/>
    </row>
    <row r="757" ht="18.75" customHeight="1">
      <c r="CD757" s="48"/>
    </row>
    <row r="758" ht="18.75" customHeight="1">
      <c r="CD758" s="48"/>
    </row>
    <row r="759" ht="18.75" customHeight="1">
      <c r="CD759" s="48"/>
    </row>
    <row r="760" ht="18.75" customHeight="1">
      <c r="CD760" s="48"/>
    </row>
    <row r="761" ht="18.75" customHeight="1">
      <c r="CD761" s="48"/>
    </row>
    <row r="762" ht="18.75" customHeight="1">
      <c r="CD762" s="48"/>
    </row>
    <row r="763" ht="18.75" customHeight="1">
      <c r="CD763" s="48"/>
    </row>
    <row r="764" ht="18.75" customHeight="1">
      <c r="CD764" s="48"/>
    </row>
    <row r="765" ht="18.75" customHeight="1">
      <c r="CD765" s="48"/>
    </row>
    <row r="766" ht="18.75" customHeight="1">
      <c r="CD766" s="48"/>
    </row>
    <row r="767" ht="18.75" customHeight="1">
      <c r="CD767" s="48"/>
    </row>
    <row r="768" ht="18.75" customHeight="1">
      <c r="CD768" s="48"/>
    </row>
    <row r="769" ht="18.75" customHeight="1">
      <c r="CD769" s="48"/>
    </row>
    <row r="770" ht="18.75" customHeight="1">
      <c r="CD770" s="48"/>
    </row>
    <row r="771" ht="18.75" customHeight="1">
      <c r="CD771" s="48"/>
    </row>
    <row r="772" ht="18.75" customHeight="1">
      <c r="CD772" s="48"/>
    </row>
    <row r="773" ht="18.75" customHeight="1">
      <c r="CD773" s="48"/>
    </row>
    <row r="774" ht="18.75" customHeight="1">
      <c r="CD774" s="48"/>
    </row>
    <row r="775" ht="18.75" customHeight="1">
      <c r="CD775" s="48"/>
    </row>
    <row r="776" ht="18.75" customHeight="1">
      <c r="CD776" s="48"/>
    </row>
    <row r="777" ht="18.75" customHeight="1">
      <c r="CD777" s="48"/>
    </row>
    <row r="778" ht="18.75" customHeight="1">
      <c r="CD778" s="48"/>
    </row>
    <row r="779" ht="18.75" customHeight="1">
      <c r="CD779" s="48"/>
    </row>
    <row r="780" ht="18.75" customHeight="1">
      <c r="CD780" s="48"/>
    </row>
    <row r="781" ht="18.75" customHeight="1">
      <c r="CD781" s="48"/>
    </row>
    <row r="782" ht="18.75" customHeight="1">
      <c r="CD782" s="48"/>
    </row>
    <row r="783" ht="18.75" customHeight="1">
      <c r="CD783" s="48"/>
    </row>
    <row r="784" ht="18.75" customHeight="1">
      <c r="CD784" s="48"/>
    </row>
    <row r="785" ht="18.75" customHeight="1">
      <c r="CD785" s="48"/>
    </row>
    <row r="786" ht="18.75" customHeight="1">
      <c r="CD786" s="48"/>
    </row>
    <row r="787" ht="18.75" customHeight="1">
      <c r="CD787" s="48"/>
    </row>
    <row r="788" ht="18.75" customHeight="1">
      <c r="CD788" s="48"/>
    </row>
    <row r="789" ht="18.75" customHeight="1">
      <c r="CD789" s="48"/>
    </row>
    <row r="790" ht="18.75" customHeight="1">
      <c r="CD790" s="48"/>
    </row>
    <row r="791" ht="18.75" customHeight="1">
      <c r="CD791" s="48"/>
    </row>
    <row r="792" ht="18.75" customHeight="1">
      <c r="CD792" s="48"/>
    </row>
    <row r="793" ht="18.75" customHeight="1">
      <c r="CD793" s="48"/>
    </row>
    <row r="794" ht="18.75" customHeight="1">
      <c r="CD794" s="48"/>
    </row>
    <row r="795" ht="18.75" customHeight="1">
      <c r="CD795" s="48"/>
    </row>
    <row r="796" ht="18.75" customHeight="1">
      <c r="CD796" s="48"/>
    </row>
    <row r="797" ht="18.75" customHeight="1">
      <c r="CD797" s="48"/>
    </row>
    <row r="798" ht="18.75" customHeight="1">
      <c r="CD798" s="48"/>
    </row>
    <row r="799" ht="18.75" customHeight="1">
      <c r="CD799" s="48"/>
    </row>
    <row r="800" ht="18.75" customHeight="1">
      <c r="CD800" s="48"/>
    </row>
    <row r="801" ht="18.75" customHeight="1">
      <c r="CD801" s="48"/>
    </row>
    <row r="802" ht="18.75" customHeight="1">
      <c r="CD802" s="48"/>
    </row>
    <row r="803" ht="18.75" customHeight="1">
      <c r="CD803" s="48"/>
    </row>
    <row r="804" ht="18.75" customHeight="1">
      <c r="CD804" s="48"/>
    </row>
    <row r="805" ht="18.75" customHeight="1">
      <c r="CD805" s="48"/>
    </row>
    <row r="806" ht="18.75" customHeight="1">
      <c r="CD806" s="48"/>
    </row>
    <row r="807" ht="18.75" customHeight="1">
      <c r="CD807" s="48"/>
    </row>
    <row r="808" ht="18.75" customHeight="1">
      <c r="CD808" s="48"/>
    </row>
    <row r="809" ht="18.75" customHeight="1">
      <c r="CD809" s="48"/>
    </row>
    <row r="810" ht="18.75" customHeight="1">
      <c r="CD810" s="48"/>
    </row>
    <row r="811" ht="18.75" customHeight="1">
      <c r="CD811" s="48"/>
    </row>
    <row r="812" ht="18.75" customHeight="1">
      <c r="CD812" s="48"/>
    </row>
    <row r="813" ht="18.75" customHeight="1">
      <c r="CD813" s="48"/>
    </row>
    <row r="814" ht="18.75" customHeight="1">
      <c r="CD814" s="48"/>
    </row>
    <row r="815" ht="18.75" customHeight="1">
      <c r="CD815" s="48"/>
    </row>
    <row r="816" ht="18.75" customHeight="1">
      <c r="CD816" s="48"/>
    </row>
    <row r="817" ht="18.75" customHeight="1">
      <c r="CD817" s="48"/>
    </row>
    <row r="818" ht="18.75" customHeight="1">
      <c r="CD818" s="48"/>
    </row>
    <row r="819" ht="18.75" customHeight="1">
      <c r="CD819" s="48"/>
    </row>
    <row r="820" ht="18.75" customHeight="1">
      <c r="CD820" s="48"/>
    </row>
    <row r="821" ht="18.75" customHeight="1">
      <c r="CD821" s="48"/>
    </row>
    <row r="822" ht="18.75" customHeight="1">
      <c r="CD822" s="48"/>
    </row>
    <row r="823" ht="18.75" customHeight="1">
      <c r="CD823" s="48"/>
    </row>
    <row r="824" ht="18.75" customHeight="1">
      <c r="CD824" s="48"/>
    </row>
    <row r="825" ht="18.75" customHeight="1">
      <c r="CD825" s="48"/>
    </row>
    <row r="826" ht="18.75" customHeight="1">
      <c r="CD826" s="48"/>
    </row>
    <row r="827" ht="18.75" customHeight="1">
      <c r="CD827" s="48"/>
    </row>
    <row r="828" ht="18.75" customHeight="1">
      <c r="CD828" s="48"/>
    </row>
    <row r="829" ht="18.75" customHeight="1">
      <c r="CD829" s="48"/>
    </row>
    <row r="830" ht="18.75" customHeight="1">
      <c r="CD830" s="48"/>
    </row>
    <row r="831" ht="18.75" customHeight="1">
      <c r="CD831" s="48"/>
    </row>
    <row r="832" ht="18.75" customHeight="1">
      <c r="CD832" s="48"/>
    </row>
    <row r="833" ht="18.75" customHeight="1">
      <c r="CD833" s="48"/>
    </row>
  </sheetData>
  <autoFilter ref="$A$1:$CF$734">
    <filterColumn colId="68">
      <filters>
        <filter val="COMP"/>
        <filter val="Comp"/>
      </filters>
    </filterColumn>
    <sortState ref="A1:CF734">
      <sortCondition ref="BQ1:BQ734"/>
      <sortCondition ref="D1:D734"/>
    </sortState>
  </autoFilter>
  <conditionalFormatting sqref="A2:CG735">
    <cfRule type="notContainsBlanks" dxfId="0" priority="1">
      <formula>LEN(TRIM(A2))&gt;0</formula>
    </cfRule>
  </conditionalFormatting>
  <hyperlinks>
    <hyperlink r:id="rId2" ref="P2"/>
    <hyperlink r:id="rId3" ref="BJ2"/>
    <hyperlink r:id="rId4" ref="BK2"/>
    <hyperlink r:id="rId5" ref="BL2"/>
    <hyperlink r:id="rId6" ref="BM2"/>
    <hyperlink r:id="rId7" ref="BN2"/>
    <hyperlink r:id="rId8" ref="BO2"/>
    <hyperlink r:id="rId9" ref="BP2"/>
    <hyperlink r:id="rId10" ref="BT2"/>
    <hyperlink r:id="rId11" ref="P3"/>
    <hyperlink r:id="rId12" ref="BJ3"/>
    <hyperlink r:id="rId13" ref="BK3"/>
    <hyperlink r:id="rId14" ref="BL3"/>
    <hyperlink r:id="rId15" ref="BM3"/>
    <hyperlink r:id="rId16" ref="BN3"/>
    <hyperlink r:id="rId17" ref="BO3"/>
    <hyperlink r:id="rId18" ref="BP3"/>
    <hyperlink r:id="rId19" ref="P4"/>
    <hyperlink r:id="rId20" ref="BJ4"/>
    <hyperlink r:id="rId21" ref="BK4"/>
    <hyperlink r:id="rId22" ref="BL4"/>
    <hyperlink r:id="rId23" ref="BM4"/>
    <hyperlink r:id="rId24" ref="BN4"/>
    <hyperlink r:id="rId25" ref="BO4"/>
    <hyperlink r:id="rId26" ref="BP4"/>
    <hyperlink r:id="rId27" ref="P5"/>
    <hyperlink r:id="rId28" ref="BJ5"/>
    <hyperlink r:id="rId29" ref="BK5"/>
    <hyperlink r:id="rId30" ref="BN5"/>
    <hyperlink r:id="rId31" ref="BO5"/>
    <hyperlink r:id="rId32" ref="BT5"/>
    <hyperlink r:id="rId33" ref="P6"/>
    <hyperlink r:id="rId34" ref="BJ6"/>
    <hyperlink r:id="rId35" ref="BK6"/>
    <hyperlink r:id="rId36" ref="BO6"/>
    <hyperlink r:id="rId37" ref="BP6"/>
    <hyperlink r:id="rId38" ref="BU6"/>
    <hyperlink r:id="rId39" ref="BV6"/>
    <hyperlink r:id="rId40" ref="P7"/>
    <hyperlink r:id="rId41" ref="BJ7"/>
    <hyperlink r:id="rId42" ref="BK7"/>
    <hyperlink r:id="rId43" ref="BL7"/>
    <hyperlink r:id="rId44" ref="BM7"/>
    <hyperlink r:id="rId45" ref="BN7"/>
    <hyperlink r:id="rId46" ref="BO7"/>
    <hyperlink r:id="rId47" ref="BP7"/>
    <hyperlink r:id="rId48" ref="BU7"/>
    <hyperlink r:id="rId49" ref="BV7"/>
    <hyperlink r:id="rId50" ref="P8"/>
    <hyperlink r:id="rId51" ref="BJ8"/>
    <hyperlink r:id="rId52" ref="BK8"/>
    <hyperlink r:id="rId53" ref="BN8"/>
    <hyperlink r:id="rId54" ref="BO8"/>
    <hyperlink r:id="rId55" ref="BP8"/>
    <hyperlink r:id="rId56" ref="P9"/>
    <hyperlink r:id="rId57" ref="BJ9"/>
    <hyperlink r:id="rId58" ref="BK9"/>
    <hyperlink r:id="rId59" ref="BN9"/>
    <hyperlink r:id="rId60" ref="BO9"/>
    <hyperlink r:id="rId61" ref="P10"/>
    <hyperlink r:id="rId62" ref="BJ10"/>
    <hyperlink r:id="rId63" ref="BK10"/>
    <hyperlink r:id="rId64" ref="BL10"/>
    <hyperlink r:id="rId65" ref="BM10"/>
    <hyperlink r:id="rId66" ref="BN10"/>
    <hyperlink r:id="rId67" ref="BO10"/>
    <hyperlink r:id="rId68" ref="BP10"/>
    <hyperlink r:id="rId69" ref="BR10"/>
    <hyperlink r:id="rId70" ref="BS10"/>
    <hyperlink r:id="rId71" ref="BT10"/>
    <hyperlink r:id="rId72" ref="BU10"/>
    <hyperlink r:id="rId73" ref="BV10"/>
    <hyperlink r:id="rId74" ref="P11"/>
    <hyperlink r:id="rId75" ref="BJ11"/>
    <hyperlink r:id="rId76" ref="BK11"/>
    <hyperlink r:id="rId77" ref="BO11"/>
    <hyperlink r:id="rId78" ref="BP11"/>
    <hyperlink r:id="rId79" ref="P12"/>
    <hyperlink r:id="rId80" ref="BJ12"/>
    <hyperlink r:id="rId81" ref="BK12"/>
    <hyperlink r:id="rId82" ref="BO12"/>
    <hyperlink r:id="rId83" ref="P13"/>
    <hyperlink r:id="rId84" ref="BJ13"/>
    <hyperlink r:id="rId85" ref="BK13"/>
    <hyperlink r:id="rId86" ref="BL13"/>
    <hyperlink r:id="rId87" ref="BM13"/>
    <hyperlink r:id="rId88" ref="BO13"/>
    <hyperlink r:id="rId89" ref="P14"/>
    <hyperlink r:id="rId90" ref="BJ14"/>
    <hyperlink r:id="rId91" ref="BK14"/>
    <hyperlink r:id="rId92" ref="BN14"/>
    <hyperlink r:id="rId93" ref="BO14"/>
    <hyperlink r:id="rId94" ref="P15"/>
    <hyperlink r:id="rId95" ref="BJ15"/>
    <hyperlink r:id="rId96" ref="BK15"/>
    <hyperlink r:id="rId97" ref="BL15"/>
    <hyperlink r:id="rId98" ref="BO15"/>
    <hyperlink r:id="rId99" ref="BS15"/>
    <hyperlink r:id="rId100" ref="BT15"/>
    <hyperlink r:id="rId101" ref="BU15"/>
    <hyperlink r:id="rId102" ref="BV15"/>
    <hyperlink r:id="rId103" ref="P16"/>
    <hyperlink r:id="rId104" ref="BJ16"/>
    <hyperlink r:id="rId105" ref="BK16"/>
    <hyperlink r:id="rId106" ref="BL16"/>
    <hyperlink r:id="rId107" ref="BM16"/>
    <hyperlink r:id="rId108" ref="BN16"/>
    <hyperlink r:id="rId109" ref="BO16"/>
    <hyperlink r:id="rId110" ref="BP16"/>
    <hyperlink r:id="rId111" ref="P17"/>
    <hyperlink r:id="rId112" ref="BJ17"/>
    <hyperlink r:id="rId113" ref="BK17"/>
    <hyperlink r:id="rId114" ref="BL17"/>
    <hyperlink r:id="rId115" ref="BN17"/>
    <hyperlink r:id="rId116" ref="BO17"/>
    <hyperlink r:id="rId117" ref="BP17"/>
    <hyperlink r:id="rId118" ref="P18"/>
    <hyperlink r:id="rId119" ref="BJ18"/>
    <hyperlink r:id="rId120" ref="BK18"/>
    <hyperlink r:id="rId121" ref="BM18"/>
    <hyperlink r:id="rId122" ref="BO18"/>
    <hyperlink r:id="rId123" ref="BS18"/>
    <hyperlink r:id="rId124" ref="P19"/>
    <hyperlink r:id="rId125" ref="BJ19"/>
    <hyperlink r:id="rId126" ref="BK19"/>
    <hyperlink r:id="rId127" ref="BN19"/>
    <hyperlink r:id="rId128" ref="BO19"/>
    <hyperlink r:id="rId129" ref="BP19"/>
    <hyperlink r:id="rId130" ref="P20"/>
    <hyperlink r:id="rId131" ref="BJ20"/>
    <hyperlink r:id="rId132" ref="BK20"/>
    <hyperlink r:id="rId133" ref="BL20"/>
    <hyperlink r:id="rId134" ref="BM20"/>
    <hyperlink r:id="rId135" ref="BN20"/>
    <hyperlink r:id="rId136" ref="BO20"/>
    <hyperlink r:id="rId137" ref="BP20"/>
    <hyperlink r:id="rId138" ref="P21"/>
    <hyperlink r:id="rId139" ref="BJ21"/>
    <hyperlink r:id="rId140" ref="BK21"/>
    <hyperlink r:id="rId141" ref="BL21"/>
    <hyperlink r:id="rId142" ref="BM21"/>
    <hyperlink r:id="rId143" ref="BN21"/>
    <hyperlink r:id="rId144" ref="BO21"/>
    <hyperlink r:id="rId145" ref="BP21"/>
    <hyperlink r:id="rId146" ref="BU21"/>
    <hyperlink r:id="rId147" ref="BV21"/>
    <hyperlink r:id="rId148" ref="P22"/>
    <hyperlink r:id="rId149" ref="BJ22"/>
    <hyperlink r:id="rId150" ref="BK22"/>
    <hyperlink r:id="rId151" ref="BL22"/>
    <hyperlink r:id="rId152" ref="BM22"/>
    <hyperlink r:id="rId153" ref="BN22"/>
    <hyperlink r:id="rId154" ref="BO22"/>
    <hyperlink r:id="rId155" ref="BP22"/>
    <hyperlink r:id="rId156" ref="BR22"/>
    <hyperlink r:id="rId157" ref="BS22"/>
    <hyperlink r:id="rId158" ref="BT22"/>
    <hyperlink r:id="rId159" ref="BU22"/>
    <hyperlink r:id="rId160" ref="BV22"/>
    <hyperlink r:id="rId161" ref="P23"/>
    <hyperlink r:id="rId162" ref="BJ23"/>
    <hyperlink r:id="rId163" ref="BK23"/>
    <hyperlink r:id="rId164" ref="BO23"/>
    <hyperlink r:id="rId165" ref="P24"/>
    <hyperlink r:id="rId166" ref="BJ24"/>
    <hyperlink r:id="rId167" ref="BK24"/>
    <hyperlink r:id="rId168" ref="BN24"/>
    <hyperlink r:id="rId169" ref="BO24"/>
    <hyperlink r:id="rId170" ref="BS24"/>
    <hyperlink r:id="rId171" ref="BT24"/>
    <hyperlink r:id="rId172" ref="P25"/>
    <hyperlink r:id="rId173" ref="BJ25"/>
    <hyperlink r:id="rId174" ref="BK25"/>
    <hyperlink r:id="rId175" ref="BO25"/>
    <hyperlink r:id="rId176" ref="P26"/>
    <hyperlink r:id="rId177" ref="BJ26"/>
    <hyperlink r:id="rId178" ref="BK26"/>
    <hyperlink r:id="rId179" ref="BM26"/>
    <hyperlink r:id="rId180" ref="BN26"/>
    <hyperlink r:id="rId181" ref="BO26"/>
    <hyperlink r:id="rId182" ref="BS26"/>
    <hyperlink r:id="rId183" ref="BT26"/>
    <hyperlink r:id="rId184" ref="P27"/>
    <hyperlink r:id="rId185" ref="BJ27"/>
    <hyperlink r:id="rId186" ref="BK27"/>
    <hyperlink r:id="rId187" ref="BO27"/>
    <hyperlink r:id="rId188" ref="BS27"/>
    <hyperlink r:id="rId189" ref="BT27"/>
    <hyperlink r:id="rId190" ref="BU27"/>
    <hyperlink r:id="rId191" ref="BV27"/>
    <hyperlink r:id="rId192" ref="P28"/>
    <hyperlink r:id="rId193" ref="BJ28"/>
    <hyperlink r:id="rId194" ref="BK28"/>
    <hyperlink r:id="rId195" ref="BO28"/>
    <hyperlink r:id="rId196" ref="BS28"/>
    <hyperlink r:id="rId197" ref="BT28"/>
    <hyperlink r:id="rId198" ref="BU28"/>
    <hyperlink r:id="rId199" ref="BV28"/>
    <hyperlink r:id="rId200" ref="P29"/>
    <hyperlink r:id="rId201" ref="BJ29"/>
    <hyperlink r:id="rId202" ref="BK29"/>
    <hyperlink r:id="rId203" ref="BL29"/>
    <hyperlink r:id="rId204" ref="BN29"/>
    <hyperlink r:id="rId205" ref="BO29"/>
    <hyperlink r:id="rId206" ref="BT29"/>
    <hyperlink r:id="rId207" ref="P30"/>
    <hyperlink r:id="rId208" ref="BJ30"/>
    <hyperlink r:id="rId209" ref="BK30"/>
    <hyperlink r:id="rId210" ref="BL30"/>
    <hyperlink r:id="rId211" ref="BM30"/>
    <hyperlink r:id="rId212" ref="BO30"/>
    <hyperlink r:id="rId213" ref="BT30"/>
    <hyperlink r:id="rId214" ref="BU30"/>
    <hyperlink r:id="rId215" ref="BV30"/>
    <hyperlink r:id="rId216" ref="P31"/>
    <hyperlink r:id="rId217" ref="BJ31"/>
    <hyperlink r:id="rId218" ref="BK31"/>
    <hyperlink r:id="rId219" ref="BL31"/>
    <hyperlink r:id="rId220" ref="BM31"/>
    <hyperlink r:id="rId221" ref="BN31"/>
    <hyperlink r:id="rId222" ref="BO31"/>
    <hyperlink r:id="rId223" ref="BP31"/>
    <hyperlink r:id="rId224" ref="BT31"/>
    <hyperlink r:id="rId225" ref="BU31"/>
    <hyperlink r:id="rId226" ref="BV31"/>
    <hyperlink r:id="rId227" ref="P32"/>
    <hyperlink r:id="rId228" ref="BJ32"/>
    <hyperlink r:id="rId229" ref="BK32"/>
    <hyperlink r:id="rId230" ref="BL32"/>
    <hyperlink r:id="rId231" ref="BO32"/>
    <hyperlink r:id="rId232" ref="BS32"/>
    <hyperlink r:id="rId233" ref="BT32"/>
    <hyperlink r:id="rId234" ref="BU32"/>
    <hyperlink r:id="rId235" ref="P33"/>
    <hyperlink r:id="rId236" ref="BJ33"/>
    <hyperlink r:id="rId237" ref="BK33"/>
    <hyperlink r:id="rId238" ref="BL33"/>
    <hyperlink r:id="rId239" ref="BM33"/>
    <hyperlink r:id="rId240" ref="BN33"/>
    <hyperlink r:id="rId241" ref="BO33"/>
    <hyperlink r:id="rId242" ref="BT33"/>
    <hyperlink r:id="rId243" ref="P34"/>
    <hyperlink r:id="rId244" ref="BJ34"/>
    <hyperlink r:id="rId245" ref="BK34"/>
    <hyperlink r:id="rId246" ref="BO34"/>
    <hyperlink r:id="rId247" ref="P35"/>
    <hyperlink r:id="rId248" ref="BJ35"/>
    <hyperlink r:id="rId249" ref="BK35"/>
    <hyperlink r:id="rId250" ref="BN35"/>
    <hyperlink r:id="rId251" ref="BO35"/>
    <hyperlink r:id="rId252" ref="BP35"/>
    <hyperlink r:id="rId253" ref="P36"/>
    <hyperlink r:id="rId254" ref="BJ36"/>
    <hyperlink r:id="rId255" ref="BK36"/>
    <hyperlink r:id="rId256" ref="BM36"/>
    <hyperlink r:id="rId257" ref="BN36"/>
    <hyperlink r:id="rId258" ref="BO36"/>
    <hyperlink r:id="rId259" ref="P37"/>
    <hyperlink r:id="rId260" ref="BJ37"/>
    <hyperlink r:id="rId261" ref="BK37"/>
    <hyperlink r:id="rId262" ref="BL37"/>
    <hyperlink r:id="rId263" ref="BM37"/>
    <hyperlink r:id="rId264" ref="BO37"/>
    <hyperlink r:id="rId265" ref="BU37"/>
    <hyperlink r:id="rId266" ref="BV37"/>
    <hyperlink r:id="rId267" ref="P38"/>
    <hyperlink r:id="rId268" ref="BJ38"/>
    <hyperlink r:id="rId269" ref="BK38"/>
    <hyperlink r:id="rId270" ref="BN38"/>
    <hyperlink r:id="rId271" ref="BO38"/>
    <hyperlink r:id="rId272" ref="BP38"/>
    <hyperlink r:id="rId273" ref="P39"/>
    <hyperlink r:id="rId274" ref="BJ39"/>
    <hyperlink r:id="rId275" ref="BK39"/>
    <hyperlink r:id="rId276" ref="BN39"/>
    <hyperlink r:id="rId277" ref="BO39"/>
    <hyperlink r:id="rId278" ref="BP39"/>
    <hyperlink r:id="rId279" ref="BR39"/>
    <hyperlink r:id="rId280" ref="BS39"/>
    <hyperlink r:id="rId281" ref="BT39"/>
    <hyperlink r:id="rId282" ref="P40"/>
    <hyperlink r:id="rId283" ref="BJ40"/>
    <hyperlink r:id="rId284" ref="BK40"/>
    <hyperlink r:id="rId285" ref="BO40"/>
    <hyperlink r:id="rId286" ref="P41"/>
    <hyperlink r:id="rId287" ref="BJ41"/>
    <hyperlink r:id="rId288" ref="BK41"/>
    <hyperlink r:id="rId289" ref="BL41"/>
    <hyperlink r:id="rId290" ref="BM41"/>
    <hyperlink r:id="rId291" ref="BN41"/>
    <hyperlink r:id="rId292" ref="BO41"/>
    <hyperlink r:id="rId293" ref="BT41"/>
    <hyperlink r:id="rId294" ref="BU41"/>
    <hyperlink r:id="rId295" ref="BV41"/>
    <hyperlink r:id="rId296" ref="P42"/>
    <hyperlink r:id="rId297" ref="BJ42"/>
    <hyperlink r:id="rId298" ref="BK42"/>
    <hyperlink r:id="rId299" ref="BM42"/>
    <hyperlink r:id="rId300" ref="BO42"/>
    <hyperlink r:id="rId301" ref="BT42"/>
    <hyperlink r:id="rId302" ref="BV42"/>
    <hyperlink r:id="rId303" ref="P43"/>
    <hyperlink r:id="rId304" ref="BJ43"/>
    <hyperlink r:id="rId305" ref="BK43"/>
    <hyperlink r:id="rId306" ref="BM43"/>
    <hyperlink r:id="rId307" ref="BO43"/>
    <hyperlink r:id="rId308" ref="BT43"/>
    <hyperlink r:id="rId309" ref="BV43"/>
    <hyperlink r:id="rId310" ref="P44"/>
    <hyperlink r:id="rId311" ref="BJ44"/>
    <hyperlink r:id="rId312" ref="BK44"/>
    <hyperlink r:id="rId313" ref="BL44"/>
    <hyperlink r:id="rId314" ref="BM44"/>
    <hyperlink r:id="rId315" ref="BN44"/>
    <hyperlink r:id="rId316" ref="BO44"/>
    <hyperlink r:id="rId317" ref="BP44"/>
    <hyperlink r:id="rId318" ref="BR44"/>
    <hyperlink r:id="rId319" ref="BS44"/>
    <hyperlink r:id="rId320" ref="BT44"/>
    <hyperlink r:id="rId321" ref="BU44"/>
    <hyperlink r:id="rId322" ref="BV44"/>
    <hyperlink r:id="rId323" ref="P45"/>
    <hyperlink r:id="rId324" ref="BJ45"/>
    <hyperlink r:id="rId325" ref="BK45"/>
    <hyperlink r:id="rId326" ref="BL45"/>
    <hyperlink r:id="rId327" ref="BM45"/>
    <hyperlink r:id="rId328" ref="BN45"/>
    <hyperlink r:id="rId329" ref="BO45"/>
    <hyperlink r:id="rId330" ref="BP45"/>
    <hyperlink r:id="rId331" ref="BT45"/>
    <hyperlink r:id="rId332" ref="P46"/>
    <hyperlink r:id="rId333" ref="BJ46"/>
    <hyperlink r:id="rId334" ref="BK46"/>
    <hyperlink r:id="rId335" ref="BN46"/>
    <hyperlink r:id="rId336" ref="BO46"/>
    <hyperlink r:id="rId337" ref="P47"/>
    <hyperlink r:id="rId338" ref="BJ47"/>
    <hyperlink r:id="rId339" ref="BK47"/>
    <hyperlink r:id="rId340" ref="BO47"/>
    <hyperlink r:id="rId341" ref="BS47"/>
    <hyperlink r:id="rId342" ref="BT47"/>
    <hyperlink r:id="rId343" ref="BV47"/>
    <hyperlink r:id="rId344" ref="P48"/>
    <hyperlink r:id="rId345" ref="BJ48"/>
    <hyperlink r:id="rId346" ref="BK48"/>
    <hyperlink r:id="rId347" ref="BN48"/>
    <hyperlink r:id="rId348" ref="BO48"/>
    <hyperlink r:id="rId349" ref="BP48"/>
    <hyperlink r:id="rId350" ref="P49"/>
    <hyperlink r:id="rId351" ref="BJ49"/>
    <hyperlink r:id="rId352" ref="BK49"/>
    <hyperlink r:id="rId353" ref="BL49"/>
    <hyperlink r:id="rId354" ref="BM49"/>
    <hyperlink r:id="rId355" ref="BO49"/>
    <hyperlink r:id="rId356" ref="BT49"/>
    <hyperlink r:id="rId357" ref="BV49"/>
    <hyperlink r:id="rId358" ref="P50"/>
    <hyperlink r:id="rId359" ref="BJ50"/>
    <hyperlink r:id="rId360" ref="BK50"/>
    <hyperlink r:id="rId361" ref="BM50"/>
    <hyperlink r:id="rId362" ref="BN50"/>
    <hyperlink r:id="rId363" ref="BO50"/>
    <hyperlink r:id="rId364" ref="BP50"/>
    <hyperlink r:id="rId365" ref="BR50"/>
    <hyperlink r:id="rId366" ref="BS50"/>
    <hyperlink r:id="rId367" ref="BT50"/>
    <hyperlink r:id="rId368" ref="BV50"/>
    <hyperlink r:id="rId369" ref="BJ51"/>
    <hyperlink r:id="rId370" ref="BK51"/>
    <hyperlink r:id="rId371" ref="BO51"/>
    <hyperlink r:id="rId372" ref="P52"/>
    <hyperlink r:id="rId373" ref="BJ52"/>
    <hyperlink r:id="rId374" ref="BK52"/>
    <hyperlink r:id="rId375" ref="BO52"/>
    <hyperlink r:id="rId376" ref="BJ53"/>
    <hyperlink r:id="rId377" ref="BK53"/>
    <hyperlink r:id="rId378" ref="BO53"/>
    <hyperlink r:id="rId379" ref="BP53"/>
    <hyperlink r:id="rId380" ref="P54"/>
    <hyperlink r:id="rId381" ref="BJ54"/>
    <hyperlink r:id="rId382" ref="BK54"/>
    <hyperlink r:id="rId383" ref="BL54"/>
    <hyperlink r:id="rId384" ref="BM54"/>
    <hyperlink r:id="rId385" ref="BO54"/>
    <hyperlink r:id="rId386" ref="P55"/>
    <hyperlink r:id="rId387" ref="BJ55"/>
    <hyperlink r:id="rId388" ref="BK55"/>
    <hyperlink r:id="rId389" ref="BO55"/>
    <hyperlink r:id="rId390" ref="P56"/>
    <hyperlink r:id="rId391" ref="BJ56"/>
    <hyperlink r:id="rId392" ref="BK56"/>
    <hyperlink r:id="rId393" ref="BN56"/>
    <hyperlink r:id="rId394" ref="BO56"/>
    <hyperlink r:id="rId395" ref="BP56"/>
    <hyperlink r:id="rId396" ref="P57"/>
    <hyperlink r:id="rId397" ref="BJ57"/>
    <hyperlink r:id="rId398" ref="BK57"/>
    <hyperlink r:id="rId399" ref="BL57"/>
    <hyperlink r:id="rId400" ref="BM57"/>
    <hyperlink r:id="rId401" ref="BN57"/>
    <hyperlink r:id="rId402" ref="BO57"/>
    <hyperlink r:id="rId403" ref="BP57"/>
    <hyperlink r:id="rId404" ref="BR57"/>
    <hyperlink r:id="rId405" ref="BS57"/>
    <hyperlink r:id="rId406" ref="BT57"/>
    <hyperlink r:id="rId407" ref="BU57"/>
    <hyperlink r:id="rId408" ref="BV57"/>
    <hyperlink r:id="rId409" ref="P58"/>
    <hyperlink r:id="rId410" ref="BJ58"/>
    <hyperlink r:id="rId411" ref="BK58"/>
    <hyperlink r:id="rId412" ref="BM58"/>
    <hyperlink r:id="rId413" ref="BN58"/>
    <hyperlink r:id="rId414" ref="BO58"/>
    <hyperlink r:id="rId415" ref="BP58"/>
    <hyperlink r:id="rId416" ref="BT58"/>
    <hyperlink r:id="rId417" ref="P59"/>
    <hyperlink r:id="rId418" ref="BJ59"/>
    <hyperlink r:id="rId419" ref="BK59"/>
    <hyperlink r:id="rId420" ref="BL59"/>
    <hyperlink r:id="rId421" ref="BM59"/>
    <hyperlink r:id="rId422" ref="BN59"/>
    <hyperlink r:id="rId423" ref="BO59"/>
    <hyperlink r:id="rId424" ref="BP59"/>
    <hyperlink r:id="rId425" ref="P60"/>
    <hyperlink r:id="rId426" ref="BJ60"/>
    <hyperlink r:id="rId427" ref="BK60"/>
    <hyperlink r:id="rId428" ref="BL60"/>
    <hyperlink r:id="rId429" ref="BM60"/>
    <hyperlink r:id="rId430" ref="BN60"/>
    <hyperlink r:id="rId431" ref="BO60"/>
    <hyperlink r:id="rId432" ref="BP60"/>
    <hyperlink r:id="rId433" ref="P61"/>
    <hyperlink r:id="rId434" ref="BJ61"/>
    <hyperlink r:id="rId435" ref="BK61"/>
    <hyperlink r:id="rId436" ref="BL61"/>
    <hyperlink r:id="rId437" ref="BM61"/>
    <hyperlink r:id="rId438" ref="BN61"/>
    <hyperlink r:id="rId439" ref="BO61"/>
    <hyperlink r:id="rId440" ref="BP61"/>
    <hyperlink r:id="rId441" ref="P62"/>
    <hyperlink r:id="rId442" ref="BJ62"/>
    <hyperlink r:id="rId443" ref="BK62"/>
    <hyperlink r:id="rId444" ref="BL62"/>
    <hyperlink r:id="rId445" ref="BM62"/>
    <hyperlink r:id="rId446" ref="BO62"/>
    <hyperlink r:id="rId447" ref="BP62"/>
    <hyperlink r:id="rId448" ref="P63"/>
    <hyperlink r:id="rId449" ref="BJ63"/>
    <hyperlink r:id="rId450" ref="BK63"/>
    <hyperlink r:id="rId451" ref="BM63"/>
    <hyperlink r:id="rId452" ref="BO63"/>
    <hyperlink r:id="rId453" ref="BP63"/>
    <hyperlink r:id="rId454" ref="P64"/>
    <hyperlink r:id="rId455" ref="BJ64"/>
    <hyperlink r:id="rId456" ref="BK64"/>
    <hyperlink r:id="rId457" ref="BL64"/>
    <hyperlink r:id="rId458" ref="BM64"/>
    <hyperlink r:id="rId459" ref="BN64"/>
    <hyperlink r:id="rId460" ref="BO64"/>
    <hyperlink r:id="rId461" ref="BT64"/>
    <hyperlink r:id="rId462" ref="BU64"/>
    <hyperlink r:id="rId463" ref="BV64"/>
    <hyperlink r:id="rId464" ref="P65"/>
    <hyperlink r:id="rId465" ref="BJ65"/>
    <hyperlink r:id="rId466" ref="BK65"/>
    <hyperlink r:id="rId467" ref="BL65"/>
    <hyperlink r:id="rId468" ref="BM65"/>
    <hyperlink r:id="rId469" ref="BO65"/>
    <hyperlink r:id="rId470" ref="BT65"/>
    <hyperlink r:id="rId471" ref="P66"/>
    <hyperlink r:id="rId472" ref="BJ66"/>
    <hyperlink r:id="rId473" ref="BK66"/>
    <hyperlink r:id="rId474" ref="BL66"/>
    <hyperlink r:id="rId475" ref="BM66"/>
    <hyperlink r:id="rId476" ref="BN66"/>
    <hyperlink r:id="rId477" ref="BO66"/>
    <hyperlink r:id="rId478" ref="BP66"/>
    <hyperlink r:id="rId479" ref="P67"/>
    <hyperlink r:id="rId480" ref="BJ67"/>
    <hyperlink r:id="rId481" ref="BK67"/>
    <hyperlink r:id="rId482" ref="BL67"/>
    <hyperlink r:id="rId483" ref="BM67"/>
    <hyperlink r:id="rId484" ref="BO67"/>
    <hyperlink r:id="rId485" ref="BP67"/>
    <hyperlink r:id="rId486" ref="BR67"/>
    <hyperlink r:id="rId487" ref="BT67"/>
    <hyperlink r:id="rId488" ref="BU67"/>
    <hyperlink r:id="rId489" ref="BV67"/>
    <hyperlink r:id="rId490" ref="P68"/>
    <hyperlink r:id="rId491" ref="BJ68"/>
    <hyperlink r:id="rId492" ref="BK68"/>
    <hyperlink r:id="rId493" ref="BL68"/>
    <hyperlink r:id="rId494" ref="BM68"/>
    <hyperlink r:id="rId495" ref="BN68"/>
    <hyperlink r:id="rId496" ref="BO68"/>
    <hyperlink r:id="rId497" ref="BP68"/>
    <hyperlink r:id="rId498" ref="BR68"/>
    <hyperlink r:id="rId499" ref="BS68"/>
    <hyperlink r:id="rId500" ref="BT68"/>
    <hyperlink r:id="rId501" ref="BU68"/>
    <hyperlink r:id="rId502" ref="BV68"/>
    <hyperlink r:id="rId503" ref="P69"/>
    <hyperlink r:id="rId504" ref="BJ69"/>
    <hyperlink r:id="rId505" ref="BK69"/>
    <hyperlink r:id="rId506" ref="BN69"/>
    <hyperlink r:id="rId507" ref="BO69"/>
    <hyperlink r:id="rId508" ref="BP69"/>
    <hyperlink r:id="rId509" ref="P70"/>
    <hyperlink r:id="rId510" ref="BJ70"/>
    <hyperlink r:id="rId511" ref="BK70"/>
    <hyperlink r:id="rId512" ref="BN70"/>
    <hyperlink r:id="rId513" ref="BO70"/>
    <hyperlink r:id="rId514" ref="BP70"/>
    <hyperlink r:id="rId515" ref="P71"/>
    <hyperlink r:id="rId516" ref="BJ71"/>
    <hyperlink r:id="rId517" ref="BK71"/>
    <hyperlink r:id="rId518" ref="BN71"/>
    <hyperlink r:id="rId519" ref="BO71"/>
    <hyperlink r:id="rId520" ref="P72"/>
    <hyperlink r:id="rId521" ref="BJ72"/>
    <hyperlink r:id="rId522" ref="BK72"/>
    <hyperlink r:id="rId523" ref="BL72"/>
    <hyperlink r:id="rId524" ref="BM72"/>
    <hyperlink r:id="rId525" ref="BN72"/>
    <hyperlink r:id="rId526" ref="BO72"/>
    <hyperlink r:id="rId527" ref="BP72"/>
    <hyperlink r:id="rId528" ref="BR72"/>
    <hyperlink r:id="rId529" ref="BS72"/>
    <hyperlink r:id="rId530" ref="BT72"/>
    <hyperlink r:id="rId531" ref="BU72"/>
    <hyperlink r:id="rId532" ref="BV72"/>
    <hyperlink r:id="rId533" ref="P73"/>
    <hyperlink r:id="rId534" ref="BJ73"/>
    <hyperlink r:id="rId535" ref="BK73"/>
    <hyperlink r:id="rId536" ref="BN73"/>
    <hyperlink r:id="rId537" ref="BO73"/>
    <hyperlink r:id="rId538" ref="BP73"/>
    <hyperlink r:id="rId539" ref="P74"/>
    <hyperlink r:id="rId540" ref="BJ74"/>
    <hyperlink r:id="rId541" ref="BK74"/>
    <hyperlink r:id="rId542" ref="BL74"/>
    <hyperlink r:id="rId543" ref="BM74"/>
    <hyperlink r:id="rId544" ref="BN74"/>
    <hyperlink r:id="rId545" ref="BO74"/>
    <hyperlink r:id="rId546" ref="BP74"/>
    <hyperlink r:id="rId547" ref="BT74"/>
    <hyperlink r:id="rId548" ref="P75"/>
    <hyperlink r:id="rId549" ref="BJ75"/>
    <hyperlink r:id="rId550" ref="BK75"/>
    <hyperlink r:id="rId551" ref="BN75"/>
    <hyperlink r:id="rId552" ref="BO75"/>
    <hyperlink r:id="rId553" ref="BP75"/>
    <hyperlink r:id="rId554" ref="BT75"/>
    <hyperlink r:id="rId555" ref="P76"/>
    <hyperlink r:id="rId556" ref="BJ76"/>
    <hyperlink r:id="rId557" ref="BK76"/>
    <hyperlink r:id="rId558" ref="BO76"/>
    <hyperlink r:id="rId559" ref="BP76"/>
    <hyperlink r:id="rId560" ref="P77"/>
    <hyperlink r:id="rId561" ref="BJ77"/>
    <hyperlink r:id="rId562" ref="BK77"/>
    <hyperlink r:id="rId563" ref="BL77"/>
    <hyperlink r:id="rId564" ref="BM77"/>
    <hyperlink r:id="rId565" ref="BN77"/>
    <hyperlink r:id="rId566" ref="BO77"/>
    <hyperlink r:id="rId567" ref="BP77"/>
    <hyperlink r:id="rId568" ref="P78"/>
    <hyperlink r:id="rId569" ref="BJ78"/>
    <hyperlink r:id="rId570" ref="BK78"/>
    <hyperlink r:id="rId571" ref="BL78"/>
    <hyperlink r:id="rId572" ref="BM78"/>
    <hyperlink r:id="rId573" ref="BN78"/>
    <hyperlink r:id="rId574" ref="BO78"/>
    <hyperlink r:id="rId575" ref="BP78"/>
    <hyperlink r:id="rId576" ref="P79"/>
    <hyperlink r:id="rId577" ref="BJ79"/>
    <hyperlink r:id="rId578" ref="BK79"/>
    <hyperlink r:id="rId579" ref="BN79"/>
    <hyperlink r:id="rId580" ref="BO79"/>
    <hyperlink r:id="rId581" ref="BP79"/>
    <hyperlink r:id="rId582" ref="P80"/>
    <hyperlink r:id="rId583" ref="BJ80"/>
    <hyperlink r:id="rId584" ref="BK80"/>
    <hyperlink r:id="rId585" ref="BN80"/>
    <hyperlink r:id="rId586" ref="BO80"/>
    <hyperlink r:id="rId587" ref="BT80"/>
    <hyperlink r:id="rId588" ref="P81"/>
    <hyperlink r:id="rId589" ref="BJ81"/>
    <hyperlink r:id="rId590" ref="BK81"/>
    <hyperlink r:id="rId591" ref="BN81"/>
    <hyperlink r:id="rId592" ref="BO81"/>
    <hyperlink r:id="rId593" ref="BR81"/>
    <hyperlink r:id="rId594" ref="BS81"/>
    <hyperlink r:id="rId595" ref="BT81"/>
    <hyperlink r:id="rId596" ref="BU81"/>
    <hyperlink r:id="rId597" ref="BV81"/>
    <hyperlink r:id="rId598" ref="P82"/>
    <hyperlink r:id="rId599" ref="BJ82"/>
    <hyperlink r:id="rId600" ref="BK82"/>
    <hyperlink r:id="rId601" ref="BN82"/>
    <hyperlink r:id="rId602" ref="BO82"/>
    <hyperlink r:id="rId603" ref="BP82"/>
    <hyperlink r:id="rId604" ref="P83"/>
    <hyperlink r:id="rId605" ref="BJ83"/>
    <hyperlink r:id="rId606" ref="BK83"/>
    <hyperlink r:id="rId607" ref="BL83"/>
    <hyperlink r:id="rId608" ref="BM83"/>
    <hyperlink r:id="rId609" ref="BO83"/>
    <hyperlink r:id="rId610" ref="BP83"/>
    <hyperlink r:id="rId611" ref="P84"/>
    <hyperlink r:id="rId612" ref="BJ84"/>
    <hyperlink r:id="rId613" ref="BK84"/>
    <hyperlink r:id="rId614" ref="BL84"/>
    <hyperlink r:id="rId615" ref="BM84"/>
    <hyperlink r:id="rId616" ref="BN84"/>
    <hyperlink r:id="rId617" ref="BO84"/>
    <hyperlink r:id="rId618" ref="BP84"/>
    <hyperlink r:id="rId619" ref="BT84"/>
    <hyperlink r:id="rId620" ref="BU84"/>
    <hyperlink r:id="rId621" ref="BV84"/>
    <hyperlink r:id="rId622" ref="P85"/>
    <hyperlink r:id="rId623" ref="BJ85"/>
    <hyperlink r:id="rId624" ref="BK85"/>
    <hyperlink r:id="rId625" ref="BN85"/>
    <hyperlink r:id="rId626" ref="BO85"/>
    <hyperlink r:id="rId627" ref="BP85"/>
    <hyperlink r:id="rId628" ref="P86"/>
    <hyperlink r:id="rId629" ref="BJ86"/>
    <hyperlink r:id="rId630" ref="BK86"/>
    <hyperlink r:id="rId631" ref="BL86"/>
    <hyperlink r:id="rId632" ref="BM86"/>
    <hyperlink r:id="rId633" ref="BN86"/>
    <hyperlink r:id="rId634" ref="BO86"/>
    <hyperlink r:id="rId635" ref="BP86"/>
    <hyperlink r:id="rId636" ref="P87"/>
    <hyperlink r:id="rId637" ref="BJ87"/>
    <hyperlink r:id="rId638" ref="BK87"/>
    <hyperlink r:id="rId639" ref="BL87"/>
    <hyperlink r:id="rId640" ref="BM87"/>
    <hyperlink r:id="rId641" ref="BN87"/>
    <hyperlink r:id="rId642" ref="BO87"/>
    <hyperlink r:id="rId643" ref="BP87"/>
    <hyperlink r:id="rId644" ref="BR87"/>
    <hyperlink r:id="rId645" ref="P88"/>
    <hyperlink r:id="rId646" ref="BJ88"/>
    <hyperlink r:id="rId647" ref="BK88"/>
    <hyperlink r:id="rId648" ref="BM88"/>
    <hyperlink r:id="rId649" ref="BN88"/>
    <hyperlink r:id="rId650" ref="BO88"/>
    <hyperlink r:id="rId651" ref="BP88"/>
    <hyperlink r:id="rId652" ref="BR88"/>
    <hyperlink r:id="rId653" ref="BS88"/>
    <hyperlink r:id="rId654" ref="BT88"/>
    <hyperlink r:id="rId655" ref="BU88"/>
    <hyperlink r:id="rId656" ref="BV88"/>
    <hyperlink r:id="rId657" ref="P89"/>
    <hyperlink r:id="rId658" ref="BJ89"/>
    <hyperlink r:id="rId659" ref="BK89"/>
    <hyperlink r:id="rId660" ref="BO89"/>
    <hyperlink r:id="rId661" ref="BP89"/>
    <hyperlink r:id="rId662" ref="P90"/>
    <hyperlink r:id="rId663" ref="BJ90"/>
    <hyperlink r:id="rId664" ref="BK90"/>
    <hyperlink r:id="rId665" ref="BL90"/>
    <hyperlink r:id="rId666" ref="BM90"/>
    <hyperlink r:id="rId667" ref="BN90"/>
    <hyperlink r:id="rId668" ref="BO90"/>
    <hyperlink r:id="rId669" ref="BP90"/>
    <hyperlink r:id="rId670" ref="P91"/>
    <hyperlink r:id="rId671" ref="BJ91"/>
    <hyperlink r:id="rId672" ref="BK91"/>
    <hyperlink r:id="rId673" ref="BO91"/>
    <hyperlink r:id="rId674" ref="BP91"/>
    <hyperlink r:id="rId675" ref="BR91"/>
    <hyperlink r:id="rId676" ref="BS91"/>
    <hyperlink r:id="rId677" ref="BT91"/>
    <hyperlink r:id="rId678" ref="P92"/>
    <hyperlink r:id="rId679" ref="BJ92"/>
    <hyperlink r:id="rId680" ref="BK92"/>
    <hyperlink r:id="rId681" ref="BL92"/>
    <hyperlink r:id="rId682" ref="BM92"/>
    <hyperlink r:id="rId683" ref="BN92"/>
    <hyperlink r:id="rId684" ref="BO92"/>
    <hyperlink r:id="rId685" ref="BP92"/>
    <hyperlink r:id="rId686" ref="BT92"/>
    <hyperlink r:id="rId687" ref="P93"/>
    <hyperlink r:id="rId688" ref="BJ93"/>
    <hyperlink r:id="rId689" ref="BK93"/>
    <hyperlink r:id="rId690" ref="BL93"/>
    <hyperlink r:id="rId691" ref="BM93"/>
    <hyperlink r:id="rId692" ref="BN93"/>
    <hyperlink r:id="rId693" ref="BO93"/>
    <hyperlink r:id="rId694" ref="BP93"/>
    <hyperlink r:id="rId695" ref="BT93"/>
    <hyperlink r:id="rId696" ref="BJ94"/>
    <hyperlink r:id="rId697" ref="BK94"/>
    <hyperlink r:id="rId698" ref="BL94"/>
    <hyperlink r:id="rId699" ref="BN94"/>
    <hyperlink r:id="rId700" ref="BO94"/>
    <hyperlink r:id="rId701" ref="BP94"/>
    <hyperlink r:id="rId702" ref="BT94"/>
    <hyperlink r:id="rId703" ref="BU94"/>
    <hyperlink r:id="rId704" ref="P95"/>
    <hyperlink r:id="rId705" ref="BJ95"/>
    <hyperlink r:id="rId706" ref="BK95"/>
    <hyperlink r:id="rId707" ref="BL95"/>
    <hyperlink r:id="rId708" ref="BM95"/>
    <hyperlink r:id="rId709" ref="BN95"/>
    <hyperlink r:id="rId710" ref="BO95"/>
    <hyperlink r:id="rId711" ref="BP95"/>
    <hyperlink r:id="rId712" ref="BS95"/>
    <hyperlink r:id="rId713" ref="BT95"/>
    <hyperlink r:id="rId714" ref="BU95"/>
    <hyperlink r:id="rId715" ref="BV95"/>
    <hyperlink r:id="rId716" ref="P96"/>
    <hyperlink r:id="rId717" ref="BJ96"/>
    <hyperlink r:id="rId718" ref="BK96"/>
    <hyperlink r:id="rId719" ref="BL96"/>
    <hyperlink r:id="rId720" ref="BM96"/>
    <hyperlink r:id="rId721" ref="BN96"/>
    <hyperlink r:id="rId722" ref="BO96"/>
    <hyperlink r:id="rId723" ref="BP96"/>
    <hyperlink r:id="rId724" ref="P97"/>
    <hyperlink r:id="rId725" ref="BJ97"/>
    <hyperlink r:id="rId726" ref="BK97"/>
    <hyperlink r:id="rId727" ref="BL97"/>
    <hyperlink r:id="rId728" ref="BM97"/>
    <hyperlink r:id="rId729" ref="BN97"/>
    <hyperlink r:id="rId730" ref="BO97"/>
    <hyperlink r:id="rId731" ref="BP97"/>
    <hyperlink r:id="rId732" ref="P98"/>
    <hyperlink r:id="rId733" ref="BJ98"/>
    <hyperlink r:id="rId734" ref="BK98"/>
    <hyperlink r:id="rId735" ref="BL98"/>
    <hyperlink r:id="rId736" ref="BM98"/>
    <hyperlink r:id="rId737" ref="BN98"/>
    <hyperlink r:id="rId738" ref="BO98"/>
    <hyperlink r:id="rId739" ref="BP98"/>
    <hyperlink r:id="rId740" ref="P99"/>
    <hyperlink r:id="rId741" ref="BJ99"/>
    <hyperlink r:id="rId742" ref="BK99"/>
    <hyperlink r:id="rId743" ref="BL99"/>
    <hyperlink r:id="rId744" ref="BN99"/>
    <hyperlink r:id="rId745" ref="BO99"/>
    <hyperlink r:id="rId746" ref="BP99"/>
    <hyperlink r:id="rId747" ref="P100"/>
    <hyperlink r:id="rId748" ref="BJ100"/>
    <hyperlink r:id="rId749" ref="BK100"/>
    <hyperlink r:id="rId750" ref="BL100"/>
    <hyperlink r:id="rId751" ref="BN100"/>
    <hyperlink r:id="rId752" ref="BO100"/>
    <hyperlink r:id="rId753" ref="BP100"/>
    <hyperlink r:id="rId754" ref="P101"/>
    <hyperlink r:id="rId755" ref="BJ101"/>
    <hyperlink r:id="rId756" ref="BK101"/>
    <hyperlink r:id="rId757" ref="BN101"/>
    <hyperlink r:id="rId758" ref="BO101"/>
    <hyperlink r:id="rId759" ref="P102"/>
    <hyperlink r:id="rId760" ref="BJ102"/>
    <hyperlink r:id="rId761" ref="BK102"/>
    <hyperlink r:id="rId762" ref="BL102"/>
    <hyperlink r:id="rId763" ref="BM102"/>
    <hyperlink r:id="rId764" ref="BN102"/>
    <hyperlink r:id="rId765" ref="BO102"/>
    <hyperlink r:id="rId766" ref="BP102"/>
    <hyperlink r:id="rId767" ref="BS102"/>
    <hyperlink r:id="rId768" ref="BT102"/>
    <hyperlink r:id="rId769" ref="P103"/>
    <hyperlink r:id="rId770" ref="BJ103"/>
    <hyperlink r:id="rId771" ref="BK103"/>
    <hyperlink r:id="rId772" ref="BL103"/>
    <hyperlink r:id="rId773" ref="BM103"/>
    <hyperlink r:id="rId774" ref="BN103"/>
    <hyperlink r:id="rId775" ref="BO103"/>
    <hyperlink r:id="rId776" ref="BP103"/>
    <hyperlink r:id="rId777" ref="P104"/>
    <hyperlink r:id="rId778" ref="BJ104"/>
    <hyperlink r:id="rId779" ref="BK104"/>
    <hyperlink r:id="rId780" ref="BL104"/>
    <hyperlink r:id="rId781" ref="BM104"/>
    <hyperlink r:id="rId782" ref="BN104"/>
    <hyperlink r:id="rId783" ref="BO104"/>
    <hyperlink r:id="rId784" ref="BP104"/>
    <hyperlink r:id="rId785" ref="BU104"/>
    <hyperlink r:id="rId786" ref="BV104"/>
    <hyperlink r:id="rId787" ref="P105"/>
    <hyperlink r:id="rId788" ref="BJ105"/>
    <hyperlink r:id="rId789" ref="BK105"/>
    <hyperlink r:id="rId790" ref="BL105"/>
    <hyperlink r:id="rId791" ref="BM105"/>
    <hyperlink r:id="rId792" ref="BN105"/>
    <hyperlink r:id="rId793" ref="BO105"/>
    <hyperlink r:id="rId794" ref="BP105"/>
    <hyperlink r:id="rId795" ref="BR105"/>
    <hyperlink r:id="rId796" ref="BT105"/>
    <hyperlink r:id="rId797" ref="P106"/>
    <hyperlink r:id="rId798" ref="BJ106"/>
    <hyperlink r:id="rId799" ref="BK106"/>
    <hyperlink r:id="rId800" ref="BL106"/>
    <hyperlink r:id="rId801" ref="BN106"/>
    <hyperlink r:id="rId802" ref="BO106"/>
    <hyperlink r:id="rId803" ref="BP106"/>
    <hyperlink r:id="rId804" ref="BR106"/>
    <hyperlink r:id="rId805" ref="BS106"/>
    <hyperlink r:id="rId806" ref="BT106"/>
    <hyperlink r:id="rId807" ref="P107"/>
    <hyperlink r:id="rId808" ref="BJ107"/>
    <hyperlink r:id="rId809" ref="BK107"/>
    <hyperlink r:id="rId810" ref="BL107"/>
    <hyperlink r:id="rId811" ref="BN107"/>
    <hyperlink r:id="rId812" ref="BO107"/>
    <hyperlink r:id="rId813" ref="BP107"/>
    <hyperlink r:id="rId814" ref="P108"/>
    <hyperlink r:id="rId815" ref="BJ108"/>
    <hyperlink r:id="rId816" ref="BK108"/>
    <hyperlink r:id="rId817" ref="BL108"/>
    <hyperlink r:id="rId818" ref="BM108"/>
    <hyperlink r:id="rId819" ref="BN108"/>
    <hyperlink r:id="rId820" ref="BO108"/>
    <hyperlink r:id="rId821" ref="BP108"/>
    <hyperlink r:id="rId822" ref="P109"/>
    <hyperlink r:id="rId823" ref="BJ109"/>
    <hyperlink r:id="rId824" ref="BK109"/>
    <hyperlink r:id="rId825" ref="BL109"/>
    <hyperlink r:id="rId826" ref="BM109"/>
    <hyperlink r:id="rId827" ref="BN109"/>
    <hyperlink r:id="rId828" ref="BO109"/>
    <hyperlink r:id="rId829" ref="BP109"/>
    <hyperlink r:id="rId830" ref="P110"/>
    <hyperlink r:id="rId831" ref="BJ110"/>
    <hyperlink r:id="rId832" ref="BK110"/>
    <hyperlink r:id="rId833" ref="BL110"/>
    <hyperlink r:id="rId834" ref="BM110"/>
    <hyperlink r:id="rId835" ref="BN110"/>
    <hyperlink r:id="rId836" ref="BO110"/>
    <hyperlink r:id="rId837" ref="BP110"/>
    <hyperlink r:id="rId838" ref="P111"/>
    <hyperlink r:id="rId839" ref="BJ111"/>
    <hyperlink r:id="rId840" ref="BK111"/>
    <hyperlink r:id="rId841" ref="BL111"/>
    <hyperlink r:id="rId842" ref="BM111"/>
    <hyperlink r:id="rId843" ref="BN111"/>
    <hyperlink r:id="rId844" ref="BO111"/>
    <hyperlink r:id="rId845" ref="BP111"/>
    <hyperlink r:id="rId846" ref="BT111"/>
    <hyperlink r:id="rId847" ref="P112"/>
    <hyperlink r:id="rId848" ref="BJ112"/>
    <hyperlink r:id="rId849" ref="BK112"/>
    <hyperlink r:id="rId850" ref="BL112"/>
    <hyperlink r:id="rId851" ref="BM112"/>
    <hyperlink r:id="rId852" ref="BN112"/>
    <hyperlink r:id="rId853" ref="BO112"/>
    <hyperlink r:id="rId854" ref="BP112"/>
    <hyperlink r:id="rId855" ref="BT112"/>
    <hyperlink r:id="rId856" ref="P113"/>
    <hyperlink r:id="rId857" ref="BJ113"/>
    <hyperlink r:id="rId858" ref="BK113"/>
    <hyperlink r:id="rId859" ref="BL113"/>
    <hyperlink r:id="rId860" ref="BM113"/>
    <hyperlink r:id="rId861" ref="BN113"/>
    <hyperlink r:id="rId862" ref="BO113"/>
    <hyperlink r:id="rId863" ref="BP113"/>
    <hyperlink r:id="rId864" ref="P114"/>
    <hyperlink r:id="rId865" ref="BJ114"/>
    <hyperlink r:id="rId866" ref="BK114"/>
    <hyperlink r:id="rId867" ref="BN114"/>
    <hyperlink r:id="rId868" ref="BO114"/>
    <hyperlink r:id="rId869" ref="BT114"/>
    <hyperlink r:id="rId870" ref="BU114"/>
    <hyperlink r:id="rId871" ref="BV114"/>
    <hyperlink r:id="rId872" ref="P115"/>
    <hyperlink r:id="rId873" ref="BJ115"/>
    <hyperlink r:id="rId874" ref="BK115"/>
    <hyperlink r:id="rId875" ref="BL115"/>
    <hyperlink r:id="rId876" ref="BM115"/>
    <hyperlink r:id="rId877" ref="BN115"/>
    <hyperlink r:id="rId878" ref="BO115"/>
    <hyperlink r:id="rId879" ref="BP115"/>
    <hyperlink r:id="rId880" ref="P116"/>
    <hyperlink r:id="rId881" ref="BJ116"/>
    <hyperlink r:id="rId882" ref="BK116"/>
    <hyperlink r:id="rId883" ref="BM116"/>
    <hyperlink r:id="rId884" ref="BN116"/>
    <hyperlink r:id="rId885" ref="BO116"/>
    <hyperlink r:id="rId886" ref="BP116"/>
    <hyperlink r:id="rId887" ref="BT116"/>
    <hyperlink r:id="rId888" ref="P117"/>
    <hyperlink r:id="rId889" ref="BJ117"/>
    <hyperlink r:id="rId890" ref="BK117"/>
    <hyperlink r:id="rId891" ref="BL117"/>
    <hyperlink r:id="rId892" ref="BM117"/>
    <hyperlink r:id="rId893" ref="BO117"/>
    <hyperlink r:id="rId894" ref="BP117"/>
    <hyperlink r:id="rId895" ref="P118"/>
    <hyperlink r:id="rId896" ref="BJ118"/>
    <hyperlink r:id="rId897" ref="BK118"/>
    <hyperlink r:id="rId898" ref="BL118"/>
    <hyperlink r:id="rId899" ref="BM118"/>
    <hyperlink r:id="rId900" ref="BN118"/>
    <hyperlink r:id="rId901" ref="BO118"/>
    <hyperlink r:id="rId902" ref="BP118"/>
    <hyperlink r:id="rId903" ref="BR118"/>
    <hyperlink r:id="rId904" ref="BS118"/>
    <hyperlink r:id="rId905" ref="BT118"/>
    <hyperlink r:id="rId906" ref="BU118"/>
    <hyperlink r:id="rId907" ref="BV118"/>
    <hyperlink r:id="rId908" ref="P119"/>
    <hyperlink r:id="rId909" ref="BJ119"/>
    <hyperlink r:id="rId910" ref="BK119"/>
    <hyperlink r:id="rId911" ref="BN119"/>
    <hyperlink r:id="rId912" ref="BO119"/>
    <hyperlink r:id="rId913" ref="BP119"/>
    <hyperlink r:id="rId914" ref="BU119"/>
    <hyperlink r:id="rId915" ref="BV119"/>
    <hyperlink r:id="rId916" ref="P120"/>
    <hyperlink r:id="rId917" ref="BJ120"/>
    <hyperlink r:id="rId918" ref="BK120"/>
    <hyperlink r:id="rId919" ref="BL120"/>
    <hyperlink r:id="rId920" ref="BM120"/>
    <hyperlink r:id="rId921" ref="BN120"/>
    <hyperlink r:id="rId922" ref="BO120"/>
    <hyperlink r:id="rId923" ref="BP120"/>
    <hyperlink r:id="rId924" ref="P121"/>
    <hyperlink r:id="rId925" ref="BJ121"/>
    <hyperlink r:id="rId926" ref="BK121"/>
    <hyperlink r:id="rId927" ref="BL121"/>
    <hyperlink r:id="rId928" ref="BM121"/>
    <hyperlink r:id="rId929" ref="BN121"/>
    <hyperlink r:id="rId930" ref="BO121"/>
    <hyperlink r:id="rId931" ref="BP121"/>
    <hyperlink r:id="rId932" ref="P122"/>
    <hyperlink r:id="rId933" ref="BJ122"/>
    <hyperlink r:id="rId934" ref="BK122"/>
    <hyperlink r:id="rId935" ref="BM122"/>
    <hyperlink r:id="rId936" ref="BN122"/>
    <hyperlink r:id="rId937" ref="BO122"/>
    <hyperlink r:id="rId938" ref="BP122"/>
    <hyperlink r:id="rId939" ref="BT122"/>
    <hyperlink r:id="rId940" ref="P123"/>
    <hyperlink r:id="rId941" ref="BJ123"/>
    <hyperlink r:id="rId942" ref="BK123"/>
    <hyperlink r:id="rId943" ref="BL123"/>
    <hyperlink r:id="rId944" ref="BM123"/>
    <hyperlink r:id="rId945" ref="BN123"/>
    <hyperlink r:id="rId946" ref="BO123"/>
    <hyperlink r:id="rId947" ref="BP123"/>
    <hyperlink r:id="rId948" ref="P124"/>
    <hyperlink r:id="rId949" ref="BJ124"/>
    <hyperlink r:id="rId950" ref="BK124"/>
    <hyperlink r:id="rId951" ref="BN124"/>
    <hyperlink r:id="rId952" ref="BO124"/>
    <hyperlink r:id="rId953" ref="BP124"/>
    <hyperlink r:id="rId954" ref="P125"/>
    <hyperlink r:id="rId955" ref="BJ125"/>
    <hyperlink r:id="rId956" ref="BK125"/>
    <hyperlink r:id="rId957" ref="BL125"/>
    <hyperlink r:id="rId958" ref="BM125"/>
    <hyperlink r:id="rId959" ref="BN125"/>
    <hyperlink r:id="rId960" ref="BO125"/>
    <hyperlink r:id="rId961" ref="BT125"/>
    <hyperlink r:id="rId962" ref="P126"/>
    <hyperlink r:id="rId963" ref="BJ126"/>
    <hyperlink r:id="rId964" ref="BK126"/>
    <hyperlink r:id="rId965" ref="BL126"/>
    <hyperlink r:id="rId966" ref="BM126"/>
    <hyperlink r:id="rId967" ref="BN126"/>
    <hyperlink r:id="rId968" ref="BO126"/>
    <hyperlink r:id="rId969" ref="BP126"/>
    <hyperlink r:id="rId970" ref="BT126"/>
    <hyperlink r:id="rId971" ref="BU126"/>
    <hyperlink r:id="rId972" ref="BV126"/>
    <hyperlink r:id="rId973" ref="P127"/>
    <hyperlink r:id="rId974" ref="BJ127"/>
    <hyperlink r:id="rId975" ref="BK127"/>
    <hyperlink r:id="rId976" ref="BL127"/>
    <hyperlink r:id="rId977" ref="BM127"/>
    <hyperlink r:id="rId978" ref="BN127"/>
    <hyperlink r:id="rId979" ref="BO127"/>
    <hyperlink r:id="rId980" ref="BP127"/>
    <hyperlink r:id="rId981" ref="BR127"/>
    <hyperlink r:id="rId982" ref="BS127"/>
    <hyperlink r:id="rId983" ref="BT127"/>
    <hyperlink r:id="rId984" ref="BU127"/>
    <hyperlink r:id="rId985" ref="BV127"/>
    <hyperlink r:id="rId986" ref="P128"/>
    <hyperlink r:id="rId987" ref="BJ128"/>
    <hyperlink r:id="rId988" ref="BK128"/>
    <hyperlink r:id="rId989" ref="BN128"/>
    <hyperlink r:id="rId990" ref="BO128"/>
    <hyperlink r:id="rId991" ref="BP128"/>
    <hyperlink r:id="rId992" ref="P129"/>
    <hyperlink r:id="rId993" ref="BJ129"/>
    <hyperlink r:id="rId994" ref="BK129"/>
    <hyperlink r:id="rId995" ref="BL129"/>
    <hyperlink r:id="rId996" ref="BM129"/>
    <hyperlink r:id="rId997" ref="BN129"/>
    <hyperlink r:id="rId998" ref="BO129"/>
    <hyperlink r:id="rId999" ref="BP129"/>
    <hyperlink r:id="rId1000" ref="BT129"/>
    <hyperlink r:id="rId1001" ref="BU129"/>
    <hyperlink r:id="rId1002" ref="BV129"/>
    <hyperlink r:id="rId1003" ref="P130"/>
    <hyperlink r:id="rId1004" ref="BJ130"/>
    <hyperlink r:id="rId1005" ref="BK130"/>
    <hyperlink r:id="rId1006" ref="BL130"/>
    <hyperlink r:id="rId1007" ref="BM130"/>
    <hyperlink r:id="rId1008" ref="BN130"/>
    <hyperlink r:id="rId1009" ref="BO130"/>
    <hyperlink r:id="rId1010" ref="P131"/>
    <hyperlink r:id="rId1011" ref="BJ131"/>
    <hyperlink r:id="rId1012" ref="BK131"/>
    <hyperlink r:id="rId1013" ref="BL131"/>
    <hyperlink r:id="rId1014" ref="BM131"/>
    <hyperlink r:id="rId1015" ref="BN131"/>
    <hyperlink r:id="rId1016" ref="BO131"/>
    <hyperlink r:id="rId1017" ref="BP131"/>
    <hyperlink r:id="rId1018" ref="BR131"/>
    <hyperlink r:id="rId1019" ref="BS131"/>
    <hyperlink r:id="rId1020" ref="BT131"/>
    <hyperlink r:id="rId1021" ref="BU131"/>
    <hyperlink r:id="rId1022" ref="BV131"/>
    <hyperlink r:id="rId1023" ref="P132"/>
    <hyperlink r:id="rId1024" ref="BJ132"/>
    <hyperlink r:id="rId1025" ref="BK132"/>
    <hyperlink r:id="rId1026" ref="BL132"/>
    <hyperlink r:id="rId1027" ref="BM132"/>
    <hyperlink r:id="rId1028" ref="BN132"/>
    <hyperlink r:id="rId1029" ref="BO132"/>
    <hyperlink r:id="rId1030" ref="BP132"/>
    <hyperlink r:id="rId1031" ref="BT132"/>
    <hyperlink r:id="rId1032" ref="P133"/>
    <hyperlink r:id="rId1033" ref="BJ133"/>
    <hyperlink r:id="rId1034" ref="BK133"/>
    <hyperlink r:id="rId1035" ref="BL133"/>
    <hyperlink r:id="rId1036" ref="BM133"/>
    <hyperlink r:id="rId1037" ref="BN133"/>
    <hyperlink r:id="rId1038" ref="BO133"/>
    <hyperlink r:id="rId1039" ref="BP133"/>
    <hyperlink r:id="rId1040" ref="P134"/>
    <hyperlink r:id="rId1041" ref="BJ134"/>
    <hyperlink r:id="rId1042" ref="BK134"/>
    <hyperlink r:id="rId1043" ref="BO134"/>
    <hyperlink r:id="rId1044" ref="BP134"/>
    <hyperlink r:id="rId1045" ref="P135"/>
    <hyperlink r:id="rId1046" ref="BJ135"/>
    <hyperlink r:id="rId1047" ref="BK135"/>
    <hyperlink r:id="rId1048" ref="BL135"/>
    <hyperlink r:id="rId1049" ref="BM135"/>
    <hyperlink r:id="rId1050" ref="BN135"/>
    <hyperlink r:id="rId1051" ref="BO135"/>
    <hyperlink r:id="rId1052" ref="BP135"/>
    <hyperlink r:id="rId1053" ref="P136"/>
    <hyperlink r:id="rId1054" ref="BJ136"/>
    <hyperlink r:id="rId1055" ref="BK136"/>
    <hyperlink r:id="rId1056" ref="BL136"/>
    <hyperlink r:id="rId1057" ref="BM136"/>
    <hyperlink r:id="rId1058" ref="BN136"/>
    <hyperlink r:id="rId1059" ref="BO136"/>
    <hyperlink r:id="rId1060" ref="P137"/>
    <hyperlink r:id="rId1061" ref="BJ137"/>
    <hyperlink r:id="rId1062" ref="BK137"/>
    <hyperlink r:id="rId1063" ref="BN137"/>
    <hyperlink r:id="rId1064" ref="BO137"/>
    <hyperlink r:id="rId1065" ref="P138"/>
    <hyperlink r:id="rId1066" ref="BJ138"/>
    <hyperlink r:id="rId1067" ref="BK138"/>
    <hyperlink r:id="rId1068" ref="BL138"/>
    <hyperlink r:id="rId1069" ref="BM138"/>
    <hyperlink r:id="rId1070" ref="BN138"/>
    <hyperlink r:id="rId1071" ref="BO138"/>
    <hyperlink r:id="rId1072" ref="BT138"/>
    <hyperlink r:id="rId1073" ref="P139"/>
    <hyperlink r:id="rId1074" ref="BJ139"/>
    <hyperlink r:id="rId1075" ref="BK139"/>
    <hyperlink r:id="rId1076" ref="BL139"/>
    <hyperlink r:id="rId1077" ref="BM139"/>
    <hyperlink r:id="rId1078" ref="BN139"/>
    <hyperlink r:id="rId1079" ref="BO139"/>
    <hyperlink r:id="rId1080" ref="P140"/>
    <hyperlink r:id="rId1081" ref="BJ140"/>
    <hyperlink r:id="rId1082" ref="BK140"/>
    <hyperlink r:id="rId1083" ref="BL140"/>
    <hyperlink r:id="rId1084" ref="BM140"/>
    <hyperlink r:id="rId1085" ref="BO140"/>
    <hyperlink r:id="rId1086" ref="BT140"/>
    <hyperlink r:id="rId1087" ref="P141"/>
    <hyperlink r:id="rId1088" ref="BJ141"/>
    <hyperlink r:id="rId1089" ref="BK141"/>
    <hyperlink r:id="rId1090" ref="BN141"/>
    <hyperlink r:id="rId1091" ref="BO141"/>
    <hyperlink r:id="rId1092" ref="BP141"/>
    <hyperlink r:id="rId1093" ref="P142"/>
    <hyperlink r:id="rId1094" ref="BJ142"/>
    <hyperlink r:id="rId1095" ref="BK142"/>
    <hyperlink r:id="rId1096" ref="BL142"/>
    <hyperlink r:id="rId1097" ref="BM142"/>
    <hyperlink r:id="rId1098" ref="BN142"/>
    <hyperlink r:id="rId1099" ref="BO142"/>
    <hyperlink r:id="rId1100" ref="BP142"/>
    <hyperlink r:id="rId1101" ref="P143"/>
    <hyperlink r:id="rId1102" ref="BJ143"/>
    <hyperlink r:id="rId1103" ref="BK143"/>
    <hyperlink r:id="rId1104" ref="BL143"/>
    <hyperlink r:id="rId1105" ref="BM143"/>
    <hyperlink r:id="rId1106" ref="BN143"/>
    <hyperlink r:id="rId1107" ref="BO143"/>
    <hyperlink r:id="rId1108" ref="P144"/>
    <hyperlink r:id="rId1109" ref="BJ144"/>
    <hyperlink r:id="rId1110" ref="BK144"/>
    <hyperlink r:id="rId1111" ref="BM144"/>
    <hyperlink r:id="rId1112" ref="BN144"/>
    <hyperlink r:id="rId1113" ref="BO144"/>
    <hyperlink r:id="rId1114" ref="BP144"/>
    <hyperlink r:id="rId1115" ref="BT144"/>
    <hyperlink r:id="rId1116" ref="BV144"/>
    <hyperlink r:id="rId1117" ref="P145"/>
    <hyperlink r:id="rId1118" ref="BJ145"/>
    <hyperlink r:id="rId1119" ref="BK145"/>
    <hyperlink r:id="rId1120" ref="BL145"/>
    <hyperlink r:id="rId1121" ref="BM145"/>
    <hyperlink r:id="rId1122" ref="BN145"/>
    <hyperlink r:id="rId1123" ref="BO145"/>
    <hyperlink r:id="rId1124" ref="BP145"/>
    <hyperlink r:id="rId1125" ref="BT145"/>
    <hyperlink r:id="rId1126" ref="P146"/>
    <hyperlink r:id="rId1127" ref="BJ146"/>
    <hyperlink r:id="rId1128" ref="BK146"/>
    <hyperlink r:id="rId1129" ref="BL146"/>
    <hyperlink r:id="rId1130" ref="BM146"/>
    <hyperlink r:id="rId1131" ref="BN146"/>
    <hyperlink r:id="rId1132" ref="BO146"/>
    <hyperlink r:id="rId1133" ref="BP146"/>
    <hyperlink r:id="rId1134" ref="P147"/>
    <hyperlink r:id="rId1135" ref="BJ147"/>
    <hyperlink r:id="rId1136" ref="BK147"/>
    <hyperlink r:id="rId1137" ref="BL147"/>
    <hyperlink r:id="rId1138" ref="BM147"/>
    <hyperlink r:id="rId1139" ref="BN147"/>
    <hyperlink r:id="rId1140" ref="BO147"/>
    <hyperlink r:id="rId1141" ref="BP147"/>
    <hyperlink r:id="rId1142" ref="P148"/>
    <hyperlink r:id="rId1143" ref="BJ148"/>
    <hyperlink r:id="rId1144" ref="BK148"/>
    <hyperlink r:id="rId1145" ref="BL148"/>
    <hyperlink r:id="rId1146" ref="BM148"/>
    <hyperlink r:id="rId1147" ref="BN148"/>
    <hyperlink r:id="rId1148" ref="BO148"/>
    <hyperlink r:id="rId1149" ref="BP148"/>
    <hyperlink r:id="rId1150" ref="P149"/>
    <hyperlink r:id="rId1151" ref="BJ149"/>
    <hyperlink r:id="rId1152" ref="BK149"/>
    <hyperlink r:id="rId1153" ref="BN149"/>
    <hyperlink r:id="rId1154" ref="BO149"/>
    <hyperlink r:id="rId1155" ref="BS149"/>
    <hyperlink r:id="rId1156" ref="P150"/>
    <hyperlink r:id="rId1157" ref="BJ150"/>
    <hyperlink r:id="rId1158" ref="BK150"/>
    <hyperlink r:id="rId1159" ref="BL150"/>
    <hyperlink r:id="rId1160" ref="BM150"/>
    <hyperlink r:id="rId1161" ref="BO150"/>
    <hyperlink r:id="rId1162" ref="BT150"/>
    <hyperlink r:id="rId1163" ref="P151"/>
    <hyperlink r:id="rId1164" ref="BJ151"/>
    <hyperlink r:id="rId1165" ref="BK151"/>
    <hyperlink r:id="rId1166" ref="BL151"/>
    <hyperlink r:id="rId1167" ref="BM151"/>
    <hyperlink r:id="rId1168" ref="BN151"/>
    <hyperlink r:id="rId1169" ref="BO151"/>
    <hyperlink r:id="rId1170" ref="BP151"/>
    <hyperlink r:id="rId1171" ref="P152"/>
    <hyperlink r:id="rId1172" ref="BJ152"/>
    <hyperlink r:id="rId1173" ref="BK152"/>
    <hyperlink r:id="rId1174" ref="BO152"/>
    <hyperlink r:id="rId1175" ref="P153"/>
    <hyperlink r:id="rId1176" ref="BJ153"/>
    <hyperlink r:id="rId1177" ref="BK153"/>
    <hyperlink r:id="rId1178" ref="BL153"/>
    <hyperlink r:id="rId1179" ref="BM153"/>
    <hyperlink r:id="rId1180" ref="BO153"/>
    <hyperlink r:id="rId1181" ref="BP153"/>
    <hyperlink r:id="rId1182" ref="P154"/>
    <hyperlink r:id="rId1183" ref="BJ154"/>
    <hyperlink r:id="rId1184" ref="BK154"/>
    <hyperlink r:id="rId1185" ref="BM154"/>
    <hyperlink r:id="rId1186" ref="BN154"/>
    <hyperlink r:id="rId1187" ref="BO154"/>
    <hyperlink r:id="rId1188" ref="BT154"/>
    <hyperlink r:id="rId1189" ref="P155"/>
    <hyperlink r:id="rId1190" ref="BJ155"/>
    <hyperlink r:id="rId1191" ref="BK155"/>
    <hyperlink r:id="rId1192" ref="BL155"/>
    <hyperlink r:id="rId1193" ref="BM155"/>
    <hyperlink r:id="rId1194" ref="BN155"/>
    <hyperlink r:id="rId1195" ref="BO155"/>
    <hyperlink r:id="rId1196" ref="BP155"/>
    <hyperlink r:id="rId1197" ref="BR155"/>
    <hyperlink r:id="rId1198" ref="BS155"/>
    <hyperlink r:id="rId1199" ref="BU155"/>
    <hyperlink r:id="rId1200" ref="BV155"/>
    <hyperlink r:id="rId1201" ref="P156"/>
    <hyperlink r:id="rId1202" ref="BJ156"/>
    <hyperlink r:id="rId1203" ref="BK156"/>
    <hyperlink r:id="rId1204" ref="BO156"/>
    <hyperlink r:id="rId1205" ref="BP156"/>
    <hyperlink r:id="rId1206" ref="BT156"/>
    <hyperlink r:id="rId1207" ref="P157"/>
    <hyperlink r:id="rId1208" ref="BJ157"/>
    <hyperlink r:id="rId1209" ref="BK157"/>
    <hyperlink r:id="rId1210" ref="BL157"/>
    <hyperlink r:id="rId1211" ref="BM157"/>
    <hyperlink r:id="rId1212" ref="BO157"/>
    <hyperlink r:id="rId1213" ref="BT157"/>
    <hyperlink r:id="rId1214" ref="P158"/>
    <hyperlink r:id="rId1215" ref="BJ158"/>
    <hyperlink r:id="rId1216" ref="BK158"/>
    <hyperlink r:id="rId1217" ref="BL158"/>
    <hyperlink r:id="rId1218" ref="BM158"/>
    <hyperlink r:id="rId1219" ref="BN158"/>
    <hyperlink r:id="rId1220" ref="BO158"/>
    <hyperlink r:id="rId1221" ref="BP158"/>
    <hyperlink r:id="rId1222" ref="BR158"/>
    <hyperlink r:id="rId1223" ref="BS158"/>
    <hyperlink r:id="rId1224" ref="BT158"/>
    <hyperlink r:id="rId1225" ref="BU158"/>
    <hyperlink r:id="rId1226" ref="BV158"/>
    <hyperlink r:id="rId1227" ref="P159"/>
    <hyperlink r:id="rId1228" ref="BJ159"/>
    <hyperlink r:id="rId1229" ref="BK159"/>
    <hyperlink r:id="rId1230" ref="BL159"/>
    <hyperlink r:id="rId1231" ref="BM159"/>
    <hyperlink r:id="rId1232" ref="BN159"/>
    <hyperlink r:id="rId1233" ref="BO159"/>
    <hyperlink r:id="rId1234" ref="BP159"/>
    <hyperlink r:id="rId1235" ref="P160"/>
    <hyperlink r:id="rId1236" ref="BJ160"/>
    <hyperlink r:id="rId1237" ref="BK160"/>
    <hyperlink r:id="rId1238" ref="BO160"/>
    <hyperlink r:id="rId1239" ref="P161"/>
    <hyperlink r:id="rId1240" ref="BJ161"/>
    <hyperlink r:id="rId1241" ref="BK161"/>
    <hyperlink r:id="rId1242" ref="BL161"/>
    <hyperlink r:id="rId1243" ref="BM161"/>
    <hyperlink r:id="rId1244" ref="BN161"/>
    <hyperlink r:id="rId1245" ref="BO161"/>
    <hyperlink r:id="rId1246" ref="BR161"/>
    <hyperlink r:id="rId1247" ref="P162"/>
    <hyperlink r:id="rId1248" ref="BJ162"/>
    <hyperlink r:id="rId1249" ref="BK162"/>
    <hyperlink r:id="rId1250" ref="BL162"/>
    <hyperlink r:id="rId1251" ref="BM162"/>
    <hyperlink r:id="rId1252" ref="BN162"/>
    <hyperlink r:id="rId1253" ref="BO162"/>
    <hyperlink r:id="rId1254" ref="BP162"/>
    <hyperlink r:id="rId1255" ref="P163"/>
    <hyperlink r:id="rId1256" ref="BJ163"/>
    <hyperlink r:id="rId1257" ref="BK163"/>
    <hyperlink r:id="rId1258" ref="BL163"/>
    <hyperlink r:id="rId1259" ref="BM163"/>
    <hyperlink r:id="rId1260" ref="BN163"/>
    <hyperlink r:id="rId1261" ref="BO163"/>
    <hyperlink r:id="rId1262" ref="BP163"/>
    <hyperlink r:id="rId1263" ref="P164"/>
    <hyperlink r:id="rId1264" ref="BJ164"/>
    <hyperlink r:id="rId1265" ref="BK164"/>
    <hyperlink r:id="rId1266" ref="BM164"/>
    <hyperlink r:id="rId1267" ref="BN164"/>
    <hyperlink r:id="rId1268" ref="BO164"/>
    <hyperlink r:id="rId1269" ref="P165"/>
    <hyperlink r:id="rId1270" ref="BJ165"/>
    <hyperlink r:id="rId1271" ref="BK165"/>
    <hyperlink r:id="rId1272" ref="BL165"/>
    <hyperlink r:id="rId1273" ref="BM165"/>
    <hyperlink r:id="rId1274" ref="BN165"/>
    <hyperlink r:id="rId1275" ref="BO165"/>
    <hyperlink r:id="rId1276" ref="BP165"/>
    <hyperlink r:id="rId1277" ref="BR165"/>
    <hyperlink r:id="rId1278" ref="BS165"/>
    <hyperlink r:id="rId1279" ref="BT165"/>
    <hyperlink r:id="rId1280" ref="BU165"/>
    <hyperlink r:id="rId1281" ref="BV165"/>
    <hyperlink r:id="rId1282" ref="P166"/>
    <hyperlink r:id="rId1283" ref="BJ166"/>
    <hyperlink r:id="rId1284" ref="BK166"/>
    <hyperlink r:id="rId1285" ref="BL166"/>
    <hyperlink r:id="rId1286" ref="BM166"/>
    <hyperlink r:id="rId1287" ref="BN166"/>
    <hyperlink r:id="rId1288" ref="BO166"/>
    <hyperlink r:id="rId1289" ref="BP166"/>
    <hyperlink r:id="rId1290" ref="P167"/>
    <hyperlink r:id="rId1291" ref="BJ167"/>
    <hyperlink r:id="rId1292" ref="BK167"/>
    <hyperlink r:id="rId1293" ref="BL167"/>
    <hyperlink r:id="rId1294" ref="BM167"/>
    <hyperlink r:id="rId1295" ref="BN167"/>
    <hyperlink r:id="rId1296" ref="BO167"/>
    <hyperlink r:id="rId1297" ref="P168"/>
    <hyperlink r:id="rId1298" ref="BJ168"/>
    <hyperlink r:id="rId1299" ref="BK168"/>
    <hyperlink r:id="rId1300" ref="BL168"/>
    <hyperlink r:id="rId1301" ref="BM168"/>
    <hyperlink r:id="rId1302" ref="BN168"/>
    <hyperlink r:id="rId1303" ref="BO168"/>
    <hyperlink r:id="rId1304" ref="P169"/>
    <hyperlink r:id="rId1305" ref="BJ169"/>
    <hyperlink r:id="rId1306" ref="BK169"/>
    <hyperlink r:id="rId1307" ref="BL169"/>
    <hyperlink r:id="rId1308" ref="BM169"/>
    <hyperlink r:id="rId1309" ref="BN169"/>
    <hyperlink r:id="rId1310" ref="BO169"/>
    <hyperlink r:id="rId1311" ref="BP169"/>
    <hyperlink r:id="rId1312" ref="P170"/>
    <hyperlink r:id="rId1313" ref="BJ170"/>
    <hyperlink r:id="rId1314" ref="BK170"/>
    <hyperlink r:id="rId1315" ref="BL170"/>
    <hyperlink r:id="rId1316" ref="BM170"/>
    <hyperlink r:id="rId1317" ref="BN170"/>
    <hyperlink r:id="rId1318" ref="BO170"/>
    <hyperlink r:id="rId1319" ref="BP170"/>
    <hyperlink r:id="rId1320" ref="BT170"/>
    <hyperlink r:id="rId1321" ref="BU170"/>
    <hyperlink r:id="rId1322" ref="P171"/>
    <hyperlink r:id="rId1323" ref="BJ171"/>
    <hyperlink r:id="rId1324" ref="BK171"/>
    <hyperlink r:id="rId1325" ref="BN171"/>
    <hyperlink r:id="rId1326" ref="BO171"/>
    <hyperlink r:id="rId1327" ref="P172"/>
    <hyperlink r:id="rId1328" ref="BJ172"/>
    <hyperlink r:id="rId1329" ref="BK172"/>
    <hyperlink r:id="rId1330" ref="BL172"/>
    <hyperlink r:id="rId1331" ref="BM172"/>
    <hyperlink r:id="rId1332" ref="BN172"/>
    <hyperlink r:id="rId1333" ref="BO172"/>
    <hyperlink r:id="rId1334" ref="BP172"/>
    <hyperlink r:id="rId1335" ref="P173"/>
    <hyperlink r:id="rId1336" ref="BJ173"/>
    <hyperlink r:id="rId1337" ref="BK173"/>
    <hyperlink r:id="rId1338" ref="BL173"/>
    <hyperlink r:id="rId1339" ref="BM173"/>
    <hyperlink r:id="rId1340" ref="BN173"/>
    <hyperlink r:id="rId1341" ref="BO173"/>
    <hyperlink r:id="rId1342" ref="BP173"/>
    <hyperlink r:id="rId1343" ref="BT173"/>
    <hyperlink r:id="rId1344" ref="P174"/>
    <hyperlink r:id="rId1345" ref="BJ174"/>
    <hyperlink r:id="rId1346" ref="BK174"/>
    <hyperlink r:id="rId1347" ref="BL174"/>
    <hyperlink r:id="rId1348" ref="BM174"/>
    <hyperlink r:id="rId1349" ref="BN174"/>
    <hyperlink r:id="rId1350" ref="BO174"/>
    <hyperlink r:id="rId1351" ref="BT174"/>
    <hyperlink r:id="rId1352" ref="P175"/>
    <hyperlink r:id="rId1353" ref="BJ175"/>
    <hyperlink r:id="rId1354" ref="BK175"/>
    <hyperlink r:id="rId1355" ref="BL175"/>
    <hyperlink r:id="rId1356" ref="BM175"/>
    <hyperlink r:id="rId1357" ref="BO175"/>
    <hyperlink r:id="rId1358" ref="BP175"/>
    <hyperlink r:id="rId1359" ref="BT175"/>
    <hyperlink r:id="rId1360" ref="P176"/>
    <hyperlink r:id="rId1361" ref="BJ176"/>
    <hyperlink r:id="rId1362" ref="BK176"/>
    <hyperlink r:id="rId1363" ref="BL176"/>
    <hyperlink r:id="rId1364" ref="BM176"/>
    <hyperlink r:id="rId1365" ref="BN176"/>
    <hyperlink r:id="rId1366" ref="BO176"/>
    <hyperlink r:id="rId1367" ref="BP176"/>
    <hyperlink r:id="rId1368" ref="BJ177"/>
    <hyperlink r:id="rId1369" ref="BK177"/>
    <hyperlink r:id="rId1370" ref="BM177"/>
    <hyperlink r:id="rId1371" ref="BN177"/>
    <hyperlink r:id="rId1372" ref="BO177"/>
    <hyperlink r:id="rId1373" ref="BP177"/>
    <hyperlink r:id="rId1374" ref="P178"/>
    <hyperlink r:id="rId1375" ref="BJ178"/>
    <hyperlink r:id="rId1376" ref="BK178"/>
    <hyperlink r:id="rId1377" ref="BL178"/>
    <hyperlink r:id="rId1378" ref="BM178"/>
    <hyperlink r:id="rId1379" ref="BN178"/>
    <hyperlink r:id="rId1380" ref="BO178"/>
    <hyperlink r:id="rId1381" ref="BP178"/>
    <hyperlink r:id="rId1382" ref="BR178"/>
    <hyperlink r:id="rId1383" ref="P179"/>
    <hyperlink r:id="rId1384" ref="BJ179"/>
    <hyperlink r:id="rId1385" ref="BK179"/>
    <hyperlink r:id="rId1386" ref="BL179"/>
    <hyperlink r:id="rId1387" ref="BM179"/>
    <hyperlink r:id="rId1388" ref="BN179"/>
    <hyperlink r:id="rId1389" ref="BO179"/>
    <hyperlink r:id="rId1390" ref="BP179"/>
    <hyperlink r:id="rId1391" ref="P180"/>
    <hyperlink r:id="rId1392" ref="BJ180"/>
    <hyperlink r:id="rId1393" ref="BK180"/>
    <hyperlink r:id="rId1394" ref="BL180"/>
    <hyperlink r:id="rId1395" ref="BM180"/>
    <hyperlink r:id="rId1396" ref="BN180"/>
    <hyperlink r:id="rId1397" ref="BO180"/>
    <hyperlink r:id="rId1398" ref="BP180"/>
    <hyperlink r:id="rId1399" ref="BV180"/>
    <hyperlink r:id="rId1400" ref="P181"/>
    <hyperlink r:id="rId1401" ref="BJ181"/>
    <hyperlink r:id="rId1402" ref="BK181"/>
    <hyperlink r:id="rId1403" ref="BL181"/>
    <hyperlink r:id="rId1404" ref="BM181"/>
    <hyperlink r:id="rId1405" ref="BN181"/>
    <hyperlink r:id="rId1406" ref="BO181"/>
    <hyperlink r:id="rId1407" ref="BS181"/>
    <hyperlink r:id="rId1408" ref="BT181"/>
    <hyperlink r:id="rId1409" ref="P182"/>
    <hyperlink r:id="rId1410" ref="BJ182"/>
    <hyperlink r:id="rId1411" ref="BK182"/>
    <hyperlink r:id="rId1412" ref="BL182"/>
    <hyperlink r:id="rId1413" ref="BM182"/>
    <hyperlink r:id="rId1414" ref="BN182"/>
    <hyperlink r:id="rId1415" ref="BO182"/>
    <hyperlink r:id="rId1416" ref="P183"/>
    <hyperlink r:id="rId1417" ref="BJ183"/>
    <hyperlink r:id="rId1418" ref="BK183"/>
    <hyperlink r:id="rId1419" ref="BO183"/>
    <hyperlink r:id="rId1420" ref="P184"/>
    <hyperlink r:id="rId1421" ref="BJ184"/>
    <hyperlink r:id="rId1422" ref="BK184"/>
    <hyperlink r:id="rId1423" ref="BL184"/>
    <hyperlink r:id="rId1424" ref="BM184"/>
    <hyperlink r:id="rId1425" ref="BN184"/>
    <hyperlink r:id="rId1426" ref="BO184"/>
    <hyperlink r:id="rId1427" ref="BP184"/>
    <hyperlink r:id="rId1428" ref="P185"/>
    <hyperlink r:id="rId1429" ref="BJ185"/>
    <hyperlink r:id="rId1430" ref="BK185"/>
    <hyperlink r:id="rId1431" ref="BL185"/>
    <hyperlink r:id="rId1432" ref="BM185"/>
    <hyperlink r:id="rId1433" ref="BN185"/>
    <hyperlink r:id="rId1434" ref="BO185"/>
    <hyperlink r:id="rId1435" ref="P186"/>
    <hyperlink r:id="rId1436" ref="BJ186"/>
    <hyperlink r:id="rId1437" ref="BK186"/>
    <hyperlink r:id="rId1438" ref="BN186"/>
    <hyperlink r:id="rId1439" ref="BO186"/>
    <hyperlink r:id="rId1440" ref="BP186"/>
    <hyperlink r:id="rId1441" ref="BS186"/>
    <hyperlink r:id="rId1442" ref="BT186"/>
    <hyperlink r:id="rId1443" ref="BU186"/>
    <hyperlink r:id="rId1444" ref="BV186"/>
    <hyperlink r:id="rId1445" ref="P188"/>
    <hyperlink r:id="rId1446" ref="BJ188"/>
    <hyperlink r:id="rId1447" ref="BK188"/>
    <hyperlink r:id="rId1448" ref="BN188"/>
    <hyperlink r:id="rId1449" ref="BO188"/>
    <hyperlink r:id="rId1450" ref="BP188"/>
    <hyperlink r:id="rId1451" ref="P189"/>
    <hyperlink r:id="rId1452" ref="BJ189"/>
    <hyperlink r:id="rId1453" ref="BK189"/>
    <hyperlink r:id="rId1454" ref="BL189"/>
    <hyperlink r:id="rId1455" ref="BM189"/>
    <hyperlink r:id="rId1456" ref="BN189"/>
    <hyperlink r:id="rId1457" ref="BO189"/>
    <hyperlink r:id="rId1458" ref="BP189"/>
    <hyperlink r:id="rId1459" ref="BR189"/>
    <hyperlink r:id="rId1460" ref="BU189"/>
    <hyperlink r:id="rId1461" ref="BV189"/>
    <hyperlink r:id="rId1462" ref="P190"/>
    <hyperlink r:id="rId1463" ref="BJ190"/>
    <hyperlink r:id="rId1464" ref="BK190"/>
    <hyperlink r:id="rId1465" ref="BO190"/>
    <hyperlink r:id="rId1466" ref="P191"/>
    <hyperlink r:id="rId1467" ref="BJ191"/>
    <hyperlink r:id="rId1468" ref="BK191"/>
    <hyperlink r:id="rId1469" ref="BL191"/>
    <hyperlink r:id="rId1470" ref="BM191"/>
    <hyperlink r:id="rId1471" ref="BN191"/>
    <hyperlink r:id="rId1472" ref="BO191"/>
    <hyperlink r:id="rId1473" ref="BP191"/>
    <hyperlink r:id="rId1474" ref="P192"/>
    <hyperlink r:id="rId1475" ref="BJ192"/>
    <hyperlink r:id="rId1476" ref="BK192"/>
    <hyperlink r:id="rId1477" ref="BN192"/>
    <hyperlink r:id="rId1478" ref="BO192"/>
    <hyperlink r:id="rId1479" ref="BP192"/>
    <hyperlink r:id="rId1480" ref="P193"/>
    <hyperlink r:id="rId1481" ref="BJ193"/>
    <hyperlink r:id="rId1482" ref="BK193"/>
    <hyperlink r:id="rId1483" ref="BL193"/>
    <hyperlink r:id="rId1484" ref="BM193"/>
    <hyperlink r:id="rId1485" ref="BN193"/>
    <hyperlink r:id="rId1486" ref="BO193"/>
    <hyperlink r:id="rId1487" ref="BP193"/>
    <hyperlink r:id="rId1488" ref="P194"/>
    <hyperlink r:id="rId1489" ref="BJ194"/>
    <hyperlink r:id="rId1490" ref="BK194"/>
    <hyperlink r:id="rId1491" ref="BL194"/>
    <hyperlink r:id="rId1492" ref="BM194"/>
    <hyperlink r:id="rId1493" ref="BN194"/>
    <hyperlink r:id="rId1494" ref="BO194"/>
    <hyperlink r:id="rId1495" ref="BP194"/>
    <hyperlink r:id="rId1496" ref="P195"/>
    <hyperlink r:id="rId1497" ref="BJ195"/>
    <hyperlink r:id="rId1498" ref="BK195"/>
    <hyperlink r:id="rId1499" ref="BL195"/>
    <hyperlink r:id="rId1500" ref="BN195"/>
    <hyperlink r:id="rId1501" ref="BO195"/>
    <hyperlink r:id="rId1502" ref="BP195"/>
    <hyperlink r:id="rId1503" ref="P196"/>
    <hyperlink r:id="rId1504" ref="BJ196"/>
    <hyperlink r:id="rId1505" ref="BK196"/>
    <hyperlink r:id="rId1506" ref="BL196"/>
    <hyperlink r:id="rId1507" ref="BM196"/>
    <hyperlink r:id="rId1508" ref="BN196"/>
    <hyperlink r:id="rId1509" ref="BO196"/>
    <hyperlink r:id="rId1510" ref="BP196"/>
    <hyperlink r:id="rId1511" ref="P197"/>
    <hyperlink r:id="rId1512" ref="BJ197"/>
    <hyperlink r:id="rId1513" ref="BK197"/>
    <hyperlink r:id="rId1514" ref="BL197"/>
    <hyperlink r:id="rId1515" ref="BM197"/>
    <hyperlink r:id="rId1516" ref="BN197"/>
    <hyperlink r:id="rId1517" ref="BO197"/>
    <hyperlink r:id="rId1518" ref="BU197"/>
    <hyperlink r:id="rId1519" ref="P198"/>
    <hyperlink r:id="rId1520" ref="BJ198"/>
    <hyperlink r:id="rId1521" ref="BK198"/>
    <hyperlink r:id="rId1522" ref="BL198"/>
    <hyperlink r:id="rId1523" ref="BM198"/>
    <hyperlink r:id="rId1524" ref="BN198"/>
    <hyperlink r:id="rId1525" ref="BO198"/>
    <hyperlink r:id="rId1526" ref="BP198"/>
    <hyperlink r:id="rId1527" ref="P199"/>
    <hyperlink r:id="rId1528" ref="BJ199"/>
    <hyperlink r:id="rId1529" ref="BK199"/>
    <hyperlink r:id="rId1530" ref="BL199"/>
    <hyperlink r:id="rId1531" ref="BN199"/>
    <hyperlink r:id="rId1532" ref="BO199"/>
    <hyperlink r:id="rId1533" ref="P200"/>
    <hyperlink r:id="rId1534" ref="BJ200"/>
    <hyperlink r:id="rId1535" ref="BK200"/>
    <hyperlink r:id="rId1536" ref="BL200"/>
    <hyperlink r:id="rId1537" ref="BN200"/>
    <hyperlink r:id="rId1538" ref="BO200"/>
    <hyperlink r:id="rId1539" ref="BP200"/>
    <hyperlink r:id="rId1540" ref="P201"/>
    <hyperlink r:id="rId1541" ref="BK201"/>
    <hyperlink r:id="rId1542" ref="P202"/>
    <hyperlink r:id="rId1543" ref="BJ202"/>
    <hyperlink r:id="rId1544" ref="BK202"/>
    <hyperlink r:id="rId1545" ref="BL202"/>
    <hyperlink r:id="rId1546" ref="BM202"/>
    <hyperlink r:id="rId1547" ref="BN202"/>
    <hyperlink r:id="rId1548" ref="BO202"/>
    <hyperlink r:id="rId1549" ref="BP202"/>
    <hyperlink r:id="rId1550" ref="P203"/>
    <hyperlink r:id="rId1551" ref="BJ203"/>
    <hyperlink r:id="rId1552" ref="BK203"/>
    <hyperlink r:id="rId1553" ref="BL203"/>
    <hyperlink r:id="rId1554" ref="BM203"/>
    <hyperlink r:id="rId1555" ref="BN203"/>
    <hyperlink r:id="rId1556" ref="BO203"/>
    <hyperlink r:id="rId1557" ref="P204"/>
    <hyperlink r:id="rId1558" ref="BJ204"/>
    <hyperlink r:id="rId1559" ref="BK204"/>
    <hyperlink r:id="rId1560" ref="BL204"/>
    <hyperlink r:id="rId1561" ref="BM204"/>
    <hyperlink r:id="rId1562" ref="BN204"/>
    <hyperlink r:id="rId1563" ref="BO204"/>
    <hyperlink r:id="rId1564" ref="BP204"/>
    <hyperlink r:id="rId1565" ref="BU204"/>
    <hyperlink r:id="rId1566" ref="BV204"/>
    <hyperlink r:id="rId1567" ref="P205"/>
    <hyperlink r:id="rId1568" ref="BJ205"/>
    <hyperlink r:id="rId1569" ref="BK205"/>
    <hyperlink r:id="rId1570" ref="BL205"/>
    <hyperlink r:id="rId1571" ref="BM205"/>
    <hyperlink r:id="rId1572" ref="BN205"/>
    <hyperlink r:id="rId1573" ref="BO205"/>
    <hyperlink r:id="rId1574" ref="BP205"/>
    <hyperlink r:id="rId1575" ref="P206"/>
    <hyperlink r:id="rId1576" ref="BJ206"/>
    <hyperlink r:id="rId1577" ref="BK206"/>
    <hyperlink r:id="rId1578" ref="BL206"/>
    <hyperlink r:id="rId1579" ref="BM206"/>
    <hyperlink r:id="rId1580" ref="BN206"/>
    <hyperlink r:id="rId1581" ref="BO206"/>
    <hyperlink r:id="rId1582" ref="P207"/>
    <hyperlink r:id="rId1583" ref="BJ207"/>
    <hyperlink r:id="rId1584" ref="BK207"/>
    <hyperlink r:id="rId1585" ref="BL207"/>
    <hyperlink r:id="rId1586" ref="BM207"/>
    <hyperlink r:id="rId1587" ref="BN207"/>
    <hyperlink r:id="rId1588" ref="BO207"/>
    <hyperlink r:id="rId1589" ref="BP207"/>
    <hyperlink r:id="rId1590" ref="P208"/>
    <hyperlink r:id="rId1591" ref="BJ208"/>
    <hyperlink r:id="rId1592" ref="BK208"/>
    <hyperlink r:id="rId1593" ref="BL208"/>
    <hyperlink r:id="rId1594" ref="BM208"/>
    <hyperlink r:id="rId1595" ref="BN208"/>
    <hyperlink r:id="rId1596" ref="BO208"/>
    <hyperlink r:id="rId1597" ref="BP208"/>
    <hyperlink r:id="rId1598" ref="P209"/>
    <hyperlink r:id="rId1599" ref="BJ209"/>
    <hyperlink r:id="rId1600" ref="BK209"/>
    <hyperlink r:id="rId1601" ref="BL209"/>
    <hyperlink r:id="rId1602" ref="BM209"/>
    <hyperlink r:id="rId1603" ref="BN209"/>
    <hyperlink r:id="rId1604" ref="BO209"/>
    <hyperlink r:id="rId1605" ref="P210"/>
    <hyperlink r:id="rId1606" ref="BJ210"/>
    <hyperlink r:id="rId1607" ref="BK210"/>
    <hyperlink r:id="rId1608" ref="BL210"/>
    <hyperlink r:id="rId1609" ref="BM210"/>
    <hyperlink r:id="rId1610" ref="BN210"/>
    <hyperlink r:id="rId1611" ref="BO210"/>
    <hyperlink r:id="rId1612" ref="BP210"/>
    <hyperlink r:id="rId1613" ref="P211"/>
    <hyperlink r:id="rId1614" ref="BJ211"/>
    <hyperlink r:id="rId1615" ref="BK211"/>
    <hyperlink r:id="rId1616" ref="BL211"/>
    <hyperlink r:id="rId1617" ref="BM211"/>
    <hyperlink r:id="rId1618" ref="BN211"/>
    <hyperlink r:id="rId1619" ref="BO211"/>
    <hyperlink r:id="rId1620" ref="P212"/>
    <hyperlink r:id="rId1621" ref="BJ212"/>
    <hyperlink r:id="rId1622" ref="BK212"/>
    <hyperlink r:id="rId1623" ref="BL212"/>
    <hyperlink r:id="rId1624" ref="BM212"/>
    <hyperlink r:id="rId1625" ref="BN212"/>
    <hyperlink r:id="rId1626" ref="BO212"/>
    <hyperlink r:id="rId1627" ref="BP212"/>
    <hyperlink r:id="rId1628" ref="BT212"/>
    <hyperlink r:id="rId1629" ref="BV212"/>
    <hyperlink r:id="rId1630" ref="P213"/>
    <hyperlink r:id="rId1631" ref="BJ213"/>
    <hyperlink r:id="rId1632" ref="BK213"/>
    <hyperlink r:id="rId1633" ref="BO213"/>
    <hyperlink r:id="rId1634" ref="BP213"/>
    <hyperlink r:id="rId1635" ref="P214"/>
    <hyperlink r:id="rId1636" ref="BJ214"/>
    <hyperlink r:id="rId1637" ref="BK214"/>
    <hyperlink r:id="rId1638" ref="BN214"/>
    <hyperlink r:id="rId1639" ref="BO214"/>
    <hyperlink r:id="rId1640" ref="BR214"/>
    <hyperlink r:id="rId1641" ref="BT214"/>
    <hyperlink r:id="rId1642" ref="BU214"/>
    <hyperlink r:id="rId1643" ref="BV214"/>
    <hyperlink r:id="rId1644" ref="P215"/>
    <hyperlink r:id="rId1645" ref="BJ215"/>
    <hyperlink r:id="rId1646" ref="BK215"/>
    <hyperlink r:id="rId1647" ref="BL215"/>
    <hyperlink r:id="rId1648" ref="BM215"/>
    <hyperlink r:id="rId1649" ref="BO215"/>
    <hyperlink r:id="rId1650" ref="BT215"/>
    <hyperlink r:id="rId1651" ref="BU215"/>
    <hyperlink r:id="rId1652" ref="BV215"/>
    <hyperlink r:id="rId1653" ref="P216"/>
    <hyperlink r:id="rId1654" ref="BJ216"/>
    <hyperlink r:id="rId1655" ref="BK216"/>
    <hyperlink r:id="rId1656" ref="BN216"/>
    <hyperlink r:id="rId1657" ref="BO216"/>
    <hyperlink r:id="rId1658" ref="BP216"/>
    <hyperlink r:id="rId1659" ref="P217"/>
    <hyperlink r:id="rId1660" ref="BJ217"/>
    <hyperlink r:id="rId1661" ref="BK217"/>
    <hyperlink r:id="rId1662" ref="BL217"/>
    <hyperlink r:id="rId1663" ref="BM217"/>
    <hyperlink r:id="rId1664" ref="BO217"/>
    <hyperlink r:id="rId1665" ref="BS217"/>
    <hyperlink r:id="rId1666" ref="BU217"/>
    <hyperlink r:id="rId1667" ref="BV217"/>
    <hyperlink r:id="rId1668" ref="P218"/>
    <hyperlink r:id="rId1669" ref="BJ218"/>
    <hyperlink r:id="rId1670" ref="BK218"/>
    <hyperlink r:id="rId1671" ref="BM218"/>
    <hyperlink r:id="rId1672" ref="BN218"/>
    <hyperlink r:id="rId1673" ref="BO218"/>
    <hyperlink r:id="rId1674" ref="P219"/>
    <hyperlink r:id="rId1675" ref="BJ219"/>
    <hyperlink r:id="rId1676" ref="BK219"/>
    <hyperlink r:id="rId1677" ref="BO219"/>
    <hyperlink r:id="rId1678" ref="BT219"/>
    <hyperlink r:id="rId1679" ref="P220"/>
    <hyperlink r:id="rId1680" ref="BJ220"/>
    <hyperlink r:id="rId1681" ref="BK220"/>
    <hyperlink r:id="rId1682" ref="BL220"/>
    <hyperlink r:id="rId1683" ref="BM220"/>
    <hyperlink r:id="rId1684" ref="BN220"/>
    <hyperlink r:id="rId1685" ref="BO220"/>
    <hyperlink r:id="rId1686" ref="BP220"/>
    <hyperlink r:id="rId1687" ref="P221"/>
    <hyperlink r:id="rId1688" ref="BJ221"/>
    <hyperlink r:id="rId1689" ref="BK221"/>
    <hyperlink r:id="rId1690" ref="BL221"/>
    <hyperlink r:id="rId1691" ref="BM221"/>
    <hyperlink r:id="rId1692" ref="BO221"/>
    <hyperlink r:id="rId1693" ref="BP221"/>
    <hyperlink r:id="rId1694" ref="P222"/>
    <hyperlink r:id="rId1695" ref="BJ222"/>
    <hyperlink r:id="rId1696" ref="BK222"/>
    <hyperlink r:id="rId1697" ref="BL222"/>
    <hyperlink r:id="rId1698" ref="BM222"/>
    <hyperlink r:id="rId1699" ref="BN222"/>
    <hyperlink r:id="rId1700" ref="BO222"/>
    <hyperlink r:id="rId1701" ref="P223"/>
    <hyperlink r:id="rId1702" ref="BJ223"/>
    <hyperlink r:id="rId1703" ref="BK223"/>
    <hyperlink r:id="rId1704" ref="BL223"/>
    <hyperlink r:id="rId1705" ref="BM223"/>
    <hyperlink r:id="rId1706" ref="BN223"/>
    <hyperlink r:id="rId1707" ref="BO223"/>
    <hyperlink r:id="rId1708" ref="BP223"/>
    <hyperlink r:id="rId1709" ref="P224"/>
    <hyperlink r:id="rId1710" ref="BJ224"/>
    <hyperlink r:id="rId1711" ref="BK224"/>
    <hyperlink r:id="rId1712" ref="BO224"/>
    <hyperlink r:id="rId1713" ref="BT224"/>
    <hyperlink r:id="rId1714" ref="P225"/>
    <hyperlink r:id="rId1715" ref="BJ225"/>
    <hyperlink r:id="rId1716" ref="BK225"/>
    <hyperlink r:id="rId1717" ref="BO225"/>
    <hyperlink r:id="rId1718" ref="P226"/>
    <hyperlink r:id="rId1719" ref="BJ226"/>
    <hyperlink r:id="rId1720" ref="BK226"/>
    <hyperlink r:id="rId1721" ref="BN226"/>
    <hyperlink r:id="rId1722" ref="BO226"/>
    <hyperlink r:id="rId1723" ref="BP226"/>
    <hyperlink r:id="rId1724" ref="P227"/>
    <hyperlink r:id="rId1725" ref="BJ227"/>
    <hyperlink r:id="rId1726" ref="BK227"/>
    <hyperlink r:id="rId1727" ref="BL227"/>
    <hyperlink r:id="rId1728" ref="BM227"/>
    <hyperlink r:id="rId1729" ref="BO227"/>
    <hyperlink r:id="rId1730" ref="BP227"/>
    <hyperlink r:id="rId1731" ref="P228"/>
    <hyperlink r:id="rId1732" ref="BJ228"/>
    <hyperlink r:id="rId1733" ref="BK228"/>
    <hyperlink r:id="rId1734" ref="BL228"/>
    <hyperlink r:id="rId1735" ref="BM228"/>
    <hyperlink r:id="rId1736" ref="BN228"/>
    <hyperlink r:id="rId1737" ref="BO228"/>
    <hyperlink r:id="rId1738" ref="BP228"/>
    <hyperlink r:id="rId1739" ref="BV228"/>
    <hyperlink r:id="rId1740" ref="P229"/>
    <hyperlink r:id="rId1741" ref="BJ229"/>
    <hyperlink r:id="rId1742" ref="BK229"/>
    <hyperlink r:id="rId1743" ref="BM229"/>
    <hyperlink r:id="rId1744" ref="BN229"/>
    <hyperlink r:id="rId1745" ref="BO229"/>
    <hyperlink r:id="rId1746" ref="BP229"/>
    <hyperlink r:id="rId1747" ref="BT229"/>
    <hyperlink r:id="rId1748" ref="P230"/>
    <hyperlink r:id="rId1749" ref="BJ230"/>
    <hyperlink r:id="rId1750" ref="BK230"/>
    <hyperlink r:id="rId1751" ref="BM230"/>
    <hyperlink r:id="rId1752" ref="BN230"/>
    <hyperlink r:id="rId1753" ref="BO230"/>
    <hyperlink r:id="rId1754" ref="BP230"/>
    <hyperlink r:id="rId1755" ref="P231"/>
    <hyperlink r:id="rId1756" ref="BJ231"/>
    <hyperlink r:id="rId1757" ref="BK231"/>
    <hyperlink r:id="rId1758" ref="BL231"/>
    <hyperlink r:id="rId1759" ref="BM231"/>
    <hyperlink r:id="rId1760" ref="BO231"/>
    <hyperlink r:id="rId1761" ref="BT231"/>
    <hyperlink r:id="rId1762" ref="P232"/>
    <hyperlink r:id="rId1763" ref="BJ232"/>
    <hyperlink r:id="rId1764" ref="BK232"/>
    <hyperlink r:id="rId1765" ref="BL232"/>
    <hyperlink r:id="rId1766" ref="BM232"/>
    <hyperlink r:id="rId1767" ref="BN232"/>
    <hyperlink r:id="rId1768" ref="BO232"/>
    <hyperlink r:id="rId1769" ref="P233"/>
    <hyperlink r:id="rId1770" ref="BJ233"/>
    <hyperlink r:id="rId1771" ref="BK233"/>
    <hyperlink r:id="rId1772" ref="BL233"/>
    <hyperlink r:id="rId1773" ref="BM233"/>
    <hyperlink r:id="rId1774" ref="BN233"/>
    <hyperlink r:id="rId1775" ref="BO233"/>
    <hyperlink r:id="rId1776" ref="BP233"/>
    <hyperlink r:id="rId1777" ref="BU233"/>
    <hyperlink r:id="rId1778" ref="BV233"/>
    <hyperlink r:id="rId1779" ref="P234"/>
    <hyperlink r:id="rId1780" ref="BJ234"/>
    <hyperlink r:id="rId1781" ref="BK234"/>
    <hyperlink r:id="rId1782" ref="BL234"/>
    <hyperlink r:id="rId1783" ref="BM234"/>
    <hyperlink r:id="rId1784" ref="BN234"/>
    <hyperlink r:id="rId1785" ref="BO234"/>
    <hyperlink r:id="rId1786" ref="BP234"/>
    <hyperlink r:id="rId1787" ref="BT234"/>
    <hyperlink r:id="rId1788" ref="P235"/>
    <hyperlink r:id="rId1789" ref="BJ235"/>
    <hyperlink r:id="rId1790" ref="BK235"/>
    <hyperlink r:id="rId1791" ref="BL235"/>
    <hyperlink r:id="rId1792" ref="BM235"/>
    <hyperlink r:id="rId1793" ref="BN235"/>
    <hyperlink r:id="rId1794" ref="BO235"/>
    <hyperlink r:id="rId1795" ref="BP235"/>
    <hyperlink r:id="rId1796" ref="BT235"/>
    <hyperlink r:id="rId1797" ref="BU235"/>
    <hyperlink r:id="rId1798" ref="BV235"/>
    <hyperlink r:id="rId1799" ref="P236"/>
    <hyperlink r:id="rId1800" ref="BJ236"/>
    <hyperlink r:id="rId1801" ref="BK236"/>
    <hyperlink r:id="rId1802" ref="BO236"/>
    <hyperlink r:id="rId1803" ref="BP236"/>
    <hyperlink r:id="rId1804" ref="BR236"/>
    <hyperlink r:id="rId1805" ref="BS236"/>
    <hyperlink r:id="rId1806" ref="BT236"/>
    <hyperlink r:id="rId1807" ref="BU236"/>
    <hyperlink r:id="rId1808" ref="BV236"/>
    <hyperlink r:id="rId1809" ref="P237"/>
    <hyperlink r:id="rId1810" ref="BJ237"/>
    <hyperlink r:id="rId1811" ref="BK237"/>
    <hyperlink r:id="rId1812" ref="BL237"/>
    <hyperlink r:id="rId1813" ref="BM237"/>
    <hyperlink r:id="rId1814" ref="BN237"/>
    <hyperlink r:id="rId1815" ref="BO237"/>
    <hyperlink r:id="rId1816" ref="BP237"/>
    <hyperlink r:id="rId1817" ref="BT237"/>
    <hyperlink r:id="rId1818" ref="P238"/>
    <hyperlink r:id="rId1819" ref="BJ238"/>
    <hyperlink r:id="rId1820" ref="BK238"/>
    <hyperlink r:id="rId1821" ref="BL238"/>
    <hyperlink r:id="rId1822" ref="BM238"/>
    <hyperlink r:id="rId1823" ref="BN238"/>
    <hyperlink r:id="rId1824" ref="BO238"/>
    <hyperlink r:id="rId1825" ref="BP238"/>
    <hyperlink r:id="rId1826" ref="BR238"/>
    <hyperlink r:id="rId1827" ref="BS238"/>
    <hyperlink r:id="rId1828" ref="BT238"/>
    <hyperlink r:id="rId1829" ref="BU238"/>
    <hyperlink r:id="rId1830" ref="BV238"/>
    <hyperlink r:id="rId1831" ref="P239"/>
    <hyperlink r:id="rId1832" ref="BJ239"/>
    <hyperlink r:id="rId1833" ref="BK239"/>
    <hyperlink r:id="rId1834" ref="BL239"/>
    <hyperlink r:id="rId1835" ref="BM239"/>
    <hyperlink r:id="rId1836" ref="BN239"/>
    <hyperlink r:id="rId1837" ref="BO239"/>
    <hyperlink r:id="rId1838" ref="BP239"/>
    <hyperlink r:id="rId1839" ref="BU239"/>
    <hyperlink r:id="rId1840" ref="BV239"/>
    <hyperlink r:id="rId1841" ref="P240"/>
    <hyperlink r:id="rId1842" ref="BJ240"/>
    <hyperlink r:id="rId1843" ref="BK240"/>
    <hyperlink r:id="rId1844" ref="BL240"/>
    <hyperlink r:id="rId1845" ref="BM240"/>
    <hyperlink r:id="rId1846" ref="BN240"/>
    <hyperlink r:id="rId1847" ref="BO240"/>
    <hyperlink r:id="rId1848" ref="BP240"/>
    <hyperlink r:id="rId1849" ref="P241"/>
    <hyperlink r:id="rId1850" ref="BJ241"/>
    <hyperlink r:id="rId1851" ref="BK241"/>
    <hyperlink r:id="rId1852" ref="BM241"/>
    <hyperlink r:id="rId1853" ref="BN241"/>
    <hyperlink r:id="rId1854" ref="BO241"/>
    <hyperlink r:id="rId1855" ref="BS241"/>
    <hyperlink r:id="rId1856" ref="BT241"/>
    <hyperlink r:id="rId1857" ref="BV241"/>
    <hyperlink r:id="rId1858" ref="P242"/>
    <hyperlink r:id="rId1859" ref="BJ242"/>
    <hyperlink r:id="rId1860" ref="BK242"/>
    <hyperlink r:id="rId1861" ref="BL242"/>
    <hyperlink r:id="rId1862" ref="BM242"/>
    <hyperlink r:id="rId1863" ref="BN242"/>
    <hyperlink r:id="rId1864" ref="BO242"/>
    <hyperlink r:id="rId1865" ref="BP242"/>
    <hyperlink r:id="rId1866" ref="BU242"/>
    <hyperlink r:id="rId1867" ref="BV242"/>
    <hyperlink r:id="rId1868" ref="P243"/>
    <hyperlink r:id="rId1869" ref="BJ243"/>
    <hyperlink r:id="rId1870" ref="BK243"/>
    <hyperlink r:id="rId1871" ref="BN243"/>
    <hyperlink r:id="rId1872" ref="BO243"/>
    <hyperlink r:id="rId1873" ref="P244"/>
    <hyperlink r:id="rId1874" ref="BJ244"/>
    <hyperlink r:id="rId1875" ref="BK244"/>
    <hyperlink r:id="rId1876" ref="BL244"/>
    <hyperlink r:id="rId1877" ref="BM244"/>
    <hyperlink r:id="rId1878" ref="BN244"/>
    <hyperlink r:id="rId1879" ref="BO244"/>
    <hyperlink r:id="rId1880" ref="BP244"/>
    <hyperlink r:id="rId1881" ref="BT244"/>
    <hyperlink r:id="rId1882" ref="BU244"/>
    <hyperlink r:id="rId1883" ref="BV244"/>
    <hyperlink r:id="rId1884" ref="P245"/>
    <hyperlink r:id="rId1885" ref="BJ245"/>
    <hyperlink r:id="rId1886" ref="BK245"/>
    <hyperlink r:id="rId1887" ref="BL245"/>
    <hyperlink r:id="rId1888" ref="BM245"/>
    <hyperlink r:id="rId1889" ref="BN245"/>
    <hyperlink r:id="rId1890" ref="BO245"/>
    <hyperlink r:id="rId1891" ref="P246"/>
    <hyperlink r:id="rId1892" ref="BJ246"/>
    <hyperlink r:id="rId1893" ref="BK246"/>
    <hyperlink r:id="rId1894" ref="BL246"/>
    <hyperlink r:id="rId1895" ref="BM246"/>
    <hyperlink r:id="rId1896" ref="BN246"/>
    <hyperlink r:id="rId1897" ref="BO246"/>
    <hyperlink r:id="rId1898" ref="BP246"/>
    <hyperlink r:id="rId1899" ref="P247"/>
    <hyperlink r:id="rId1900" ref="BJ247"/>
    <hyperlink r:id="rId1901" ref="BK247"/>
    <hyperlink r:id="rId1902" ref="BN247"/>
    <hyperlink r:id="rId1903" ref="BO247"/>
    <hyperlink r:id="rId1904" ref="P248"/>
    <hyperlink r:id="rId1905" ref="BJ248"/>
    <hyperlink r:id="rId1906" ref="BK248"/>
    <hyperlink r:id="rId1907" ref="BL248"/>
    <hyperlink r:id="rId1908" ref="BM248"/>
    <hyperlink r:id="rId1909" ref="BN248"/>
    <hyperlink r:id="rId1910" ref="BO248"/>
    <hyperlink r:id="rId1911" ref="BP248"/>
    <hyperlink r:id="rId1912" ref="P249"/>
    <hyperlink r:id="rId1913" ref="BJ249"/>
    <hyperlink r:id="rId1914" ref="BK249"/>
    <hyperlink r:id="rId1915" ref="BL249"/>
    <hyperlink r:id="rId1916" ref="BM249"/>
    <hyperlink r:id="rId1917" ref="BO249"/>
    <hyperlink r:id="rId1918" ref="P250"/>
    <hyperlink r:id="rId1919" ref="BJ250"/>
    <hyperlink r:id="rId1920" ref="BK250"/>
    <hyperlink r:id="rId1921" ref="BL250"/>
    <hyperlink r:id="rId1922" ref="BM250"/>
    <hyperlink r:id="rId1923" ref="BO250"/>
    <hyperlink r:id="rId1924" ref="BT250"/>
    <hyperlink r:id="rId1925" ref="P251"/>
    <hyperlink r:id="rId1926" ref="BJ251"/>
    <hyperlink r:id="rId1927" ref="BK251"/>
    <hyperlink r:id="rId1928" ref="BL251"/>
    <hyperlink r:id="rId1929" ref="BM251"/>
    <hyperlink r:id="rId1930" ref="BN251"/>
    <hyperlink r:id="rId1931" ref="BO251"/>
    <hyperlink r:id="rId1932" ref="BP251"/>
    <hyperlink r:id="rId1933" ref="P252"/>
    <hyperlink r:id="rId1934" ref="BJ252"/>
    <hyperlink r:id="rId1935" ref="BK252"/>
    <hyperlink r:id="rId1936" ref="BL252"/>
    <hyperlink r:id="rId1937" ref="BM252"/>
    <hyperlink r:id="rId1938" ref="BN252"/>
    <hyperlink r:id="rId1939" ref="BO252"/>
    <hyperlink r:id="rId1940" ref="BP252"/>
    <hyperlink r:id="rId1941" ref="BU252"/>
    <hyperlink r:id="rId1942" ref="BV252"/>
    <hyperlink r:id="rId1943" ref="P253"/>
    <hyperlink r:id="rId1944" ref="BJ253"/>
    <hyperlink r:id="rId1945" ref="BK253"/>
    <hyperlink r:id="rId1946" ref="BL253"/>
    <hyperlink r:id="rId1947" ref="BM253"/>
    <hyperlink r:id="rId1948" ref="BN253"/>
    <hyperlink r:id="rId1949" ref="BO253"/>
    <hyperlink r:id="rId1950" ref="BP253"/>
    <hyperlink r:id="rId1951" ref="P254"/>
    <hyperlink r:id="rId1952" ref="BJ254"/>
    <hyperlink r:id="rId1953" ref="BK254"/>
    <hyperlink r:id="rId1954" ref="BL254"/>
    <hyperlink r:id="rId1955" ref="BM254"/>
    <hyperlink r:id="rId1956" ref="BN254"/>
    <hyperlink r:id="rId1957" ref="BO254"/>
    <hyperlink r:id="rId1958" ref="BP254"/>
    <hyperlink r:id="rId1959" ref="P255"/>
    <hyperlink r:id="rId1960" ref="BJ255"/>
    <hyperlink r:id="rId1961" ref="BK255"/>
    <hyperlink r:id="rId1962" ref="BL255"/>
    <hyperlink r:id="rId1963" ref="BM255"/>
    <hyperlink r:id="rId1964" ref="BN255"/>
    <hyperlink r:id="rId1965" ref="BO255"/>
    <hyperlink r:id="rId1966" ref="BP255"/>
    <hyperlink r:id="rId1967" ref="BT255"/>
    <hyperlink r:id="rId1968" ref="AQ256"/>
    <hyperlink r:id="rId1969" ref="BJ256"/>
    <hyperlink r:id="rId1970" ref="BK256"/>
    <hyperlink r:id="rId1971" ref="BL256"/>
    <hyperlink r:id="rId1972" ref="BM256"/>
    <hyperlink r:id="rId1973" ref="BN256"/>
    <hyperlink r:id="rId1974" ref="BO256"/>
    <hyperlink r:id="rId1975" ref="P257"/>
    <hyperlink r:id="rId1976" ref="BJ257"/>
    <hyperlink r:id="rId1977" ref="BK257"/>
    <hyperlink r:id="rId1978" ref="BL257"/>
    <hyperlink r:id="rId1979" ref="BM257"/>
    <hyperlink r:id="rId1980" ref="BN257"/>
    <hyperlink r:id="rId1981" ref="BO257"/>
    <hyperlink r:id="rId1982" ref="BP257"/>
    <hyperlink r:id="rId1983" ref="BT257"/>
    <hyperlink r:id="rId1984" ref="BU257"/>
    <hyperlink r:id="rId1985" ref="P258"/>
    <hyperlink r:id="rId1986" ref="BJ258"/>
    <hyperlink r:id="rId1987" ref="BK258"/>
    <hyperlink r:id="rId1988" ref="BL258"/>
    <hyperlink r:id="rId1989" ref="BM258"/>
    <hyperlink r:id="rId1990" ref="BN258"/>
    <hyperlink r:id="rId1991" ref="BO258"/>
    <hyperlink r:id="rId1992" ref="P259"/>
    <hyperlink r:id="rId1993" ref="BJ259"/>
    <hyperlink r:id="rId1994" ref="BK259"/>
    <hyperlink r:id="rId1995" ref="BL259"/>
    <hyperlink r:id="rId1996" ref="BM259"/>
    <hyperlink r:id="rId1997" ref="BN259"/>
    <hyperlink r:id="rId1998" ref="BO259"/>
    <hyperlink r:id="rId1999" ref="P260"/>
    <hyperlink r:id="rId2000" ref="BJ260"/>
    <hyperlink r:id="rId2001" ref="BK260"/>
    <hyperlink r:id="rId2002" ref="BL260"/>
    <hyperlink r:id="rId2003" ref="BN260"/>
    <hyperlink r:id="rId2004" ref="BO260"/>
    <hyperlink r:id="rId2005" ref="BP260"/>
    <hyperlink r:id="rId2006" ref="BT260"/>
    <hyperlink r:id="rId2007" ref="BU260"/>
    <hyperlink r:id="rId2008" ref="P261"/>
    <hyperlink r:id="rId2009" ref="BJ261"/>
    <hyperlink r:id="rId2010" ref="BK261"/>
    <hyperlink r:id="rId2011" ref="BO261"/>
    <hyperlink r:id="rId2012" ref="BP261"/>
    <hyperlink r:id="rId2013" ref="P262"/>
    <hyperlink r:id="rId2014" ref="BJ262"/>
    <hyperlink r:id="rId2015" ref="BK262"/>
    <hyperlink r:id="rId2016" ref="BL262"/>
    <hyperlink r:id="rId2017" ref="BM262"/>
    <hyperlink r:id="rId2018" ref="BN262"/>
    <hyperlink r:id="rId2019" ref="BO262"/>
    <hyperlink r:id="rId2020" ref="BS262"/>
    <hyperlink r:id="rId2021" ref="BT262"/>
    <hyperlink r:id="rId2022" ref="BU262"/>
    <hyperlink r:id="rId2023" ref="BV262"/>
    <hyperlink r:id="rId2024" ref="P263"/>
    <hyperlink r:id="rId2025" ref="BJ263"/>
    <hyperlink r:id="rId2026" ref="BK263"/>
    <hyperlink r:id="rId2027" ref="BL263"/>
    <hyperlink r:id="rId2028" ref="BM263"/>
    <hyperlink r:id="rId2029" ref="BN263"/>
    <hyperlink r:id="rId2030" ref="BO263"/>
    <hyperlink r:id="rId2031" ref="BP263"/>
    <hyperlink r:id="rId2032" ref="BR263"/>
    <hyperlink r:id="rId2033" ref="BS263"/>
    <hyperlink r:id="rId2034" ref="BT263"/>
    <hyperlink r:id="rId2035" ref="BU263"/>
    <hyperlink r:id="rId2036" ref="BV263"/>
    <hyperlink r:id="rId2037" ref="P264"/>
    <hyperlink r:id="rId2038" ref="BJ264"/>
    <hyperlink r:id="rId2039" ref="BK264"/>
    <hyperlink r:id="rId2040" ref="BL264"/>
    <hyperlink r:id="rId2041" ref="BM264"/>
    <hyperlink r:id="rId2042" ref="BN264"/>
    <hyperlink r:id="rId2043" ref="BO264"/>
    <hyperlink r:id="rId2044" ref="BP264"/>
    <hyperlink r:id="rId2045" ref="P265"/>
    <hyperlink r:id="rId2046" ref="BJ265"/>
    <hyperlink r:id="rId2047" ref="BK265"/>
    <hyperlink r:id="rId2048" ref="BN265"/>
    <hyperlink r:id="rId2049" ref="BO265"/>
    <hyperlink r:id="rId2050" ref="BP265"/>
    <hyperlink r:id="rId2051" ref="P266"/>
    <hyperlink r:id="rId2052" ref="BJ266"/>
    <hyperlink r:id="rId2053" ref="BK266"/>
    <hyperlink r:id="rId2054" ref="BO266"/>
    <hyperlink r:id="rId2055" ref="BP266"/>
    <hyperlink r:id="rId2056" ref="P267"/>
    <hyperlink r:id="rId2057" ref="BJ267"/>
    <hyperlink r:id="rId2058" ref="BK267"/>
    <hyperlink r:id="rId2059" ref="BL267"/>
    <hyperlink r:id="rId2060" ref="BO267"/>
    <hyperlink r:id="rId2061" ref="BT267"/>
    <hyperlink r:id="rId2062" ref="BU267"/>
    <hyperlink r:id="rId2063" ref="BV267"/>
    <hyperlink r:id="rId2064" ref="P268"/>
    <hyperlink r:id="rId2065" ref="BJ268"/>
    <hyperlink r:id="rId2066" ref="BK268"/>
    <hyperlink r:id="rId2067" ref="BL268"/>
    <hyperlink r:id="rId2068" ref="BM268"/>
    <hyperlink r:id="rId2069" ref="BN268"/>
    <hyperlink r:id="rId2070" ref="BO268"/>
    <hyperlink r:id="rId2071" ref="BS268"/>
    <hyperlink r:id="rId2072" ref="BT268"/>
    <hyperlink r:id="rId2073" ref="BU268"/>
    <hyperlink r:id="rId2074" ref="BV268"/>
    <hyperlink r:id="rId2075" ref="P269"/>
    <hyperlink r:id="rId2076" ref="BJ269"/>
    <hyperlink r:id="rId2077" ref="BK269"/>
    <hyperlink r:id="rId2078" ref="BN269"/>
    <hyperlink r:id="rId2079" ref="BO269"/>
    <hyperlink r:id="rId2080" ref="BP269"/>
    <hyperlink r:id="rId2081" ref="BS269"/>
    <hyperlink r:id="rId2082" ref="P270"/>
    <hyperlink r:id="rId2083" ref="BJ270"/>
    <hyperlink r:id="rId2084" ref="BK270"/>
    <hyperlink r:id="rId2085" ref="BL270"/>
    <hyperlink r:id="rId2086" ref="BM270"/>
    <hyperlink r:id="rId2087" ref="BN270"/>
    <hyperlink r:id="rId2088" ref="BO270"/>
    <hyperlink r:id="rId2089" ref="BT270"/>
    <hyperlink r:id="rId2090" ref="P271"/>
    <hyperlink r:id="rId2091" ref="BJ271"/>
    <hyperlink r:id="rId2092" ref="BK271"/>
    <hyperlink r:id="rId2093" ref="BL271"/>
    <hyperlink r:id="rId2094" ref="BM271"/>
    <hyperlink r:id="rId2095" ref="BN271"/>
    <hyperlink r:id="rId2096" ref="BO271"/>
    <hyperlink r:id="rId2097" ref="P272"/>
    <hyperlink r:id="rId2098" ref="BJ272"/>
    <hyperlink r:id="rId2099" ref="BK272"/>
    <hyperlink r:id="rId2100" ref="BL272"/>
    <hyperlink r:id="rId2101" ref="BM272"/>
    <hyperlink r:id="rId2102" ref="BN272"/>
    <hyperlink r:id="rId2103" ref="BO272"/>
    <hyperlink r:id="rId2104" ref="BP272"/>
    <hyperlink r:id="rId2105" ref="P273"/>
    <hyperlink r:id="rId2106" ref="BJ273"/>
    <hyperlink r:id="rId2107" ref="BK273"/>
    <hyperlink r:id="rId2108" ref="BL273"/>
    <hyperlink r:id="rId2109" ref="BM273"/>
    <hyperlink r:id="rId2110" ref="BN273"/>
    <hyperlink r:id="rId2111" ref="BO273"/>
    <hyperlink r:id="rId2112" ref="BP273"/>
    <hyperlink r:id="rId2113" ref="BR273"/>
    <hyperlink r:id="rId2114" ref="BT273"/>
    <hyperlink r:id="rId2115" ref="BU273"/>
    <hyperlink r:id="rId2116" ref="BV273"/>
    <hyperlink r:id="rId2117" ref="P274"/>
    <hyperlink r:id="rId2118" ref="BJ274"/>
    <hyperlink r:id="rId2119" ref="BK274"/>
    <hyperlink r:id="rId2120" ref="BN274"/>
    <hyperlink r:id="rId2121" ref="BO274"/>
    <hyperlink r:id="rId2122" ref="BP274"/>
    <hyperlink r:id="rId2123" ref="P275"/>
    <hyperlink r:id="rId2124" ref="BJ275"/>
    <hyperlink r:id="rId2125" ref="BK275"/>
    <hyperlink r:id="rId2126" ref="BN275"/>
    <hyperlink r:id="rId2127" ref="BO275"/>
    <hyperlink r:id="rId2128" ref="BU275"/>
    <hyperlink r:id="rId2129" ref="BV275"/>
    <hyperlink r:id="rId2130" ref="P276"/>
    <hyperlink r:id="rId2131" ref="BJ276"/>
    <hyperlink r:id="rId2132" ref="BK276"/>
    <hyperlink r:id="rId2133" ref="BM276"/>
    <hyperlink r:id="rId2134" ref="BO276"/>
    <hyperlink r:id="rId2135" ref="P277"/>
    <hyperlink r:id="rId2136" ref="BJ277"/>
    <hyperlink r:id="rId2137" ref="BK277"/>
    <hyperlink r:id="rId2138" ref="BL277"/>
    <hyperlink r:id="rId2139" ref="BM277"/>
    <hyperlink r:id="rId2140" ref="BN277"/>
    <hyperlink r:id="rId2141" ref="BO277"/>
    <hyperlink r:id="rId2142" ref="BU277"/>
    <hyperlink r:id="rId2143" ref="BV277"/>
    <hyperlink r:id="rId2144" ref="P278"/>
    <hyperlink r:id="rId2145" ref="BJ278"/>
    <hyperlink r:id="rId2146" ref="BK278"/>
    <hyperlink r:id="rId2147" ref="BN278"/>
    <hyperlink r:id="rId2148" ref="BO278"/>
    <hyperlink r:id="rId2149" ref="BP278"/>
    <hyperlink r:id="rId2150" ref="P279"/>
    <hyperlink r:id="rId2151" ref="BJ279"/>
    <hyperlink r:id="rId2152" ref="BK279"/>
    <hyperlink r:id="rId2153" ref="BL279"/>
    <hyperlink r:id="rId2154" ref="BM279"/>
    <hyperlink r:id="rId2155" ref="BN279"/>
    <hyperlink r:id="rId2156" ref="BO279"/>
    <hyperlink r:id="rId2157" ref="BP279"/>
    <hyperlink r:id="rId2158" ref="BR279"/>
    <hyperlink r:id="rId2159" ref="BS279"/>
    <hyperlink r:id="rId2160" ref="BT279"/>
    <hyperlink r:id="rId2161" ref="BU279"/>
    <hyperlink r:id="rId2162" ref="BV279"/>
    <hyperlink r:id="rId2163" ref="P280"/>
    <hyperlink r:id="rId2164" ref="BJ280"/>
    <hyperlink r:id="rId2165" ref="BK280"/>
    <hyperlink r:id="rId2166" ref="BL280"/>
    <hyperlink r:id="rId2167" ref="BM280"/>
    <hyperlink r:id="rId2168" ref="BN280"/>
    <hyperlink r:id="rId2169" ref="BO280"/>
    <hyperlink r:id="rId2170" ref="BP280"/>
    <hyperlink r:id="rId2171" ref="P281"/>
    <hyperlink r:id="rId2172" ref="BJ281"/>
    <hyperlink r:id="rId2173" ref="BK281"/>
    <hyperlink r:id="rId2174" ref="BL281"/>
    <hyperlink r:id="rId2175" ref="BM281"/>
    <hyperlink r:id="rId2176" ref="BN281"/>
    <hyperlink r:id="rId2177" ref="BO281"/>
    <hyperlink r:id="rId2178" ref="BP281"/>
    <hyperlink r:id="rId2179" ref="BU281"/>
    <hyperlink r:id="rId2180" ref="BV281"/>
    <hyperlink r:id="rId2181" ref="P282"/>
    <hyperlink r:id="rId2182" ref="BJ282"/>
    <hyperlink r:id="rId2183" ref="BK282"/>
    <hyperlink r:id="rId2184" ref="BO282"/>
    <hyperlink r:id="rId2185" ref="BP282"/>
    <hyperlink r:id="rId2186" ref="P283"/>
    <hyperlink r:id="rId2187" ref="BJ283"/>
    <hyperlink r:id="rId2188" ref="BK283"/>
    <hyperlink r:id="rId2189" ref="BL283"/>
    <hyperlink r:id="rId2190" ref="BM283"/>
    <hyperlink r:id="rId2191" ref="BN283"/>
    <hyperlink r:id="rId2192" ref="BO283"/>
    <hyperlink r:id="rId2193" ref="BP283"/>
    <hyperlink r:id="rId2194" ref="P284"/>
    <hyperlink r:id="rId2195" ref="BJ284"/>
    <hyperlink r:id="rId2196" ref="BK284"/>
    <hyperlink r:id="rId2197" ref="BL284"/>
    <hyperlink r:id="rId2198" ref="BN284"/>
    <hyperlink r:id="rId2199" ref="BO284"/>
    <hyperlink r:id="rId2200" ref="BP284"/>
    <hyperlink r:id="rId2201" ref="BS284"/>
    <hyperlink r:id="rId2202" ref="BT284"/>
    <hyperlink r:id="rId2203" ref="BU284"/>
    <hyperlink r:id="rId2204" ref="BV284"/>
    <hyperlink r:id="rId2205" ref="P285"/>
    <hyperlink r:id="rId2206" ref="BJ285"/>
    <hyperlink r:id="rId2207" ref="BK285"/>
    <hyperlink r:id="rId2208" ref="BL285"/>
    <hyperlink r:id="rId2209" ref="BM285"/>
    <hyperlink r:id="rId2210" ref="BN285"/>
    <hyperlink r:id="rId2211" ref="BO285"/>
    <hyperlink r:id="rId2212" ref="BT285"/>
    <hyperlink r:id="rId2213" ref="P286"/>
    <hyperlink r:id="rId2214" ref="BJ286"/>
    <hyperlink r:id="rId2215" ref="BK286"/>
    <hyperlink r:id="rId2216" ref="BL286"/>
    <hyperlink r:id="rId2217" ref="BM286"/>
    <hyperlink r:id="rId2218" ref="BN286"/>
    <hyperlink r:id="rId2219" ref="BO286"/>
    <hyperlink r:id="rId2220" ref="BP286"/>
    <hyperlink r:id="rId2221" ref="P287"/>
    <hyperlink r:id="rId2222" ref="BJ287"/>
    <hyperlink r:id="rId2223" ref="BK287"/>
    <hyperlink r:id="rId2224" ref="BM287"/>
    <hyperlink r:id="rId2225" ref="BN287"/>
    <hyperlink r:id="rId2226" ref="BO287"/>
    <hyperlink r:id="rId2227" ref="P288"/>
    <hyperlink r:id="rId2228" ref="BJ288"/>
    <hyperlink r:id="rId2229" ref="BK288"/>
    <hyperlink r:id="rId2230" ref="BN288"/>
    <hyperlink r:id="rId2231" ref="BO288"/>
    <hyperlink r:id="rId2232" ref="BP288"/>
    <hyperlink r:id="rId2233" ref="BU288"/>
    <hyperlink r:id="rId2234" ref="BV288"/>
    <hyperlink r:id="rId2235" ref="P289"/>
    <hyperlink r:id="rId2236" ref="BJ289"/>
    <hyperlink r:id="rId2237" ref="BK289"/>
    <hyperlink r:id="rId2238" ref="BO289"/>
    <hyperlink r:id="rId2239" ref="BP289"/>
    <hyperlink r:id="rId2240" ref="P290"/>
    <hyperlink r:id="rId2241" ref="BJ290"/>
    <hyperlink r:id="rId2242" ref="BK290"/>
    <hyperlink r:id="rId2243" ref="BL290"/>
    <hyperlink r:id="rId2244" ref="BM290"/>
    <hyperlink r:id="rId2245" ref="BN290"/>
    <hyperlink r:id="rId2246" ref="BO290"/>
    <hyperlink r:id="rId2247" ref="BT290"/>
    <hyperlink r:id="rId2248" ref="P291"/>
    <hyperlink r:id="rId2249" ref="BJ291"/>
    <hyperlink r:id="rId2250" ref="BK291"/>
    <hyperlink r:id="rId2251" ref="BL291"/>
    <hyperlink r:id="rId2252" ref="BO291"/>
    <hyperlink r:id="rId2253" ref="BP291"/>
    <hyperlink r:id="rId2254" ref="BT291"/>
    <hyperlink r:id="rId2255" ref="P292"/>
    <hyperlink r:id="rId2256" ref="BJ292"/>
    <hyperlink r:id="rId2257" ref="BK292"/>
    <hyperlink r:id="rId2258" ref="BL292"/>
    <hyperlink r:id="rId2259" ref="BM292"/>
    <hyperlink r:id="rId2260" ref="BN292"/>
    <hyperlink r:id="rId2261" ref="BO292"/>
    <hyperlink r:id="rId2262" ref="BP292"/>
    <hyperlink r:id="rId2263" ref="P293"/>
    <hyperlink r:id="rId2264" ref="BJ293"/>
    <hyperlink r:id="rId2265" ref="BK293"/>
    <hyperlink r:id="rId2266" ref="BL293"/>
    <hyperlink r:id="rId2267" ref="BM293"/>
    <hyperlink r:id="rId2268" ref="BO293"/>
    <hyperlink r:id="rId2269" ref="BP293"/>
    <hyperlink r:id="rId2270" ref="BT293"/>
    <hyperlink r:id="rId2271" ref="P294"/>
    <hyperlink r:id="rId2272" ref="BJ294"/>
    <hyperlink r:id="rId2273" ref="BK294"/>
    <hyperlink r:id="rId2274" ref="BL294"/>
    <hyperlink r:id="rId2275" ref="BM294"/>
    <hyperlink r:id="rId2276" ref="BO294"/>
    <hyperlink r:id="rId2277" ref="BP294"/>
    <hyperlink r:id="rId2278" ref="P295"/>
    <hyperlink r:id="rId2279" ref="BJ295"/>
    <hyperlink r:id="rId2280" ref="BK295"/>
    <hyperlink r:id="rId2281" ref="BL295"/>
    <hyperlink r:id="rId2282" ref="BM295"/>
    <hyperlink r:id="rId2283" ref="BN295"/>
    <hyperlink r:id="rId2284" ref="BO295"/>
    <hyperlink r:id="rId2285" ref="BP295"/>
    <hyperlink r:id="rId2286" ref="BU295"/>
    <hyperlink r:id="rId2287" ref="BV295"/>
    <hyperlink r:id="rId2288" ref="P296"/>
    <hyperlink r:id="rId2289" ref="BJ296"/>
    <hyperlink r:id="rId2290" ref="BK296"/>
    <hyperlink r:id="rId2291" ref="BL296"/>
    <hyperlink r:id="rId2292" ref="BM296"/>
    <hyperlink r:id="rId2293" ref="BO296"/>
    <hyperlink r:id="rId2294" ref="BP296"/>
    <hyperlink r:id="rId2295" ref="BT296"/>
    <hyperlink r:id="rId2296" ref="P297"/>
    <hyperlink r:id="rId2297" ref="BJ297"/>
    <hyperlink r:id="rId2298" ref="BK297"/>
    <hyperlink r:id="rId2299" ref="BL297"/>
    <hyperlink r:id="rId2300" ref="BM297"/>
    <hyperlink r:id="rId2301" ref="BN297"/>
    <hyperlink r:id="rId2302" ref="BO297"/>
    <hyperlink r:id="rId2303" ref="P298"/>
    <hyperlink r:id="rId2304" ref="BJ298"/>
    <hyperlink r:id="rId2305" ref="BK298"/>
    <hyperlink r:id="rId2306" ref="BN298"/>
    <hyperlink r:id="rId2307" ref="BO298"/>
    <hyperlink r:id="rId2308" ref="BT298"/>
    <hyperlink r:id="rId2309" ref="P299"/>
    <hyperlink r:id="rId2310" ref="BJ299"/>
    <hyperlink r:id="rId2311" ref="BK299"/>
    <hyperlink r:id="rId2312" ref="BL299"/>
    <hyperlink r:id="rId2313" ref="BO299"/>
    <hyperlink r:id="rId2314" ref="BP299"/>
    <hyperlink r:id="rId2315" ref="BT299"/>
    <hyperlink r:id="rId2316" ref="P300"/>
    <hyperlink r:id="rId2317" ref="BJ300"/>
    <hyperlink r:id="rId2318" ref="BK300"/>
    <hyperlink r:id="rId2319" ref="BL300"/>
    <hyperlink r:id="rId2320" ref="BM300"/>
    <hyperlink r:id="rId2321" ref="BO300"/>
    <hyperlink r:id="rId2322" ref="BP300"/>
    <hyperlink r:id="rId2323" ref="P301"/>
    <hyperlink r:id="rId2324" ref="BJ301"/>
    <hyperlink r:id="rId2325" ref="BK301"/>
    <hyperlink r:id="rId2326" ref="BM301"/>
    <hyperlink r:id="rId2327" ref="BN301"/>
    <hyperlink r:id="rId2328" ref="BO301"/>
    <hyperlink r:id="rId2329" ref="BP301"/>
    <hyperlink r:id="rId2330" ref="P302"/>
    <hyperlink r:id="rId2331" ref="BJ302"/>
    <hyperlink r:id="rId2332" ref="BK302"/>
    <hyperlink r:id="rId2333" ref="BL302"/>
    <hyperlink r:id="rId2334" ref="BM302"/>
    <hyperlink r:id="rId2335" ref="BN302"/>
    <hyperlink r:id="rId2336" ref="BO302"/>
    <hyperlink r:id="rId2337" ref="P303"/>
    <hyperlink r:id="rId2338" ref="BJ303"/>
    <hyperlink r:id="rId2339" ref="BK303"/>
    <hyperlink r:id="rId2340" ref="BL303"/>
    <hyperlink r:id="rId2341" ref="BM303"/>
    <hyperlink r:id="rId2342" ref="BN303"/>
    <hyperlink r:id="rId2343" ref="BO303"/>
    <hyperlink r:id="rId2344" ref="BP303"/>
    <hyperlink r:id="rId2345" ref="BR303"/>
    <hyperlink r:id="rId2346" ref="BS303"/>
    <hyperlink r:id="rId2347" ref="BT303"/>
    <hyperlink r:id="rId2348" ref="BU303"/>
    <hyperlink r:id="rId2349" ref="BV303"/>
    <hyperlink r:id="rId2350" ref="P304"/>
    <hyperlink r:id="rId2351" ref="BJ304"/>
    <hyperlink r:id="rId2352" ref="BK304"/>
    <hyperlink r:id="rId2353" ref="BL304"/>
    <hyperlink r:id="rId2354" ref="BM304"/>
    <hyperlink r:id="rId2355" ref="BN304"/>
    <hyperlink r:id="rId2356" ref="BO304"/>
    <hyperlink r:id="rId2357" ref="BU304"/>
    <hyperlink r:id="rId2358" ref="BV304"/>
    <hyperlink r:id="rId2359" ref="P305"/>
    <hyperlink r:id="rId2360" ref="BJ305"/>
    <hyperlink r:id="rId2361" ref="BK305"/>
    <hyperlink r:id="rId2362" ref="BL305"/>
    <hyperlink r:id="rId2363" ref="BM305"/>
    <hyperlink r:id="rId2364" ref="BN305"/>
    <hyperlink r:id="rId2365" ref="BO305"/>
    <hyperlink r:id="rId2366" ref="BP305"/>
    <hyperlink r:id="rId2367" ref="BS305"/>
    <hyperlink r:id="rId2368" ref="P306"/>
    <hyperlink r:id="rId2369" ref="BJ306"/>
    <hyperlink r:id="rId2370" ref="BK306"/>
    <hyperlink r:id="rId2371" ref="BM306"/>
    <hyperlink r:id="rId2372" ref="BN306"/>
    <hyperlink r:id="rId2373" ref="BO306"/>
    <hyperlink r:id="rId2374" ref="BP306"/>
    <hyperlink r:id="rId2375" ref="P307"/>
    <hyperlink r:id="rId2376" ref="BJ307"/>
    <hyperlink r:id="rId2377" ref="BK307"/>
    <hyperlink r:id="rId2378" ref="BL307"/>
    <hyperlink r:id="rId2379" ref="BM307"/>
    <hyperlink r:id="rId2380" ref="BN307"/>
    <hyperlink r:id="rId2381" ref="BO307"/>
    <hyperlink r:id="rId2382" ref="BP307"/>
    <hyperlink r:id="rId2383" ref="BU307"/>
    <hyperlink r:id="rId2384" ref="BV307"/>
    <hyperlink r:id="rId2385" ref="P308"/>
    <hyperlink r:id="rId2386" ref="BJ308"/>
    <hyperlink r:id="rId2387" ref="BK308"/>
    <hyperlink r:id="rId2388" ref="BL308"/>
    <hyperlink r:id="rId2389" ref="BM308"/>
    <hyperlink r:id="rId2390" ref="BN308"/>
    <hyperlink r:id="rId2391" ref="BO308"/>
    <hyperlink r:id="rId2392" ref="BS308"/>
    <hyperlink r:id="rId2393" ref="BT308"/>
    <hyperlink r:id="rId2394" ref="BU308"/>
    <hyperlink r:id="rId2395" ref="BV308"/>
    <hyperlink r:id="rId2396" ref="P309"/>
    <hyperlink r:id="rId2397" ref="BJ309"/>
    <hyperlink r:id="rId2398" ref="BK309"/>
    <hyperlink r:id="rId2399" ref="BL309"/>
    <hyperlink r:id="rId2400" ref="BM309"/>
    <hyperlink r:id="rId2401" ref="BN309"/>
    <hyperlink r:id="rId2402" ref="BO309"/>
    <hyperlink r:id="rId2403" ref="BP309"/>
    <hyperlink r:id="rId2404" ref="P310"/>
    <hyperlink r:id="rId2405" ref="BJ310"/>
    <hyperlink r:id="rId2406" ref="BK310"/>
    <hyperlink r:id="rId2407" ref="BO310"/>
    <hyperlink r:id="rId2408" ref="BP310"/>
    <hyperlink r:id="rId2409" ref="BU310"/>
    <hyperlink r:id="rId2410" ref="BV310"/>
    <hyperlink r:id="rId2411" ref="P311"/>
    <hyperlink r:id="rId2412" ref="BJ311"/>
    <hyperlink r:id="rId2413" ref="BK311"/>
    <hyperlink r:id="rId2414" ref="BO311"/>
    <hyperlink r:id="rId2415" ref="BP311"/>
    <hyperlink r:id="rId2416" ref="P312"/>
    <hyperlink r:id="rId2417" ref="BJ312"/>
    <hyperlink r:id="rId2418" ref="BK312"/>
    <hyperlink r:id="rId2419" ref="BL312"/>
    <hyperlink r:id="rId2420" ref="BM312"/>
    <hyperlink r:id="rId2421" ref="BN312"/>
    <hyperlink r:id="rId2422" ref="BO312"/>
    <hyperlink r:id="rId2423" ref="BP312"/>
    <hyperlink r:id="rId2424" ref="BR312"/>
    <hyperlink r:id="rId2425" ref="BS312"/>
    <hyperlink r:id="rId2426" ref="BT312"/>
    <hyperlink r:id="rId2427" ref="BU312"/>
    <hyperlink r:id="rId2428" ref="BV312"/>
    <hyperlink r:id="rId2429" ref="P313"/>
    <hyperlink r:id="rId2430" ref="BJ313"/>
    <hyperlink r:id="rId2431" ref="BK313"/>
    <hyperlink r:id="rId2432" ref="BM313"/>
    <hyperlink r:id="rId2433" ref="BN313"/>
    <hyperlink r:id="rId2434" ref="BO313"/>
    <hyperlink r:id="rId2435" ref="BP313"/>
    <hyperlink r:id="rId2436" ref="P314"/>
    <hyperlink r:id="rId2437" ref="BJ314"/>
    <hyperlink r:id="rId2438" ref="BK314"/>
    <hyperlink r:id="rId2439" ref="BM314"/>
    <hyperlink r:id="rId2440" ref="BN314"/>
    <hyperlink r:id="rId2441" ref="BO314"/>
    <hyperlink r:id="rId2442" ref="P315"/>
    <hyperlink r:id="rId2443" ref="BJ315"/>
    <hyperlink r:id="rId2444" ref="BK315"/>
    <hyperlink r:id="rId2445" ref="BL315"/>
    <hyperlink r:id="rId2446" ref="BM315"/>
    <hyperlink r:id="rId2447" ref="BO315"/>
    <hyperlink r:id="rId2448" ref="BU315"/>
    <hyperlink r:id="rId2449" ref="BV315"/>
    <hyperlink r:id="rId2450" ref="P316"/>
    <hyperlink r:id="rId2451" ref="BJ316"/>
    <hyperlink r:id="rId2452" ref="BK316"/>
    <hyperlink r:id="rId2453" ref="BL316"/>
    <hyperlink r:id="rId2454" ref="BM316"/>
    <hyperlink r:id="rId2455" ref="BN316"/>
    <hyperlink r:id="rId2456" ref="BO316"/>
    <hyperlink r:id="rId2457" ref="BP316"/>
    <hyperlink r:id="rId2458" ref="BJ317"/>
    <hyperlink r:id="rId2459" ref="BK317"/>
    <hyperlink r:id="rId2460" ref="BL317"/>
    <hyperlink r:id="rId2461" ref="BM317"/>
    <hyperlink r:id="rId2462" ref="BO317"/>
    <hyperlink r:id="rId2463" ref="BP317"/>
    <hyperlink r:id="rId2464" ref="BT317"/>
    <hyperlink r:id="rId2465" ref="BU317"/>
    <hyperlink r:id="rId2466" ref="BV317"/>
    <hyperlink r:id="rId2467" ref="P318"/>
    <hyperlink r:id="rId2468" ref="BJ318"/>
    <hyperlink r:id="rId2469" ref="BK318"/>
    <hyperlink r:id="rId2470" ref="BL318"/>
    <hyperlink r:id="rId2471" ref="BM318"/>
    <hyperlink r:id="rId2472" ref="BN318"/>
    <hyperlink r:id="rId2473" ref="BO318"/>
    <hyperlink r:id="rId2474" ref="P319"/>
    <hyperlink r:id="rId2475" ref="BJ319"/>
    <hyperlink r:id="rId2476" ref="BK319"/>
    <hyperlink r:id="rId2477" ref="BO319"/>
    <hyperlink r:id="rId2478" ref="P320"/>
    <hyperlink r:id="rId2479" ref="BJ320"/>
    <hyperlink r:id="rId2480" ref="BK320"/>
    <hyperlink r:id="rId2481" ref="BL320"/>
    <hyperlink r:id="rId2482" ref="BM320"/>
    <hyperlink r:id="rId2483" ref="BN320"/>
    <hyperlink r:id="rId2484" ref="BO320"/>
    <hyperlink r:id="rId2485" ref="BP320"/>
    <hyperlink r:id="rId2486" ref="P321"/>
    <hyperlink r:id="rId2487" ref="BJ321"/>
    <hyperlink r:id="rId2488" ref="BK321"/>
    <hyperlink r:id="rId2489" ref="BL321"/>
    <hyperlink r:id="rId2490" ref="BM321"/>
    <hyperlink r:id="rId2491" ref="BN321"/>
    <hyperlink r:id="rId2492" ref="BO321"/>
    <hyperlink r:id="rId2493" ref="BP321"/>
    <hyperlink r:id="rId2494" ref="P322"/>
    <hyperlink r:id="rId2495" ref="BJ322"/>
    <hyperlink r:id="rId2496" ref="BK322"/>
    <hyperlink r:id="rId2497" ref="BL322"/>
    <hyperlink r:id="rId2498" ref="BM322"/>
    <hyperlink r:id="rId2499" ref="BN322"/>
    <hyperlink r:id="rId2500" ref="BO322"/>
    <hyperlink r:id="rId2501" ref="BP322"/>
    <hyperlink r:id="rId2502" ref="BR322"/>
    <hyperlink r:id="rId2503" ref="BS322"/>
    <hyperlink r:id="rId2504" ref="BT322"/>
    <hyperlink r:id="rId2505" ref="BU322"/>
    <hyperlink r:id="rId2506" ref="BV322"/>
    <hyperlink r:id="rId2507" ref="P323"/>
    <hyperlink r:id="rId2508" ref="BJ323"/>
    <hyperlink r:id="rId2509" ref="BK323"/>
    <hyperlink r:id="rId2510" ref="BM323"/>
    <hyperlink r:id="rId2511" ref="BN323"/>
    <hyperlink r:id="rId2512" ref="BO323"/>
    <hyperlink r:id="rId2513" ref="BS323"/>
    <hyperlink r:id="rId2514" ref="BT323"/>
    <hyperlink r:id="rId2515" ref="BV323"/>
    <hyperlink r:id="rId2516" ref="P324"/>
    <hyperlink r:id="rId2517" ref="BJ324"/>
    <hyperlink r:id="rId2518" ref="BK324"/>
    <hyperlink r:id="rId2519" ref="BM324"/>
    <hyperlink r:id="rId2520" ref="BO324"/>
    <hyperlink r:id="rId2521" ref="P325"/>
    <hyperlink r:id="rId2522" ref="BJ325"/>
    <hyperlink r:id="rId2523" ref="BK325"/>
    <hyperlink r:id="rId2524" ref="BN325"/>
    <hyperlink r:id="rId2525" ref="BO325"/>
    <hyperlink r:id="rId2526" ref="BP325"/>
    <hyperlink r:id="rId2527" ref="BT325"/>
    <hyperlink r:id="rId2528" ref="P326"/>
    <hyperlink r:id="rId2529" ref="BJ326"/>
    <hyperlink r:id="rId2530" ref="BK326"/>
    <hyperlink r:id="rId2531" ref="BN326"/>
    <hyperlink r:id="rId2532" ref="BO326"/>
    <hyperlink r:id="rId2533" ref="BP326"/>
    <hyperlink r:id="rId2534" ref="P327"/>
    <hyperlink r:id="rId2535" ref="BJ327"/>
    <hyperlink r:id="rId2536" ref="BK327"/>
    <hyperlink r:id="rId2537" ref="BO327"/>
    <hyperlink r:id="rId2538" ref="P328"/>
    <hyperlink r:id="rId2539" ref="BJ328"/>
    <hyperlink r:id="rId2540" ref="BK328"/>
    <hyperlink r:id="rId2541" ref="BL328"/>
    <hyperlink r:id="rId2542" ref="BM328"/>
    <hyperlink r:id="rId2543" ref="BO328"/>
    <hyperlink r:id="rId2544" ref="BT328"/>
    <hyperlink r:id="rId2545" ref="BU328"/>
    <hyperlink r:id="rId2546" ref="BV328"/>
    <hyperlink r:id="rId2547" ref="P329"/>
    <hyperlink r:id="rId2548" ref="BJ329"/>
    <hyperlink r:id="rId2549" ref="BK329"/>
    <hyperlink r:id="rId2550" ref="BL329"/>
    <hyperlink r:id="rId2551" ref="BM329"/>
    <hyperlink r:id="rId2552" ref="BN329"/>
    <hyperlink r:id="rId2553" ref="BO329"/>
    <hyperlink r:id="rId2554" ref="BP329"/>
    <hyperlink r:id="rId2555" ref="P330"/>
    <hyperlink r:id="rId2556" ref="BJ330"/>
    <hyperlink r:id="rId2557" ref="BK330"/>
    <hyperlink r:id="rId2558" ref="BL330"/>
    <hyperlink r:id="rId2559" ref="BM330"/>
    <hyperlink r:id="rId2560" ref="BN330"/>
    <hyperlink r:id="rId2561" ref="BO330"/>
    <hyperlink r:id="rId2562" ref="P331"/>
    <hyperlink r:id="rId2563" ref="BJ331"/>
    <hyperlink r:id="rId2564" ref="BK331"/>
    <hyperlink r:id="rId2565" ref="BM331"/>
    <hyperlink r:id="rId2566" ref="BN331"/>
    <hyperlink r:id="rId2567" ref="BO331"/>
    <hyperlink r:id="rId2568" ref="P332"/>
    <hyperlink r:id="rId2569" ref="BJ332"/>
    <hyperlink r:id="rId2570" ref="BK332"/>
    <hyperlink r:id="rId2571" ref="BL332"/>
    <hyperlink r:id="rId2572" ref="BM332"/>
    <hyperlink r:id="rId2573" ref="BN332"/>
    <hyperlink r:id="rId2574" ref="BO332"/>
    <hyperlink r:id="rId2575" ref="P334"/>
    <hyperlink r:id="rId2576" ref="BJ334"/>
    <hyperlink r:id="rId2577" ref="BK334"/>
    <hyperlink r:id="rId2578" ref="BL334"/>
    <hyperlink r:id="rId2579" ref="BM334"/>
    <hyperlink r:id="rId2580" ref="BN334"/>
    <hyperlink r:id="rId2581" ref="BO334"/>
    <hyperlink r:id="rId2582" ref="BT334"/>
    <hyperlink r:id="rId2583" ref="P335"/>
    <hyperlink r:id="rId2584" ref="BJ335"/>
    <hyperlink r:id="rId2585" ref="BK335"/>
    <hyperlink r:id="rId2586" ref="BL335"/>
    <hyperlink r:id="rId2587" ref="BM335"/>
    <hyperlink r:id="rId2588" ref="BO335"/>
    <hyperlink r:id="rId2589" ref="P336"/>
    <hyperlink r:id="rId2590" ref="BJ336"/>
    <hyperlink r:id="rId2591" ref="BK336"/>
    <hyperlink r:id="rId2592" ref="BM336"/>
    <hyperlink r:id="rId2593" ref="BO336"/>
    <hyperlink r:id="rId2594" ref="BP336"/>
    <hyperlink r:id="rId2595" ref="P337"/>
    <hyperlink r:id="rId2596" ref="BJ337"/>
    <hyperlink r:id="rId2597" ref="BK337"/>
    <hyperlink r:id="rId2598" ref="BO337"/>
    <hyperlink r:id="rId2599" ref="BP337"/>
    <hyperlink r:id="rId2600" ref="P338"/>
    <hyperlink r:id="rId2601" ref="BJ338"/>
    <hyperlink r:id="rId2602" ref="BK338"/>
    <hyperlink r:id="rId2603" ref="BL338"/>
    <hyperlink r:id="rId2604" ref="BM338"/>
    <hyperlink r:id="rId2605" ref="BN338"/>
    <hyperlink r:id="rId2606" ref="BO338"/>
    <hyperlink r:id="rId2607" ref="BP338"/>
    <hyperlink r:id="rId2608" ref="P339"/>
    <hyperlink r:id="rId2609" ref="BJ339"/>
    <hyperlink r:id="rId2610" ref="BK339"/>
    <hyperlink r:id="rId2611" ref="BL339"/>
    <hyperlink r:id="rId2612" ref="BM339"/>
    <hyperlink r:id="rId2613" ref="BN339"/>
    <hyperlink r:id="rId2614" ref="BO339"/>
    <hyperlink r:id="rId2615" ref="BT339"/>
    <hyperlink r:id="rId2616" ref="BU339"/>
    <hyperlink r:id="rId2617" ref="BV339"/>
    <hyperlink r:id="rId2618" ref="P340"/>
    <hyperlink r:id="rId2619" ref="BJ340"/>
    <hyperlink r:id="rId2620" ref="BK340"/>
    <hyperlink r:id="rId2621" ref="BM340"/>
    <hyperlink r:id="rId2622" ref="BO340"/>
    <hyperlink r:id="rId2623" ref="P341"/>
    <hyperlink r:id="rId2624" ref="BJ341"/>
    <hyperlink r:id="rId2625" ref="BK341"/>
    <hyperlink r:id="rId2626" ref="BL341"/>
    <hyperlink r:id="rId2627" ref="BM341"/>
    <hyperlink r:id="rId2628" ref="BN341"/>
    <hyperlink r:id="rId2629" ref="BO341"/>
    <hyperlink r:id="rId2630" ref="BP341"/>
    <hyperlink r:id="rId2631" ref="BT341"/>
    <hyperlink r:id="rId2632" ref="P342"/>
    <hyperlink r:id="rId2633" ref="BJ342"/>
    <hyperlink r:id="rId2634" ref="BK342"/>
    <hyperlink r:id="rId2635" ref="BM342"/>
    <hyperlink r:id="rId2636" ref="BO342"/>
    <hyperlink r:id="rId2637" ref="BT342"/>
    <hyperlink r:id="rId2638" ref="P343"/>
    <hyperlink r:id="rId2639" ref="AV343"/>
    <hyperlink r:id="rId2640" ref="BJ343"/>
    <hyperlink r:id="rId2641" ref="BK343"/>
    <hyperlink r:id="rId2642" ref="BL343"/>
    <hyperlink r:id="rId2643" ref="BM343"/>
    <hyperlink r:id="rId2644" ref="BN343"/>
    <hyperlink r:id="rId2645" ref="BO343"/>
    <hyperlink r:id="rId2646" ref="BP343"/>
    <hyperlink r:id="rId2647" ref="BR343"/>
    <hyperlink r:id="rId2648" ref="BS343"/>
    <hyperlink r:id="rId2649" ref="BT343"/>
    <hyperlink r:id="rId2650" ref="BU343"/>
    <hyperlink r:id="rId2651" ref="BV343"/>
    <hyperlink r:id="rId2652" ref="P344"/>
    <hyperlink r:id="rId2653" ref="BJ344"/>
    <hyperlink r:id="rId2654" ref="BK344"/>
    <hyperlink r:id="rId2655" ref="BL344"/>
    <hyperlink r:id="rId2656" ref="BM344"/>
    <hyperlink r:id="rId2657" ref="BO344"/>
    <hyperlink r:id="rId2658" ref="P345"/>
    <hyperlink r:id="rId2659" ref="BJ345"/>
    <hyperlink r:id="rId2660" ref="BK345"/>
    <hyperlink r:id="rId2661" ref="BO345"/>
    <hyperlink r:id="rId2662" ref="BP345"/>
    <hyperlink r:id="rId2663" ref="BR345"/>
    <hyperlink r:id="rId2664" ref="P346"/>
    <hyperlink r:id="rId2665" ref="BJ346"/>
    <hyperlink r:id="rId2666" ref="BK346"/>
    <hyperlink r:id="rId2667" ref="BO346"/>
    <hyperlink r:id="rId2668" ref="BP346"/>
    <hyperlink r:id="rId2669" ref="BR346"/>
    <hyperlink r:id="rId2670" ref="BT346"/>
    <hyperlink r:id="rId2671" ref="P347"/>
    <hyperlink r:id="rId2672" ref="BJ347"/>
    <hyperlink r:id="rId2673" ref="BK347"/>
    <hyperlink r:id="rId2674" ref="BL347"/>
    <hyperlink r:id="rId2675" ref="BM347"/>
    <hyperlink r:id="rId2676" ref="BN347"/>
    <hyperlink r:id="rId2677" ref="BO347"/>
    <hyperlink r:id="rId2678" ref="P348"/>
    <hyperlink r:id="rId2679" ref="BJ348"/>
    <hyperlink r:id="rId2680" ref="BK348"/>
    <hyperlink r:id="rId2681" ref="BM348"/>
    <hyperlink r:id="rId2682" ref="BN348"/>
    <hyperlink r:id="rId2683" ref="BO348"/>
    <hyperlink r:id="rId2684" ref="BP348"/>
    <hyperlink r:id="rId2685" ref="BT348"/>
    <hyperlink r:id="rId2686" ref="BU348"/>
    <hyperlink r:id="rId2687" ref="BV348"/>
    <hyperlink r:id="rId2688" ref="P349"/>
    <hyperlink r:id="rId2689" ref="BJ349"/>
    <hyperlink r:id="rId2690" ref="BK349"/>
    <hyperlink r:id="rId2691" ref="BL349"/>
    <hyperlink r:id="rId2692" ref="BM349"/>
    <hyperlink r:id="rId2693" ref="BO349"/>
    <hyperlink r:id="rId2694" ref="BP349"/>
    <hyperlink r:id="rId2695" ref="P350"/>
    <hyperlink r:id="rId2696" ref="BJ350"/>
    <hyperlink r:id="rId2697" ref="BK350"/>
    <hyperlink r:id="rId2698" ref="BM350"/>
    <hyperlink r:id="rId2699" ref="BN350"/>
    <hyperlink r:id="rId2700" ref="BO350"/>
    <hyperlink r:id="rId2701" ref="BS350"/>
    <hyperlink r:id="rId2702" ref="BT350"/>
    <hyperlink r:id="rId2703" ref="BV350"/>
    <hyperlink r:id="rId2704" ref="P351"/>
    <hyperlink r:id="rId2705" ref="BK351"/>
    <hyperlink r:id="rId2706" ref="BN351"/>
    <hyperlink r:id="rId2707" ref="BO351"/>
    <hyperlink r:id="rId2708" ref="BP351"/>
    <hyperlink r:id="rId2709" ref="BS351"/>
    <hyperlink r:id="rId2710" ref="P352"/>
    <hyperlink r:id="rId2711" ref="BJ352"/>
    <hyperlink r:id="rId2712" ref="BK352"/>
    <hyperlink r:id="rId2713" ref="BL352"/>
    <hyperlink r:id="rId2714" ref="BM352"/>
    <hyperlink r:id="rId2715" ref="BO352"/>
    <hyperlink r:id="rId2716" ref="BP352"/>
    <hyperlink r:id="rId2717" ref="BR352"/>
    <hyperlink r:id="rId2718" ref="BT352"/>
    <hyperlink r:id="rId2719" ref="P353"/>
    <hyperlink r:id="rId2720" ref="BJ353"/>
    <hyperlink r:id="rId2721" ref="BK353"/>
    <hyperlink r:id="rId2722" ref="BL353"/>
    <hyperlink r:id="rId2723" ref="BM353"/>
    <hyperlink r:id="rId2724" ref="BN353"/>
    <hyperlink r:id="rId2725" ref="BO353"/>
    <hyperlink r:id="rId2726" ref="BP353"/>
    <hyperlink r:id="rId2727" ref="BR353"/>
    <hyperlink r:id="rId2728" ref="BS353"/>
    <hyperlink r:id="rId2729" ref="BT353"/>
    <hyperlink r:id="rId2730" ref="P354"/>
    <hyperlink r:id="rId2731" ref="BJ354"/>
    <hyperlink r:id="rId2732" ref="BK354"/>
    <hyperlink r:id="rId2733" ref="BO354"/>
    <hyperlink r:id="rId2734" ref="P355"/>
    <hyperlink r:id="rId2735" ref="BJ355"/>
    <hyperlink r:id="rId2736" ref="BK355"/>
    <hyperlink r:id="rId2737" ref="BN355"/>
    <hyperlink r:id="rId2738" ref="BO355"/>
    <hyperlink r:id="rId2739" ref="BP355"/>
    <hyperlink r:id="rId2740" ref="P356"/>
    <hyperlink r:id="rId2741" ref="BJ356"/>
    <hyperlink r:id="rId2742" ref="BK356"/>
    <hyperlink r:id="rId2743" ref="BN356"/>
    <hyperlink r:id="rId2744" ref="BO356"/>
    <hyperlink r:id="rId2745" ref="BP356"/>
    <hyperlink r:id="rId2746" ref="P357"/>
    <hyperlink r:id="rId2747" ref="BJ357"/>
    <hyperlink r:id="rId2748" ref="BK357"/>
    <hyperlink r:id="rId2749" ref="BN357"/>
    <hyperlink r:id="rId2750" ref="BO357"/>
    <hyperlink r:id="rId2751" ref="BP357"/>
    <hyperlink r:id="rId2752" ref="P358"/>
    <hyperlink r:id="rId2753" ref="BJ358"/>
    <hyperlink r:id="rId2754" ref="BK358"/>
    <hyperlink r:id="rId2755" ref="BO358"/>
    <hyperlink r:id="rId2756" ref="P359"/>
    <hyperlink r:id="rId2757" ref="BJ359"/>
    <hyperlink r:id="rId2758" ref="BK359"/>
    <hyperlink r:id="rId2759" ref="BL359"/>
    <hyperlink r:id="rId2760" ref="BM359"/>
    <hyperlink r:id="rId2761" ref="BN359"/>
    <hyperlink r:id="rId2762" ref="BO359"/>
    <hyperlink r:id="rId2763" ref="BP359"/>
    <hyperlink r:id="rId2764" ref="BU359"/>
    <hyperlink r:id="rId2765" ref="BV359"/>
    <hyperlink r:id="rId2766" ref="P360"/>
    <hyperlink r:id="rId2767" ref="BJ360"/>
    <hyperlink r:id="rId2768" ref="BK360"/>
    <hyperlink r:id="rId2769" ref="BN360"/>
    <hyperlink r:id="rId2770" ref="BO360"/>
    <hyperlink r:id="rId2771" ref="BP360"/>
    <hyperlink r:id="rId2772" ref="P361"/>
    <hyperlink r:id="rId2773" ref="BJ361"/>
    <hyperlink r:id="rId2774" ref="BK361"/>
    <hyperlink r:id="rId2775" ref="BO361"/>
    <hyperlink r:id="rId2776" ref="P362"/>
    <hyperlink r:id="rId2777" ref="BJ362"/>
    <hyperlink r:id="rId2778" ref="BK362"/>
    <hyperlink r:id="rId2779" ref="BL362"/>
    <hyperlink r:id="rId2780" ref="BM362"/>
    <hyperlink r:id="rId2781" ref="BN362"/>
    <hyperlink r:id="rId2782" ref="BO362"/>
    <hyperlink r:id="rId2783" ref="BP362"/>
    <hyperlink r:id="rId2784" ref="P363"/>
    <hyperlink r:id="rId2785" ref="BJ363"/>
    <hyperlink r:id="rId2786" ref="BK363"/>
    <hyperlink r:id="rId2787" ref="BL363"/>
    <hyperlink r:id="rId2788" ref="BM363"/>
    <hyperlink r:id="rId2789" ref="BN363"/>
    <hyperlink r:id="rId2790" ref="BO363"/>
    <hyperlink r:id="rId2791" ref="BP363"/>
    <hyperlink r:id="rId2792" ref="BR363"/>
    <hyperlink r:id="rId2793" ref="BT363"/>
    <hyperlink r:id="rId2794" ref="BV363"/>
    <hyperlink r:id="rId2795" ref="P364"/>
    <hyperlink r:id="rId2796" ref="BJ364"/>
    <hyperlink r:id="rId2797" ref="BK364"/>
    <hyperlink r:id="rId2798" ref="BL364"/>
    <hyperlink r:id="rId2799" ref="BM364"/>
    <hyperlink r:id="rId2800" ref="BN364"/>
    <hyperlink r:id="rId2801" ref="BO364"/>
    <hyperlink r:id="rId2802" ref="BP364"/>
    <hyperlink r:id="rId2803" ref="P365"/>
    <hyperlink r:id="rId2804" ref="BJ365"/>
    <hyperlink r:id="rId2805" ref="BK365"/>
    <hyperlink r:id="rId2806" ref="BL365"/>
    <hyperlink r:id="rId2807" ref="BM365"/>
    <hyperlink r:id="rId2808" ref="BN365"/>
    <hyperlink r:id="rId2809" ref="BO365"/>
    <hyperlink r:id="rId2810" ref="BP365"/>
    <hyperlink r:id="rId2811" ref="BU365"/>
    <hyperlink r:id="rId2812" ref="BV365"/>
    <hyperlink r:id="rId2813" ref="P366"/>
    <hyperlink r:id="rId2814" ref="BJ366"/>
    <hyperlink r:id="rId2815" ref="BK366"/>
    <hyperlink r:id="rId2816" ref="BL366"/>
    <hyperlink r:id="rId2817" ref="BM366"/>
    <hyperlink r:id="rId2818" ref="BO366"/>
    <hyperlink r:id="rId2819" ref="BT366"/>
    <hyperlink r:id="rId2820" ref="P367"/>
    <hyperlink r:id="rId2821" ref="BJ367"/>
    <hyperlink r:id="rId2822" ref="BK367"/>
    <hyperlink r:id="rId2823" ref="BL367"/>
    <hyperlink r:id="rId2824" ref="BM367"/>
    <hyperlink r:id="rId2825" ref="BN367"/>
    <hyperlink r:id="rId2826" ref="BO367"/>
    <hyperlink r:id="rId2827" ref="P368"/>
    <hyperlink r:id="rId2828" ref="BJ368"/>
    <hyperlink r:id="rId2829" ref="BK368"/>
    <hyperlink r:id="rId2830" ref="BN368"/>
    <hyperlink r:id="rId2831" ref="BO368"/>
    <hyperlink r:id="rId2832" ref="BP368"/>
    <hyperlink r:id="rId2833" ref="P369"/>
    <hyperlink r:id="rId2834" ref="BJ369"/>
    <hyperlink r:id="rId2835" ref="BK369"/>
    <hyperlink r:id="rId2836" ref="BL369"/>
    <hyperlink r:id="rId2837" ref="BM369"/>
    <hyperlink r:id="rId2838" ref="BN369"/>
    <hyperlink r:id="rId2839" ref="BO369"/>
    <hyperlink r:id="rId2840" ref="BP369"/>
    <hyperlink r:id="rId2841" ref="BT369"/>
    <hyperlink r:id="rId2842" ref="BU369"/>
    <hyperlink r:id="rId2843" ref="BV369"/>
    <hyperlink r:id="rId2844" ref="P370"/>
    <hyperlink r:id="rId2845" ref="BJ370"/>
    <hyperlink r:id="rId2846" ref="BK370"/>
    <hyperlink r:id="rId2847" ref="BL370"/>
    <hyperlink r:id="rId2848" ref="BM370"/>
    <hyperlink r:id="rId2849" ref="BN370"/>
    <hyperlink r:id="rId2850" ref="BO370"/>
    <hyperlink r:id="rId2851" ref="BP370"/>
    <hyperlink r:id="rId2852" ref="P371"/>
    <hyperlink r:id="rId2853" ref="BJ371"/>
    <hyperlink r:id="rId2854" ref="BK371"/>
    <hyperlink r:id="rId2855" ref="BL371"/>
    <hyperlink r:id="rId2856" ref="BM371"/>
    <hyperlink r:id="rId2857" ref="BN371"/>
    <hyperlink r:id="rId2858" ref="BO371"/>
    <hyperlink r:id="rId2859" ref="BP371"/>
    <hyperlink r:id="rId2860" ref="P372"/>
    <hyperlink r:id="rId2861" ref="BJ372"/>
    <hyperlink r:id="rId2862" ref="BK372"/>
    <hyperlink r:id="rId2863" ref="BL372"/>
    <hyperlink r:id="rId2864" ref="BM372"/>
    <hyperlink r:id="rId2865" ref="BN372"/>
    <hyperlink r:id="rId2866" ref="BO372"/>
    <hyperlink r:id="rId2867" ref="BT372"/>
    <hyperlink r:id="rId2868" ref="BU372"/>
    <hyperlink r:id="rId2869" ref="BV372"/>
    <hyperlink r:id="rId2870" ref="P373"/>
    <hyperlink r:id="rId2871" ref="BJ373"/>
    <hyperlink r:id="rId2872" ref="BK373"/>
    <hyperlink r:id="rId2873" ref="BL373"/>
    <hyperlink r:id="rId2874" ref="BM373"/>
    <hyperlink r:id="rId2875" ref="BN373"/>
    <hyperlink r:id="rId2876" ref="BO373"/>
    <hyperlink r:id="rId2877" ref="BP373"/>
    <hyperlink r:id="rId2878" ref="BU373"/>
    <hyperlink r:id="rId2879" ref="P374"/>
    <hyperlink r:id="rId2880" ref="BJ374"/>
    <hyperlink r:id="rId2881" ref="BK374"/>
    <hyperlink r:id="rId2882" ref="BN374"/>
    <hyperlink r:id="rId2883" ref="BO374"/>
    <hyperlink r:id="rId2884" ref="BT374"/>
    <hyperlink r:id="rId2885" ref="P375"/>
    <hyperlink r:id="rId2886" ref="BJ375"/>
    <hyperlink r:id="rId2887" ref="BK375"/>
    <hyperlink r:id="rId2888" ref="BL375"/>
    <hyperlink r:id="rId2889" ref="BM375"/>
    <hyperlink r:id="rId2890" ref="BN375"/>
    <hyperlink r:id="rId2891" ref="BO375"/>
    <hyperlink r:id="rId2892" ref="BP375"/>
    <hyperlink r:id="rId2893" ref="P376"/>
    <hyperlink r:id="rId2894" ref="BJ376"/>
    <hyperlink r:id="rId2895" ref="BK376"/>
    <hyperlink r:id="rId2896" ref="BL376"/>
    <hyperlink r:id="rId2897" ref="BM376"/>
    <hyperlink r:id="rId2898" ref="BN376"/>
    <hyperlink r:id="rId2899" ref="BO376"/>
    <hyperlink r:id="rId2900" ref="P377"/>
    <hyperlink r:id="rId2901" ref="BJ377"/>
    <hyperlink r:id="rId2902" ref="BK377"/>
    <hyperlink r:id="rId2903" ref="BL377"/>
    <hyperlink r:id="rId2904" ref="BM377"/>
    <hyperlink r:id="rId2905" ref="BN377"/>
    <hyperlink r:id="rId2906" ref="BO377"/>
    <hyperlink r:id="rId2907" ref="BP377"/>
    <hyperlink r:id="rId2908" ref="BR377"/>
    <hyperlink r:id="rId2909" ref="BS377"/>
    <hyperlink r:id="rId2910" ref="BT377"/>
    <hyperlink r:id="rId2911" ref="BU377"/>
    <hyperlink r:id="rId2912" ref="BV377"/>
    <hyperlink r:id="rId2913" ref="P378"/>
    <hyperlink r:id="rId2914" ref="BJ378"/>
    <hyperlink r:id="rId2915" ref="BK378"/>
    <hyperlink r:id="rId2916" ref="BL378"/>
    <hyperlink r:id="rId2917" ref="BM378"/>
    <hyperlink r:id="rId2918" ref="BN378"/>
    <hyperlink r:id="rId2919" ref="BO378"/>
    <hyperlink r:id="rId2920" ref="P379"/>
    <hyperlink r:id="rId2921" ref="BJ379"/>
    <hyperlink r:id="rId2922" ref="BK379"/>
    <hyperlink r:id="rId2923" ref="BM379"/>
    <hyperlink r:id="rId2924" ref="BN379"/>
    <hyperlink r:id="rId2925" ref="BO379"/>
    <hyperlink r:id="rId2926" ref="BP379"/>
    <hyperlink r:id="rId2927" ref="BT379"/>
    <hyperlink r:id="rId2928" ref="BU379"/>
    <hyperlink r:id="rId2929" ref="BV379"/>
    <hyperlink r:id="rId2930" ref="P380"/>
    <hyperlink r:id="rId2931" ref="BJ380"/>
    <hyperlink r:id="rId2932" ref="BK380"/>
    <hyperlink r:id="rId2933" ref="BL380"/>
    <hyperlink r:id="rId2934" ref="BM380"/>
    <hyperlink r:id="rId2935" ref="BN380"/>
    <hyperlink r:id="rId2936" ref="BO380"/>
    <hyperlink r:id="rId2937" ref="BP380"/>
    <hyperlink r:id="rId2938" ref="BR380"/>
    <hyperlink r:id="rId2939" ref="BT380"/>
    <hyperlink r:id="rId2940" ref="P381"/>
    <hyperlink r:id="rId2941" ref="BJ381"/>
    <hyperlink r:id="rId2942" ref="BK381"/>
    <hyperlink r:id="rId2943" ref="BM381"/>
    <hyperlink r:id="rId2944" ref="BN381"/>
    <hyperlink r:id="rId2945" ref="BO381"/>
    <hyperlink r:id="rId2946" ref="BP381"/>
    <hyperlink r:id="rId2947" ref="P382"/>
    <hyperlink r:id="rId2948" ref="BJ382"/>
    <hyperlink r:id="rId2949" ref="BK382"/>
    <hyperlink r:id="rId2950" ref="BL382"/>
    <hyperlink r:id="rId2951" ref="BM382"/>
    <hyperlink r:id="rId2952" ref="BN382"/>
    <hyperlink r:id="rId2953" ref="BO382"/>
    <hyperlink r:id="rId2954" ref="BP382"/>
    <hyperlink r:id="rId2955" ref="BR382"/>
    <hyperlink r:id="rId2956" ref="BS382"/>
    <hyperlink r:id="rId2957" ref="BT382"/>
    <hyperlink r:id="rId2958" ref="BU382"/>
    <hyperlink r:id="rId2959" ref="BV382"/>
    <hyperlink r:id="rId2960" ref="P383"/>
    <hyperlink r:id="rId2961" ref="BJ383"/>
    <hyperlink r:id="rId2962" ref="BK383"/>
    <hyperlink r:id="rId2963" ref="BL383"/>
    <hyperlink r:id="rId2964" ref="BM383"/>
    <hyperlink r:id="rId2965" ref="BN383"/>
    <hyperlink r:id="rId2966" ref="BO383"/>
    <hyperlink r:id="rId2967" ref="BP383"/>
    <hyperlink r:id="rId2968" ref="P384"/>
    <hyperlink r:id="rId2969" ref="BJ384"/>
    <hyperlink r:id="rId2970" ref="BK384"/>
    <hyperlink r:id="rId2971" ref="BL384"/>
    <hyperlink r:id="rId2972" ref="BM384"/>
    <hyperlink r:id="rId2973" ref="BN384"/>
    <hyperlink r:id="rId2974" ref="BO384"/>
    <hyperlink r:id="rId2975" ref="BP384"/>
    <hyperlink r:id="rId2976" ref="BR384"/>
    <hyperlink r:id="rId2977" ref="BU384"/>
    <hyperlink r:id="rId2978" ref="BV384"/>
    <hyperlink r:id="rId2979" ref="P385"/>
    <hyperlink r:id="rId2980" ref="BJ385"/>
    <hyperlink r:id="rId2981" ref="BK385"/>
    <hyperlink r:id="rId2982" ref="BL385"/>
    <hyperlink r:id="rId2983" ref="BM385"/>
    <hyperlink r:id="rId2984" ref="BN385"/>
    <hyperlink r:id="rId2985" ref="BO385"/>
    <hyperlink r:id="rId2986" ref="BP385"/>
    <hyperlink r:id="rId2987" ref="P386"/>
    <hyperlink r:id="rId2988" ref="BJ386"/>
    <hyperlink r:id="rId2989" ref="BK386"/>
    <hyperlink r:id="rId2990" ref="BM386"/>
    <hyperlink r:id="rId2991" ref="BO386"/>
    <hyperlink r:id="rId2992" ref="BV386"/>
    <hyperlink r:id="rId2993" ref="P387"/>
    <hyperlink r:id="rId2994" ref="BJ387"/>
    <hyperlink r:id="rId2995" ref="BK387"/>
    <hyperlink r:id="rId2996" ref="BL387"/>
    <hyperlink r:id="rId2997" ref="BM387"/>
    <hyperlink r:id="rId2998" ref="BN387"/>
    <hyperlink r:id="rId2999" ref="BO387"/>
    <hyperlink r:id="rId3000" ref="BT387"/>
    <hyperlink r:id="rId3001" ref="P388"/>
    <hyperlink r:id="rId3002" ref="BJ388"/>
    <hyperlink r:id="rId3003" ref="BK388"/>
    <hyperlink r:id="rId3004" ref="BL388"/>
    <hyperlink r:id="rId3005" ref="BM388"/>
    <hyperlink r:id="rId3006" ref="BN388"/>
    <hyperlink r:id="rId3007" ref="BO388"/>
    <hyperlink r:id="rId3008" ref="BP388"/>
    <hyperlink r:id="rId3009" ref="P389"/>
    <hyperlink r:id="rId3010" ref="BJ389"/>
    <hyperlink r:id="rId3011" ref="BK389"/>
    <hyperlink r:id="rId3012" ref="BL389"/>
    <hyperlink r:id="rId3013" ref="BM389"/>
    <hyperlink r:id="rId3014" ref="BN389"/>
    <hyperlink r:id="rId3015" ref="BO389"/>
    <hyperlink r:id="rId3016" ref="P390"/>
    <hyperlink r:id="rId3017" ref="BJ390"/>
    <hyperlink r:id="rId3018" ref="BK390"/>
    <hyperlink r:id="rId3019" ref="BN390"/>
    <hyperlink r:id="rId3020" ref="BO390"/>
    <hyperlink r:id="rId3021" ref="BP390"/>
    <hyperlink r:id="rId3022" ref="P391"/>
    <hyperlink r:id="rId3023" ref="BJ391"/>
    <hyperlink r:id="rId3024" ref="BK391"/>
    <hyperlink r:id="rId3025" ref="BL391"/>
    <hyperlink r:id="rId3026" ref="BM391"/>
    <hyperlink r:id="rId3027" ref="BN391"/>
    <hyperlink r:id="rId3028" ref="BO391"/>
    <hyperlink r:id="rId3029" ref="BP391"/>
    <hyperlink r:id="rId3030" ref="P392"/>
    <hyperlink r:id="rId3031" ref="BJ392"/>
    <hyperlink r:id="rId3032" ref="BK392"/>
    <hyperlink r:id="rId3033" ref="BN392"/>
    <hyperlink r:id="rId3034" ref="BO392"/>
    <hyperlink r:id="rId3035" ref="BP392"/>
    <hyperlink r:id="rId3036" ref="P393"/>
    <hyperlink r:id="rId3037" ref="BJ393"/>
    <hyperlink r:id="rId3038" ref="BK393"/>
    <hyperlink r:id="rId3039" ref="BL393"/>
    <hyperlink r:id="rId3040" ref="BM393"/>
    <hyperlink r:id="rId3041" ref="BN393"/>
    <hyperlink r:id="rId3042" ref="BO393"/>
    <hyperlink r:id="rId3043" ref="BP393"/>
    <hyperlink r:id="rId3044" ref="P394"/>
    <hyperlink r:id="rId3045" ref="BJ394"/>
    <hyperlink r:id="rId3046" ref="BK394"/>
    <hyperlink r:id="rId3047" ref="BL394"/>
    <hyperlink r:id="rId3048" ref="BM394"/>
    <hyperlink r:id="rId3049" ref="BN394"/>
    <hyperlink r:id="rId3050" ref="BO394"/>
    <hyperlink r:id="rId3051" ref="P395"/>
    <hyperlink r:id="rId3052" ref="BJ395"/>
    <hyperlink r:id="rId3053" ref="BK395"/>
    <hyperlink r:id="rId3054" ref="BL395"/>
    <hyperlink r:id="rId3055" ref="BM395"/>
    <hyperlink r:id="rId3056" ref="BN395"/>
    <hyperlink r:id="rId3057" ref="BO395"/>
    <hyperlink r:id="rId3058" ref="BP395"/>
    <hyperlink r:id="rId3059" ref="BT395"/>
    <hyperlink r:id="rId3060" ref="P396"/>
    <hyperlink r:id="rId3061" ref="BJ396"/>
    <hyperlink r:id="rId3062" ref="BK396"/>
    <hyperlink r:id="rId3063" ref="BL396"/>
    <hyperlink r:id="rId3064" ref="BM396"/>
    <hyperlink r:id="rId3065" ref="BO396"/>
    <hyperlink r:id="rId3066" ref="BP396"/>
    <hyperlink r:id="rId3067" ref="P397"/>
    <hyperlink r:id="rId3068" ref="BJ397"/>
    <hyperlink r:id="rId3069" ref="BK397"/>
    <hyperlink r:id="rId3070" ref="BO397"/>
    <hyperlink r:id="rId3071" ref="BP397"/>
    <hyperlink r:id="rId3072" ref="BJ398"/>
    <hyperlink r:id="rId3073" ref="BK398"/>
    <hyperlink r:id="rId3074" ref="BN398"/>
    <hyperlink r:id="rId3075" ref="BO398"/>
    <hyperlink r:id="rId3076" ref="BP398"/>
    <hyperlink r:id="rId3077" ref="P399"/>
    <hyperlink r:id="rId3078" ref="BJ399"/>
    <hyperlink r:id="rId3079" ref="BK399"/>
    <hyperlink r:id="rId3080" ref="BL399"/>
    <hyperlink r:id="rId3081" ref="BM399"/>
    <hyperlink r:id="rId3082" ref="BN399"/>
    <hyperlink r:id="rId3083" ref="BO399"/>
    <hyperlink r:id="rId3084" ref="BP399"/>
    <hyperlink r:id="rId3085" ref="P400"/>
    <hyperlink r:id="rId3086" ref="BJ400"/>
    <hyperlink r:id="rId3087" ref="BK400"/>
    <hyperlink r:id="rId3088" ref="BL400"/>
    <hyperlink r:id="rId3089" ref="BM400"/>
    <hyperlink r:id="rId3090" ref="BN400"/>
    <hyperlink r:id="rId3091" ref="BO400"/>
    <hyperlink r:id="rId3092" ref="BP400"/>
    <hyperlink r:id="rId3093" ref="P401"/>
    <hyperlink r:id="rId3094" ref="BJ401"/>
    <hyperlink r:id="rId3095" ref="BK401"/>
    <hyperlink r:id="rId3096" ref="BL401"/>
    <hyperlink r:id="rId3097" ref="BM401"/>
    <hyperlink r:id="rId3098" ref="BN401"/>
    <hyperlink r:id="rId3099" ref="BO401"/>
    <hyperlink r:id="rId3100" ref="BP401"/>
    <hyperlink r:id="rId3101" ref="P402"/>
    <hyperlink r:id="rId3102" ref="BJ402"/>
    <hyperlink r:id="rId3103" ref="BK402"/>
    <hyperlink r:id="rId3104" ref="BL402"/>
    <hyperlink r:id="rId3105" ref="BM402"/>
    <hyperlink r:id="rId3106" ref="BN402"/>
    <hyperlink r:id="rId3107" ref="BO402"/>
    <hyperlink r:id="rId3108" ref="BP402"/>
    <hyperlink r:id="rId3109" ref="P403"/>
    <hyperlink r:id="rId3110" ref="BJ403"/>
    <hyperlink r:id="rId3111" ref="BK403"/>
    <hyperlink r:id="rId3112" ref="BL403"/>
    <hyperlink r:id="rId3113" ref="BM403"/>
    <hyperlink r:id="rId3114" ref="BN403"/>
    <hyperlink r:id="rId3115" ref="BO403"/>
    <hyperlink r:id="rId3116" ref="P404"/>
    <hyperlink r:id="rId3117" ref="BJ404"/>
    <hyperlink r:id="rId3118" ref="BK404"/>
    <hyperlink r:id="rId3119" ref="BL404"/>
    <hyperlink r:id="rId3120" ref="BM404"/>
    <hyperlink r:id="rId3121" ref="BN404"/>
    <hyperlink r:id="rId3122" ref="BO404"/>
    <hyperlink r:id="rId3123" ref="BP404"/>
    <hyperlink r:id="rId3124" ref="BT404"/>
    <hyperlink r:id="rId3125" ref="P405"/>
    <hyperlink r:id="rId3126" ref="BJ405"/>
    <hyperlink r:id="rId3127" ref="BK405"/>
    <hyperlink r:id="rId3128" ref="BL405"/>
    <hyperlink r:id="rId3129" ref="BM405"/>
    <hyperlink r:id="rId3130" ref="BN405"/>
    <hyperlink r:id="rId3131" ref="BO405"/>
    <hyperlink r:id="rId3132" ref="BP405"/>
    <hyperlink r:id="rId3133" ref="P406"/>
    <hyperlink r:id="rId3134" ref="BJ406"/>
    <hyperlink r:id="rId3135" ref="BK406"/>
    <hyperlink r:id="rId3136" ref="BL406"/>
    <hyperlink r:id="rId3137" ref="BM406"/>
    <hyperlink r:id="rId3138" ref="BN406"/>
    <hyperlink r:id="rId3139" ref="BO406"/>
    <hyperlink r:id="rId3140" ref="BP406"/>
    <hyperlink r:id="rId3141" ref="BR406"/>
    <hyperlink r:id="rId3142" ref="BT406"/>
    <hyperlink r:id="rId3143" ref="BU406"/>
    <hyperlink r:id="rId3144" ref="P407"/>
    <hyperlink r:id="rId3145" ref="BJ407"/>
    <hyperlink r:id="rId3146" ref="BK407"/>
    <hyperlink r:id="rId3147" ref="BL407"/>
    <hyperlink r:id="rId3148" ref="BM407"/>
    <hyperlink r:id="rId3149" ref="BN407"/>
    <hyperlink r:id="rId3150" ref="BO407"/>
    <hyperlink r:id="rId3151" ref="BP407"/>
    <hyperlink r:id="rId3152" ref="P408"/>
    <hyperlink r:id="rId3153" ref="BJ408"/>
    <hyperlink r:id="rId3154" ref="BK408"/>
    <hyperlink r:id="rId3155" ref="BL408"/>
    <hyperlink r:id="rId3156" ref="BM408"/>
    <hyperlink r:id="rId3157" ref="BN408"/>
    <hyperlink r:id="rId3158" ref="BO408"/>
    <hyperlink r:id="rId3159" ref="BP408"/>
    <hyperlink r:id="rId3160" ref="P409"/>
    <hyperlink r:id="rId3161" ref="BJ409"/>
    <hyperlink r:id="rId3162" ref="BK409"/>
    <hyperlink r:id="rId3163" ref="BL409"/>
    <hyperlink r:id="rId3164" ref="BM409"/>
    <hyperlink r:id="rId3165" ref="BN409"/>
    <hyperlink r:id="rId3166" ref="BO409"/>
    <hyperlink r:id="rId3167" ref="BT409"/>
    <hyperlink r:id="rId3168" ref="BU409"/>
    <hyperlink r:id="rId3169" ref="BV409"/>
    <hyperlink r:id="rId3170" ref="P410"/>
    <hyperlink r:id="rId3171" ref="BJ410"/>
    <hyperlink r:id="rId3172" ref="BK410"/>
    <hyperlink r:id="rId3173" ref="BL410"/>
    <hyperlink r:id="rId3174" ref="BM410"/>
    <hyperlink r:id="rId3175" ref="BN410"/>
    <hyperlink r:id="rId3176" ref="BO410"/>
    <hyperlink r:id="rId3177" ref="BP410"/>
    <hyperlink r:id="rId3178" ref="BS410"/>
    <hyperlink r:id="rId3179" ref="BT410"/>
    <hyperlink r:id="rId3180" ref="P411"/>
    <hyperlink r:id="rId3181" ref="BJ411"/>
    <hyperlink r:id="rId3182" ref="BK411"/>
    <hyperlink r:id="rId3183" ref="BL411"/>
    <hyperlink r:id="rId3184" ref="BM411"/>
    <hyperlink r:id="rId3185" ref="BN411"/>
    <hyperlink r:id="rId3186" ref="BO411"/>
    <hyperlink r:id="rId3187" ref="BU411"/>
    <hyperlink r:id="rId3188" ref="BV411"/>
    <hyperlink r:id="rId3189" ref="P412"/>
    <hyperlink r:id="rId3190" ref="BJ412"/>
    <hyperlink r:id="rId3191" ref="BK412"/>
    <hyperlink r:id="rId3192" ref="BL412"/>
    <hyperlink r:id="rId3193" ref="BM412"/>
    <hyperlink r:id="rId3194" ref="BN412"/>
    <hyperlink r:id="rId3195" ref="BO412"/>
    <hyperlink r:id="rId3196" ref="BP412"/>
    <hyperlink r:id="rId3197" ref="P413"/>
    <hyperlink r:id="rId3198" ref="BJ413"/>
    <hyperlink r:id="rId3199" ref="BK413"/>
    <hyperlink r:id="rId3200" ref="BO413"/>
    <hyperlink r:id="rId3201" ref="P414"/>
    <hyperlink r:id="rId3202" ref="BJ414"/>
    <hyperlink r:id="rId3203" ref="BK414"/>
    <hyperlink r:id="rId3204" ref="BO414"/>
    <hyperlink r:id="rId3205" ref="P415"/>
    <hyperlink r:id="rId3206" ref="BJ415"/>
    <hyperlink r:id="rId3207" ref="BK415"/>
    <hyperlink r:id="rId3208" ref="BM415"/>
    <hyperlink r:id="rId3209" ref="BO415"/>
    <hyperlink r:id="rId3210" ref="P416"/>
    <hyperlink r:id="rId3211" ref="BJ416"/>
    <hyperlink r:id="rId3212" ref="BK416"/>
    <hyperlink r:id="rId3213" ref="BO416"/>
    <hyperlink r:id="rId3214" ref="P417"/>
    <hyperlink r:id="rId3215" ref="BJ417"/>
    <hyperlink r:id="rId3216" ref="BK417"/>
    <hyperlink r:id="rId3217" ref="BN417"/>
    <hyperlink r:id="rId3218" ref="BO417"/>
    <hyperlink r:id="rId3219" ref="P418"/>
    <hyperlink r:id="rId3220" ref="BJ418"/>
    <hyperlink r:id="rId3221" ref="BK418"/>
    <hyperlink r:id="rId3222" ref="BN418"/>
    <hyperlink r:id="rId3223" ref="BO418"/>
    <hyperlink r:id="rId3224" ref="BR418"/>
    <hyperlink r:id="rId3225" ref="BS418"/>
    <hyperlink r:id="rId3226" ref="BT418"/>
    <hyperlink r:id="rId3227" ref="BU418"/>
    <hyperlink r:id="rId3228" ref="BV418"/>
    <hyperlink r:id="rId3229" ref="P419"/>
    <hyperlink r:id="rId3230" ref="BJ419"/>
    <hyperlink r:id="rId3231" ref="BK419"/>
    <hyperlink r:id="rId3232" ref="BN419"/>
    <hyperlink r:id="rId3233" ref="BO419"/>
    <hyperlink r:id="rId3234" ref="BP419"/>
    <hyperlink r:id="rId3235" ref="BS419"/>
    <hyperlink r:id="rId3236" ref="BT419"/>
    <hyperlink r:id="rId3237" ref="P420"/>
    <hyperlink r:id="rId3238" ref="BJ420"/>
    <hyperlink r:id="rId3239" ref="BK420"/>
    <hyperlink r:id="rId3240" ref="BL420"/>
    <hyperlink r:id="rId3241" ref="BM420"/>
    <hyperlink r:id="rId3242" ref="BN420"/>
    <hyperlink r:id="rId3243" ref="BO420"/>
    <hyperlink r:id="rId3244" ref="BU420"/>
    <hyperlink r:id="rId3245" ref="BV420"/>
    <hyperlink r:id="rId3246" ref="P421"/>
    <hyperlink r:id="rId3247" ref="BJ421"/>
    <hyperlink r:id="rId3248" ref="BK421"/>
    <hyperlink r:id="rId3249" ref="BL421"/>
    <hyperlink r:id="rId3250" ref="BM421"/>
    <hyperlink r:id="rId3251" ref="BN421"/>
    <hyperlink r:id="rId3252" ref="BO421"/>
    <hyperlink r:id="rId3253" ref="BT421"/>
    <hyperlink r:id="rId3254" ref="BU421"/>
    <hyperlink r:id="rId3255" ref="BV421"/>
    <hyperlink r:id="rId3256" ref="P422"/>
    <hyperlink r:id="rId3257" ref="BJ422"/>
    <hyperlink r:id="rId3258" ref="BK422"/>
    <hyperlink r:id="rId3259" ref="BL422"/>
    <hyperlink r:id="rId3260" ref="BM422"/>
    <hyperlink r:id="rId3261" ref="BN422"/>
    <hyperlink r:id="rId3262" ref="BO422"/>
    <hyperlink r:id="rId3263" ref="BP422"/>
    <hyperlink r:id="rId3264" ref="P423"/>
    <hyperlink r:id="rId3265" ref="BJ423"/>
    <hyperlink r:id="rId3266" ref="BK423"/>
    <hyperlink r:id="rId3267" ref="BL423"/>
    <hyperlink r:id="rId3268" ref="BM423"/>
    <hyperlink r:id="rId3269" ref="BO423"/>
    <hyperlink r:id="rId3270" ref="BP423"/>
    <hyperlink r:id="rId3271" ref="P424"/>
    <hyperlink r:id="rId3272" ref="BJ424"/>
    <hyperlink r:id="rId3273" ref="BK424"/>
    <hyperlink r:id="rId3274" ref="BL424"/>
    <hyperlink r:id="rId3275" ref="BM424"/>
    <hyperlink r:id="rId3276" ref="BN424"/>
    <hyperlink r:id="rId3277" ref="BO424"/>
    <hyperlink r:id="rId3278" ref="BP424"/>
    <hyperlink r:id="rId3279" ref="BR424"/>
    <hyperlink r:id="rId3280" ref="BT424"/>
    <hyperlink r:id="rId3281" ref="P425"/>
    <hyperlink r:id="rId3282" ref="BJ425"/>
    <hyperlink r:id="rId3283" ref="BK425"/>
    <hyperlink r:id="rId3284" ref="BL425"/>
    <hyperlink r:id="rId3285" ref="BM425"/>
    <hyperlink r:id="rId3286" ref="BN425"/>
    <hyperlink r:id="rId3287" ref="BO425"/>
    <hyperlink r:id="rId3288" ref="BP425"/>
    <hyperlink r:id="rId3289" ref="P426"/>
    <hyperlink r:id="rId3290" ref="BJ426"/>
    <hyperlink r:id="rId3291" ref="BK426"/>
    <hyperlink r:id="rId3292" ref="BO426"/>
    <hyperlink r:id="rId3293" ref="BT426"/>
    <hyperlink r:id="rId3294" ref="P427"/>
    <hyperlink r:id="rId3295" ref="BJ427"/>
    <hyperlink r:id="rId3296" ref="BK427"/>
    <hyperlink r:id="rId3297" ref="BM427"/>
    <hyperlink r:id="rId3298" ref="BN427"/>
    <hyperlink r:id="rId3299" ref="BO427"/>
    <hyperlink r:id="rId3300" ref="P428"/>
    <hyperlink r:id="rId3301" ref="BJ428"/>
    <hyperlink r:id="rId3302" ref="BK428"/>
    <hyperlink r:id="rId3303" ref="BM428"/>
    <hyperlink r:id="rId3304" ref="BN428"/>
    <hyperlink r:id="rId3305" ref="BO428"/>
    <hyperlink r:id="rId3306" ref="BP428"/>
    <hyperlink r:id="rId3307" ref="BR428"/>
    <hyperlink r:id="rId3308" ref="P429"/>
    <hyperlink r:id="rId3309" ref="BJ429"/>
    <hyperlink r:id="rId3310" ref="BK429"/>
    <hyperlink r:id="rId3311" ref="BL429"/>
    <hyperlink r:id="rId3312" ref="BM429"/>
    <hyperlink r:id="rId3313" ref="BN429"/>
    <hyperlink r:id="rId3314" ref="BO429"/>
    <hyperlink r:id="rId3315" ref="P430"/>
    <hyperlink r:id="rId3316" ref="BJ430"/>
    <hyperlink r:id="rId3317" ref="BK430"/>
    <hyperlink r:id="rId3318" ref="BL430"/>
    <hyperlink r:id="rId3319" ref="BM430"/>
    <hyperlink r:id="rId3320" ref="BN430"/>
    <hyperlink r:id="rId3321" ref="BO430"/>
    <hyperlink r:id="rId3322" ref="BP430"/>
    <hyperlink r:id="rId3323" ref="P431"/>
    <hyperlink r:id="rId3324" ref="BJ431"/>
    <hyperlink r:id="rId3325" ref="BK431"/>
    <hyperlink r:id="rId3326" ref="BN431"/>
    <hyperlink r:id="rId3327" ref="BO431"/>
    <hyperlink r:id="rId3328" ref="BP431"/>
    <hyperlink r:id="rId3329" ref="P432"/>
    <hyperlink r:id="rId3330" ref="BJ432"/>
    <hyperlink r:id="rId3331" ref="BK432"/>
    <hyperlink r:id="rId3332" ref="BM432"/>
    <hyperlink r:id="rId3333" ref="BO432"/>
    <hyperlink r:id="rId3334" ref="P433"/>
    <hyperlink r:id="rId3335" ref="BJ433"/>
    <hyperlink r:id="rId3336" ref="BK433"/>
    <hyperlink r:id="rId3337" ref="BL433"/>
    <hyperlink r:id="rId3338" ref="BM433"/>
    <hyperlink r:id="rId3339" ref="BN433"/>
    <hyperlink r:id="rId3340" ref="BO433"/>
    <hyperlink r:id="rId3341" ref="BP433"/>
    <hyperlink r:id="rId3342" ref="BR433"/>
    <hyperlink r:id="rId3343" ref="BT433"/>
    <hyperlink r:id="rId3344" ref="P434"/>
    <hyperlink r:id="rId3345" ref="BJ434"/>
    <hyperlink r:id="rId3346" ref="BK434"/>
    <hyperlink r:id="rId3347" ref="BL434"/>
    <hyperlink r:id="rId3348" ref="BM434"/>
    <hyperlink r:id="rId3349" ref="BN434"/>
    <hyperlink r:id="rId3350" ref="BO434"/>
    <hyperlink r:id="rId3351" ref="BT434"/>
    <hyperlink r:id="rId3352" ref="P435"/>
    <hyperlink r:id="rId3353" ref="BJ435"/>
    <hyperlink r:id="rId3354" ref="BK435"/>
    <hyperlink r:id="rId3355" ref="BL435"/>
    <hyperlink r:id="rId3356" ref="BM435"/>
    <hyperlink r:id="rId3357" ref="BN435"/>
    <hyperlink r:id="rId3358" ref="BO435"/>
    <hyperlink r:id="rId3359" ref="BP435"/>
    <hyperlink r:id="rId3360" ref="P436"/>
    <hyperlink r:id="rId3361" ref="BJ436"/>
    <hyperlink r:id="rId3362" ref="BK436"/>
    <hyperlink r:id="rId3363" ref="BL436"/>
    <hyperlink r:id="rId3364" ref="BM436"/>
    <hyperlink r:id="rId3365" ref="BN436"/>
    <hyperlink r:id="rId3366" ref="BO436"/>
    <hyperlink r:id="rId3367" ref="BP436"/>
    <hyperlink r:id="rId3368" ref="P437"/>
    <hyperlink r:id="rId3369" ref="BJ437"/>
    <hyperlink r:id="rId3370" ref="BK437"/>
    <hyperlink r:id="rId3371" ref="BL437"/>
    <hyperlink r:id="rId3372" ref="BM437"/>
    <hyperlink r:id="rId3373" ref="BN437"/>
    <hyperlink r:id="rId3374" ref="BO437"/>
    <hyperlink r:id="rId3375" ref="BT437"/>
    <hyperlink r:id="rId3376" ref="P438"/>
    <hyperlink r:id="rId3377" ref="BJ438"/>
    <hyperlink r:id="rId3378" ref="BK438"/>
    <hyperlink r:id="rId3379" ref="BO438"/>
    <hyperlink r:id="rId3380" ref="P439"/>
    <hyperlink r:id="rId3381" ref="BJ439"/>
    <hyperlink r:id="rId3382" ref="BK439"/>
    <hyperlink r:id="rId3383" ref="BL439"/>
    <hyperlink r:id="rId3384" ref="BM439"/>
    <hyperlink r:id="rId3385" ref="BN439"/>
    <hyperlink r:id="rId3386" ref="BO439"/>
    <hyperlink r:id="rId3387" ref="BP439"/>
    <hyperlink r:id="rId3388" ref="BR439"/>
    <hyperlink r:id="rId3389" ref="P440"/>
    <hyperlink r:id="rId3390" ref="BJ440"/>
    <hyperlink r:id="rId3391" ref="BK440"/>
    <hyperlink r:id="rId3392" ref="BL440"/>
    <hyperlink r:id="rId3393" ref="BM440"/>
    <hyperlink r:id="rId3394" ref="BN440"/>
    <hyperlink r:id="rId3395" ref="BO440"/>
    <hyperlink r:id="rId3396" ref="BP440"/>
    <hyperlink r:id="rId3397" ref="P441"/>
    <hyperlink r:id="rId3398" ref="BK441"/>
    <hyperlink r:id="rId3399" ref="BL441"/>
    <hyperlink r:id="rId3400" ref="BM441"/>
    <hyperlink r:id="rId3401" ref="BN441"/>
    <hyperlink r:id="rId3402" ref="BO441"/>
    <hyperlink r:id="rId3403" ref="BP441"/>
    <hyperlink r:id="rId3404" ref="P442"/>
    <hyperlink r:id="rId3405" ref="BJ442"/>
    <hyperlink r:id="rId3406" ref="BK442"/>
    <hyperlink r:id="rId3407" ref="BL442"/>
    <hyperlink r:id="rId3408" ref="BM442"/>
    <hyperlink r:id="rId3409" ref="BN442"/>
    <hyperlink r:id="rId3410" ref="BO442"/>
    <hyperlink r:id="rId3411" ref="BP442"/>
    <hyperlink r:id="rId3412" ref="P443"/>
    <hyperlink r:id="rId3413" ref="BJ443"/>
    <hyperlink r:id="rId3414" ref="BK443"/>
    <hyperlink r:id="rId3415" ref="BL443"/>
    <hyperlink r:id="rId3416" ref="BM443"/>
    <hyperlink r:id="rId3417" ref="BN443"/>
    <hyperlink r:id="rId3418" ref="BO443"/>
    <hyperlink r:id="rId3419" ref="BP443"/>
    <hyperlink r:id="rId3420" ref="P444"/>
    <hyperlink r:id="rId3421" ref="BJ444"/>
    <hyperlink r:id="rId3422" ref="BK444"/>
    <hyperlink r:id="rId3423" ref="BL444"/>
    <hyperlink r:id="rId3424" ref="BM444"/>
    <hyperlink r:id="rId3425" ref="BN444"/>
    <hyperlink r:id="rId3426" ref="BO444"/>
    <hyperlink r:id="rId3427" ref="BP444"/>
    <hyperlink r:id="rId3428" ref="P445"/>
    <hyperlink r:id="rId3429" ref="BJ445"/>
    <hyperlink r:id="rId3430" ref="BK445"/>
    <hyperlink r:id="rId3431" ref="BM445"/>
    <hyperlink r:id="rId3432" ref="BO445"/>
    <hyperlink r:id="rId3433" ref="BP445"/>
    <hyperlink r:id="rId3434" ref="BT445"/>
    <hyperlink r:id="rId3435" ref="BV445"/>
    <hyperlink r:id="rId3436" ref="BJ446"/>
    <hyperlink r:id="rId3437" ref="BK446"/>
    <hyperlink r:id="rId3438" ref="BL446"/>
    <hyperlink r:id="rId3439" ref="BM446"/>
    <hyperlink r:id="rId3440" ref="BN446"/>
    <hyperlink r:id="rId3441" ref="BO446"/>
    <hyperlink r:id="rId3442" ref="BP446"/>
    <hyperlink r:id="rId3443" ref="BT446"/>
    <hyperlink r:id="rId3444" ref="BU446"/>
    <hyperlink r:id="rId3445" ref="BV446"/>
    <hyperlink r:id="rId3446" ref="P447"/>
    <hyperlink r:id="rId3447" ref="BJ447"/>
    <hyperlink r:id="rId3448" ref="BK447"/>
    <hyperlink r:id="rId3449" ref="BN447"/>
    <hyperlink r:id="rId3450" ref="BO447"/>
    <hyperlink r:id="rId3451" ref="BP447"/>
    <hyperlink r:id="rId3452" ref="P448"/>
    <hyperlink r:id="rId3453" ref="BJ448"/>
    <hyperlink r:id="rId3454" ref="BK448"/>
    <hyperlink r:id="rId3455" ref="BL448"/>
    <hyperlink r:id="rId3456" ref="BM448"/>
    <hyperlink r:id="rId3457" ref="BN448"/>
    <hyperlink r:id="rId3458" ref="BO448"/>
    <hyperlink r:id="rId3459" ref="P449"/>
    <hyperlink r:id="rId3460" ref="BJ449"/>
    <hyperlink r:id="rId3461" ref="BK449"/>
    <hyperlink r:id="rId3462" ref="BL449"/>
    <hyperlink r:id="rId3463" ref="BM449"/>
    <hyperlink r:id="rId3464" ref="BN449"/>
    <hyperlink r:id="rId3465" ref="BO449"/>
    <hyperlink r:id="rId3466" ref="BP449"/>
    <hyperlink r:id="rId3467" ref="BU449"/>
    <hyperlink r:id="rId3468" ref="BV449"/>
    <hyperlink r:id="rId3469" ref="P450"/>
    <hyperlink r:id="rId3470" ref="BJ450"/>
    <hyperlink r:id="rId3471" ref="BK450"/>
    <hyperlink r:id="rId3472" ref="BL450"/>
    <hyperlink r:id="rId3473" ref="BM450"/>
    <hyperlink r:id="rId3474" ref="BN450"/>
    <hyperlink r:id="rId3475" ref="BO450"/>
    <hyperlink r:id="rId3476" ref="BP450"/>
    <hyperlink r:id="rId3477" ref="P451"/>
    <hyperlink r:id="rId3478" ref="BJ451"/>
    <hyperlink r:id="rId3479" ref="BK451"/>
    <hyperlink r:id="rId3480" ref="BL451"/>
    <hyperlink r:id="rId3481" ref="BM451"/>
    <hyperlink r:id="rId3482" ref="BN451"/>
    <hyperlink r:id="rId3483" ref="BO451"/>
    <hyperlink r:id="rId3484" ref="BP451"/>
    <hyperlink r:id="rId3485" ref="P452"/>
    <hyperlink r:id="rId3486" ref="BJ452"/>
    <hyperlink r:id="rId3487" ref="BK452"/>
    <hyperlink r:id="rId3488" ref="BL452"/>
    <hyperlink r:id="rId3489" ref="BM452"/>
    <hyperlink r:id="rId3490" ref="BN452"/>
    <hyperlink r:id="rId3491" ref="BO452"/>
    <hyperlink r:id="rId3492" ref="BS452"/>
    <hyperlink r:id="rId3493" ref="BT452"/>
    <hyperlink r:id="rId3494" ref="P453"/>
    <hyperlink r:id="rId3495" ref="BJ453"/>
    <hyperlink r:id="rId3496" ref="BK453"/>
    <hyperlink r:id="rId3497" ref="BL453"/>
    <hyperlink r:id="rId3498" ref="BM453"/>
    <hyperlink r:id="rId3499" ref="BN453"/>
    <hyperlink r:id="rId3500" ref="BO453"/>
    <hyperlink r:id="rId3501" ref="BS453"/>
    <hyperlink r:id="rId3502" ref="BT453"/>
    <hyperlink r:id="rId3503" ref="BU453"/>
    <hyperlink r:id="rId3504" ref="BV453"/>
    <hyperlink r:id="rId3505" ref="P454"/>
    <hyperlink r:id="rId3506" ref="BJ454"/>
    <hyperlink r:id="rId3507" ref="BK454"/>
    <hyperlink r:id="rId3508" ref="BL454"/>
    <hyperlink r:id="rId3509" ref="BM454"/>
    <hyperlink r:id="rId3510" ref="BN454"/>
    <hyperlink r:id="rId3511" ref="BO454"/>
    <hyperlink r:id="rId3512" ref="BP454"/>
    <hyperlink r:id="rId3513" ref="BR454"/>
    <hyperlink r:id="rId3514" ref="BS454"/>
    <hyperlink r:id="rId3515" ref="BT454"/>
    <hyperlink r:id="rId3516" ref="BU454"/>
    <hyperlink r:id="rId3517" ref="BV454"/>
    <hyperlink r:id="rId3518" ref="P455"/>
    <hyperlink r:id="rId3519" ref="BJ455"/>
    <hyperlink r:id="rId3520" ref="BK455"/>
    <hyperlink r:id="rId3521" ref="BL455"/>
    <hyperlink r:id="rId3522" ref="BM455"/>
    <hyperlink r:id="rId3523" ref="BN455"/>
    <hyperlink r:id="rId3524" ref="BO455"/>
    <hyperlink r:id="rId3525" ref="BP455"/>
    <hyperlink r:id="rId3526" ref="BR455"/>
    <hyperlink r:id="rId3527" ref="P456"/>
    <hyperlink r:id="rId3528" ref="BJ456"/>
    <hyperlink r:id="rId3529" ref="BK456"/>
    <hyperlink r:id="rId3530" ref="BM456"/>
    <hyperlink r:id="rId3531" ref="BN456"/>
    <hyperlink r:id="rId3532" ref="BO456"/>
    <hyperlink r:id="rId3533" ref="BP456"/>
    <hyperlink r:id="rId3534" ref="P457"/>
    <hyperlink r:id="rId3535" ref="BJ457"/>
    <hyperlink r:id="rId3536" ref="BK457"/>
    <hyperlink r:id="rId3537" ref="BN457"/>
    <hyperlink r:id="rId3538" ref="BO457"/>
    <hyperlink r:id="rId3539" ref="P458"/>
    <hyperlink r:id="rId3540" ref="BJ458"/>
    <hyperlink r:id="rId3541" ref="BK458"/>
    <hyperlink r:id="rId3542" ref="BL458"/>
    <hyperlink r:id="rId3543" ref="BM458"/>
    <hyperlink r:id="rId3544" ref="BN458"/>
    <hyperlink r:id="rId3545" ref="BO458"/>
    <hyperlink r:id="rId3546" ref="BP458"/>
    <hyperlink r:id="rId3547" ref="P459"/>
    <hyperlink r:id="rId3548" ref="BJ459"/>
    <hyperlink r:id="rId3549" ref="BK459"/>
    <hyperlink r:id="rId3550" ref="BL459"/>
    <hyperlink r:id="rId3551" ref="BM459"/>
    <hyperlink r:id="rId3552" ref="BN459"/>
    <hyperlink r:id="rId3553" ref="BO459"/>
    <hyperlink r:id="rId3554" ref="P460"/>
    <hyperlink r:id="rId3555" ref="BJ460"/>
    <hyperlink r:id="rId3556" ref="BK460"/>
    <hyperlink r:id="rId3557" ref="BL460"/>
    <hyperlink r:id="rId3558" ref="BM460"/>
    <hyperlink r:id="rId3559" ref="BN460"/>
    <hyperlink r:id="rId3560" ref="BO460"/>
    <hyperlink r:id="rId3561" ref="P461"/>
    <hyperlink r:id="rId3562" ref="BJ461"/>
    <hyperlink r:id="rId3563" ref="BK461"/>
    <hyperlink r:id="rId3564" ref="BN461"/>
    <hyperlink r:id="rId3565" ref="BO461"/>
    <hyperlink r:id="rId3566" ref="BP461"/>
    <hyperlink r:id="rId3567" ref="P462"/>
    <hyperlink r:id="rId3568" ref="BJ462"/>
    <hyperlink r:id="rId3569" ref="BK462"/>
    <hyperlink r:id="rId3570" ref="BO462"/>
    <hyperlink r:id="rId3571" ref="BP462"/>
    <hyperlink r:id="rId3572" ref="P463"/>
    <hyperlink r:id="rId3573" ref="BJ463"/>
    <hyperlink r:id="rId3574" ref="BK463"/>
    <hyperlink r:id="rId3575" ref="BL463"/>
    <hyperlink r:id="rId3576" ref="BM463"/>
    <hyperlink r:id="rId3577" ref="BO463"/>
    <hyperlink r:id="rId3578" ref="BT463"/>
    <hyperlink r:id="rId3579" ref="P464"/>
    <hyperlink r:id="rId3580" ref="BJ464"/>
    <hyperlink r:id="rId3581" ref="BK464"/>
    <hyperlink r:id="rId3582" ref="BL464"/>
    <hyperlink r:id="rId3583" ref="BM464"/>
    <hyperlink r:id="rId3584" ref="BO464"/>
    <hyperlink r:id="rId3585" ref="P465"/>
    <hyperlink r:id="rId3586" ref="BJ465"/>
    <hyperlink r:id="rId3587" ref="BK465"/>
    <hyperlink r:id="rId3588" ref="BL465"/>
    <hyperlink r:id="rId3589" ref="BM465"/>
    <hyperlink r:id="rId3590" ref="BN465"/>
    <hyperlink r:id="rId3591" ref="BO465"/>
    <hyperlink r:id="rId3592" ref="BP465"/>
    <hyperlink r:id="rId3593" ref="BS465"/>
    <hyperlink r:id="rId3594" ref="BT465"/>
    <hyperlink r:id="rId3595" ref="P466"/>
    <hyperlink r:id="rId3596" ref="BJ466"/>
    <hyperlink r:id="rId3597" ref="BK466"/>
    <hyperlink r:id="rId3598" ref="BN466"/>
    <hyperlink r:id="rId3599" ref="BO466"/>
    <hyperlink r:id="rId3600" ref="BP466"/>
    <hyperlink r:id="rId3601" ref="BR466"/>
    <hyperlink r:id="rId3602" ref="BT466"/>
    <hyperlink r:id="rId3603" ref="BU466"/>
    <hyperlink r:id="rId3604" ref="BV466"/>
    <hyperlink r:id="rId3605" ref="P467"/>
    <hyperlink r:id="rId3606" ref="BJ467"/>
    <hyperlink r:id="rId3607" ref="BK467"/>
    <hyperlink r:id="rId3608" ref="BL467"/>
    <hyperlink r:id="rId3609" ref="BN467"/>
    <hyperlink r:id="rId3610" ref="BO467"/>
    <hyperlink r:id="rId3611" ref="P468"/>
    <hyperlink r:id="rId3612" ref="BJ468"/>
    <hyperlink r:id="rId3613" ref="BK468"/>
    <hyperlink r:id="rId3614" ref="BN468"/>
    <hyperlink r:id="rId3615" ref="BO468"/>
    <hyperlink r:id="rId3616" ref="P469"/>
    <hyperlink r:id="rId3617" ref="BJ469"/>
    <hyperlink r:id="rId3618" ref="BK469"/>
    <hyperlink r:id="rId3619" ref="BL469"/>
    <hyperlink r:id="rId3620" ref="BM469"/>
    <hyperlink r:id="rId3621" ref="BN469"/>
    <hyperlink r:id="rId3622" ref="BO469"/>
    <hyperlink r:id="rId3623" ref="BP469"/>
    <hyperlink r:id="rId3624" ref="BT469"/>
    <hyperlink r:id="rId3625" ref="P470"/>
    <hyperlink r:id="rId3626" ref="BJ470"/>
    <hyperlink r:id="rId3627" ref="BK470"/>
    <hyperlink r:id="rId3628" ref="BM470"/>
    <hyperlink r:id="rId3629" ref="BO470"/>
    <hyperlink r:id="rId3630" ref="BP470"/>
    <hyperlink r:id="rId3631" ref="P471"/>
    <hyperlink r:id="rId3632" ref="BJ471"/>
    <hyperlink r:id="rId3633" ref="BK471"/>
    <hyperlink r:id="rId3634" ref="BL471"/>
    <hyperlink r:id="rId3635" ref="BO471"/>
    <hyperlink r:id="rId3636" ref="BP471"/>
    <hyperlink r:id="rId3637" ref="BT471"/>
    <hyperlink r:id="rId3638" ref="P472"/>
    <hyperlink r:id="rId3639" ref="BJ472"/>
    <hyperlink r:id="rId3640" ref="BK472"/>
    <hyperlink r:id="rId3641" ref="BL472"/>
    <hyperlink r:id="rId3642" ref="BM472"/>
    <hyperlink r:id="rId3643" ref="BN472"/>
    <hyperlink r:id="rId3644" ref="BO472"/>
    <hyperlink r:id="rId3645" ref="BP472"/>
    <hyperlink r:id="rId3646" ref="P473"/>
    <hyperlink r:id="rId3647" ref="BK473"/>
    <hyperlink r:id="rId3648" ref="BO473"/>
    <hyperlink r:id="rId3649" ref="BP473"/>
    <hyperlink r:id="rId3650" ref="BT473"/>
    <hyperlink r:id="rId3651" ref="BU473"/>
    <hyperlink r:id="rId3652" ref="BV473"/>
    <hyperlink r:id="rId3653" ref="P474"/>
    <hyperlink r:id="rId3654" ref="BJ474"/>
    <hyperlink r:id="rId3655" ref="BK474"/>
    <hyperlink r:id="rId3656" ref="BL474"/>
    <hyperlink r:id="rId3657" ref="BM474"/>
    <hyperlink r:id="rId3658" ref="BN474"/>
    <hyperlink r:id="rId3659" ref="BO474"/>
    <hyperlink r:id="rId3660" ref="BP474"/>
    <hyperlink r:id="rId3661" ref="BR474"/>
    <hyperlink r:id="rId3662" ref="P475"/>
    <hyperlink r:id="rId3663" ref="BJ475"/>
    <hyperlink r:id="rId3664" ref="BK475"/>
    <hyperlink r:id="rId3665" ref="BN475"/>
    <hyperlink r:id="rId3666" ref="BO475"/>
    <hyperlink r:id="rId3667" ref="BP475"/>
    <hyperlink r:id="rId3668" ref="BS475"/>
    <hyperlink r:id="rId3669" ref="BT475"/>
    <hyperlink r:id="rId3670" ref="P476"/>
    <hyperlink r:id="rId3671" ref="BJ476"/>
    <hyperlink r:id="rId3672" ref="BK476"/>
    <hyperlink r:id="rId3673" ref="BL476"/>
    <hyperlink r:id="rId3674" ref="BM476"/>
    <hyperlink r:id="rId3675" ref="BO476"/>
    <hyperlink r:id="rId3676" ref="BP476"/>
    <hyperlink r:id="rId3677" ref="P477"/>
    <hyperlink r:id="rId3678" ref="AQ477"/>
    <hyperlink r:id="rId3679" ref="AR477"/>
    <hyperlink r:id="rId3680" ref="BJ477"/>
    <hyperlink r:id="rId3681" ref="BK477"/>
    <hyperlink r:id="rId3682" ref="BL477"/>
    <hyperlink r:id="rId3683" ref="BM477"/>
    <hyperlink r:id="rId3684" ref="BN477"/>
    <hyperlink r:id="rId3685" ref="BO477"/>
    <hyperlink r:id="rId3686" ref="BP477"/>
    <hyperlink r:id="rId3687" ref="P478"/>
    <hyperlink r:id="rId3688" ref="BJ478"/>
    <hyperlink r:id="rId3689" ref="BK478"/>
    <hyperlink r:id="rId3690" ref="BL478"/>
    <hyperlink r:id="rId3691" ref="BM478"/>
    <hyperlink r:id="rId3692" ref="BN478"/>
    <hyperlink r:id="rId3693" ref="BO478"/>
    <hyperlink r:id="rId3694" ref="BP478"/>
    <hyperlink r:id="rId3695" ref="P479"/>
    <hyperlink r:id="rId3696" ref="BJ479"/>
    <hyperlink r:id="rId3697" ref="BK479"/>
    <hyperlink r:id="rId3698" ref="BL479"/>
    <hyperlink r:id="rId3699" ref="BM479"/>
    <hyperlink r:id="rId3700" ref="BN479"/>
    <hyperlink r:id="rId3701" ref="BO479"/>
    <hyperlink r:id="rId3702" ref="BP479"/>
    <hyperlink r:id="rId3703" ref="BR479"/>
    <hyperlink r:id="rId3704" ref="BS479"/>
    <hyperlink r:id="rId3705" ref="BT479"/>
    <hyperlink r:id="rId3706" ref="BU479"/>
    <hyperlink r:id="rId3707" ref="BV479"/>
    <hyperlink r:id="rId3708" ref="P480"/>
    <hyperlink r:id="rId3709" ref="BK480"/>
    <hyperlink r:id="rId3710" ref="BM480"/>
    <hyperlink r:id="rId3711" ref="BN480"/>
    <hyperlink r:id="rId3712" ref="BO480"/>
    <hyperlink r:id="rId3713" ref="P481"/>
    <hyperlink r:id="rId3714" ref="BJ481"/>
    <hyperlink r:id="rId3715" ref="BK481"/>
    <hyperlink r:id="rId3716" ref="BL481"/>
    <hyperlink r:id="rId3717" ref="BM481"/>
    <hyperlink r:id="rId3718" ref="BN481"/>
    <hyperlink r:id="rId3719" ref="BO481"/>
    <hyperlink r:id="rId3720" ref="BP481"/>
    <hyperlink r:id="rId3721" ref="P482"/>
    <hyperlink r:id="rId3722" ref="BJ482"/>
    <hyperlink r:id="rId3723" ref="BK482"/>
    <hyperlink r:id="rId3724" ref="BM482"/>
    <hyperlink r:id="rId3725" ref="BO482"/>
    <hyperlink r:id="rId3726" ref="BP482"/>
    <hyperlink r:id="rId3727" ref="BT482"/>
    <hyperlink r:id="rId3728" ref="P483"/>
    <hyperlink r:id="rId3729" ref="AQ483"/>
    <hyperlink r:id="rId3730" ref="BJ483"/>
    <hyperlink r:id="rId3731" ref="BK483"/>
    <hyperlink r:id="rId3732" ref="BL483"/>
    <hyperlink r:id="rId3733" ref="BM483"/>
    <hyperlink r:id="rId3734" ref="BN483"/>
    <hyperlink r:id="rId3735" ref="BO483"/>
    <hyperlink r:id="rId3736" ref="BP483"/>
    <hyperlink r:id="rId3737" ref="BR483"/>
    <hyperlink r:id="rId3738" ref="BS483"/>
    <hyperlink r:id="rId3739" ref="BT483"/>
    <hyperlink r:id="rId3740" ref="BU483"/>
    <hyperlink r:id="rId3741" ref="BV483"/>
    <hyperlink r:id="rId3742" ref="P484"/>
    <hyperlink r:id="rId3743" ref="BK484"/>
    <hyperlink r:id="rId3744" ref="BL484"/>
    <hyperlink r:id="rId3745" ref="BM484"/>
    <hyperlink r:id="rId3746" ref="BN484"/>
    <hyperlink r:id="rId3747" ref="BO484"/>
    <hyperlink r:id="rId3748" ref="BP484"/>
    <hyperlink r:id="rId3749" ref="P485"/>
    <hyperlink r:id="rId3750" ref="BJ485"/>
    <hyperlink r:id="rId3751" ref="BK485"/>
    <hyperlink r:id="rId3752" ref="BO485"/>
    <hyperlink r:id="rId3753" ref="P486"/>
    <hyperlink r:id="rId3754" ref="BJ486"/>
    <hyperlink r:id="rId3755" ref="BK486"/>
    <hyperlink r:id="rId3756" ref="BL486"/>
    <hyperlink r:id="rId3757" ref="BM486"/>
    <hyperlink r:id="rId3758" ref="BO486"/>
    <hyperlink r:id="rId3759" ref="BU486"/>
    <hyperlink r:id="rId3760" ref="BV486"/>
    <hyperlink r:id="rId3761" ref="P487"/>
    <hyperlink r:id="rId3762" ref="BJ487"/>
    <hyperlink r:id="rId3763" ref="BK487"/>
    <hyperlink r:id="rId3764" ref="BL487"/>
    <hyperlink r:id="rId3765" ref="BM487"/>
    <hyperlink r:id="rId3766" ref="BN487"/>
    <hyperlink r:id="rId3767" ref="BO487"/>
    <hyperlink r:id="rId3768" ref="BP487"/>
    <hyperlink r:id="rId3769" ref="P488"/>
    <hyperlink r:id="rId3770" ref="BJ488"/>
    <hyperlink r:id="rId3771" ref="BK488"/>
    <hyperlink r:id="rId3772" ref="BM488"/>
    <hyperlink r:id="rId3773" ref="BN488"/>
    <hyperlink r:id="rId3774" ref="BO488"/>
    <hyperlink r:id="rId3775" ref="BP488"/>
    <hyperlink r:id="rId3776" ref="P489"/>
    <hyperlink r:id="rId3777" ref="AQ489"/>
    <hyperlink r:id="rId3778" ref="BJ489"/>
    <hyperlink r:id="rId3779" ref="BK489"/>
    <hyperlink r:id="rId3780" ref="BN489"/>
    <hyperlink r:id="rId3781" ref="BO489"/>
    <hyperlink r:id="rId3782" ref="BP489"/>
    <hyperlink r:id="rId3783" ref="BR489"/>
    <hyperlink r:id="rId3784" ref="BS489"/>
    <hyperlink r:id="rId3785" ref="BT489"/>
    <hyperlink r:id="rId3786" ref="BV489"/>
    <hyperlink r:id="rId3787" ref="P490"/>
    <hyperlink r:id="rId3788" ref="BJ490"/>
    <hyperlink r:id="rId3789" ref="BK490"/>
    <hyperlink r:id="rId3790" ref="BL490"/>
    <hyperlink r:id="rId3791" ref="BM490"/>
    <hyperlink r:id="rId3792" ref="BN490"/>
    <hyperlink r:id="rId3793" ref="BO490"/>
    <hyperlink r:id="rId3794" ref="BP490"/>
    <hyperlink r:id="rId3795" ref="P491"/>
    <hyperlink r:id="rId3796" ref="BJ491"/>
    <hyperlink r:id="rId3797" ref="BK491"/>
    <hyperlink r:id="rId3798" ref="BM491"/>
    <hyperlink r:id="rId3799" ref="BO491"/>
    <hyperlink r:id="rId3800" ref="P492"/>
    <hyperlink r:id="rId3801" ref="BJ492"/>
    <hyperlink r:id="rId3802" ref="BK492"/>
    <hyperlink r:id="rId3803" ref="BL492"/>
    <hyperlink r:id="rId3804" ref="BM492"/>
    <hyperlink r:id="rId3805" ref="BN492"/>
    <hyperlink r:id="rId3806" ref="BO492"/>
    <hyperlink r:id="rId3807" ref="BT492"/>
    <hyperlink r:id="rId3808" ref="P493"/>
    <hyperlink r:id="rId3809" ref="BJ493"/>
    <hyperlink r:id="rId3810" ref="BK493"/>
    <hyperlink r:id="rId3811" ref="BL493"/>
    <hyperlink r:id="rId3812" ref="BM493"/>
    <hyperlink r:id="rId3813" ref="BN493"/>
    <hyperlink r:id="rId3814" ref="BO493"/>
    <hyperlink r:id="rId3815" ref="BP493"/>
    <hyperlink r:id="rId3816" ref="BU493"/>
    <hyperlink r:id="rId3817" ref="BV493"/>
    <hyperlink r:id="rId3818" ref="P494"/>
    <hyperlink r:id="rId3819" ref="BJ494"/>
    <hyperlink r:id="rId3820" ref="BK494"/>
    <hyperlink r:id="rId3821" ref="BM494"/>
    <hyperlink r:id="rId3822" ref="BO494"/>
    <hyperlink r:id="rId3823" ref="BT494"/>
    <hyperlink r:id="rId3824" ref="P495"/>
    <hyperlink r:id="rId3825" ref="BJ495"/>
    <hyperlink r:id="rId3826" ref="BK495"/>
    <hyperlink r:id="rId3827" ref="BO495"/>
    <hyperlink r:id="rId3828" ref="P496"/>
    <hyperlink r:id="rId3829" ref="BJ496"/>
    <hyperlink r:id="rId3830" ref="BK496"/>
    <hyperlink r:id="rId3831" ref="BM496"/>
    <hyperlink r:id="rId3832" ref="BO496"/>
    <hyperlink r:id="rId3833" ref="P497"/>
    <hyperlink r:id="rId3834" ref="BJ497"/>
    <hyperlink r:id="rId3835" ref="BK497"/>
    <hyperlink r:id="rId3836" ref="BL497"/>
    <hyperlink r:id="rId3837" ref="BM497"/>
    <hyperlink r:id="rId3838" ref="BN497"/>
    <hyperlink r:id="rId3839" ref="BO497"/>
    <hyperlink r:id="rId3840" ref="P498"/>
    <hyperlink r:id="rId3841" ref="BJ498"/>
    <hyperlink r:id="rId3842" ref="BK498"/>
    <hyperlink r:id="rId3843" ref="BL498"/>
    <hyperlink r:id="rId3844" ref="BM498"/>
    <hyperlink r:id="rId3845" ref="BN498"/>
    <hyperlink r:id="rId3846" ref="BO498"/>
    <hyperlink r:id="rId3847" ref="BP498"/>
    <hyperlink r:id="rId3848" ref="BT498"/>
    <hyperlink r:id="rId3849" ref="P499"/>
    <hyperlink r:id="rId3850" ref="BJ499"/>
    <hyperlink r:id="rId3851" ref="BK499"/>
    <hyperlink r:id="rId3852" ref="BL499"/>
    <hyperlink r:id="rId3853" ref="BM499"/>
    <hyperlink r:id="rId3854" ref="BN499"/>
    <hyperlink r:id="rId3855" ref="BO499"/>
    <hyperlink r:id="rId3856" ref="BP499"/>
    <hyperlink r:id="rId3857" ref="P500"/>
    <hyperlink r:id="rId3858" ref="BJ500"/>
    <hyperlink r:id="rId3859" ref="BK500"/>
    <hyperlink r:id="rId3860" ref="BM500"/>
    <hyperlink r:id="rId3861" ref="BN500"/>
    <hyperlink r:id="rId3862" ref="BO500"/>
    <hyperlink r:id="rId3863" ref="BV500"/>
    <hyperlink r:id="rId3864" ref="P501"/>
    <hyperlink r:id="rId3865" ref="BJ501"/>
    <hyperlink r:id="rId3866" ref="BK501"/>
    <hyperlink r:id="rId3867" ref="BM501"/>
    <hyperlink r:id="rId3868" ref="BN501"/>
    <hyperlink r:id="rId3869" ref="BO501"/>
    <hyperlink r:id="rId3870" ref="P502"/>
    <hyperlink r:id="rId3871" ref="BJ502"/>
    <hyperlink r:id="rId3872" ref="BK502"/>
    <hyperlink r:id="rId3873" ref="BL502"/>
    <hyperlink r:id="rId3874" ref="BM502"/>
    <hyperlink r:id="rId3875" ref="BN502"/>
    <hyperlink r:id="rId3876" ref="BO502"/>
    <hyperlink r:id="rId3877" ref="BP502"/>
    <hyperlink r:id="rId3878" ref="P503"/>
    <hyperlink r:id="rId3879" ref="BJ503"/>
    <hyperlink r:id="rId3880" ref="BK503"/>
    <hyperlink r:id="rId3881" ref="BL503"/>
    <hyperlink r:id="rId3882" ref="BM503"/>
    <hyperlink r:id="rId3883" ref="BN503"/>
    <hyperlink r:id="rId3884" ref="BO503"/>
    <hyperlink r:id="rId3885" ref="BS503"/>
    <hyperlink r:id="rId3886" ref="BT503"/>
    <hyperlink r:id="rId3887" ref="BU503"/>
    <hyperlink r:id="rId3888" ref="BV503"/>
    <hyperlink r:id="rId3889" ref="P504"/>
    <hyperlink r:id="rId3890" ref="BJ504"/>
    <hyperlink r:id="rId3891" ref="BK504"/>
    <hyperlink r:id="rId3892" ref="BL504"/>
    <hyperlink r:id="rId3893" ref="BM504"/>
    <hyperlink r:id="rId3894" ref="BN504"/>
    <hyperlink r:id="rId3895" ref="BO504"/>
    <hyperlink r:id="rId3896" ref="BP504"/>
    <hyperlink r:id="rId3897" ref="BT504"/>
    <hyperlink r:id="rId3898" ref="P505"/>
    <hyperlink r:id="rId3899" ref="BJ505"/>
    <hyperlink r:id="rId3900" ref="BK505"/>
    <hyperlink r:id="rId3901" ref="BL505"/>
    <hyperlink r:id="rId3902" ref="BM505"/>
    <hyperlink r:id="rId3903" ref="BN505"/>
    <hyperlink r:id="rId3904" ref="BO505"/>
    <hyperlink r:id="rId3905" ref="BP505"/>
    <hyperlink r:id="rId3906" ref="BT505"/>
    <hyperlink r:id="rId3907" ref="P506"/>
    <hyperlink r:id="rId3908" ref="BJ506"/>
    <hyperlink r:id="rId3909" ref="BK506"/>
    <hyperlink r:id="rId3910" ref="BN506"/>
    <hyperlink r:id="rId3911" ref="BO506"/>
    <hyperlink r:id="rId3912" ref="BP506"/>
    <hyperlink r:id="rId3913" ref="P507"/>
    <hyperlink r:id="rId3914" ref="BJ507"/>
    <hyperlink r:id="rId3915" ref="BK507"/>
    <hyperlink r:id="rId3916" ref="BL507"/>
    <hyperlink r:id="rId3917" ref="BM507"/>
    <hyperlink r:id="rId3918" ref="BN507"/>
    <hyperlink r:id="rId3919" ref="BO507"/>
    <hyperlink r:id="rId3920" ref="BT507"/>
    <hyperlink r:id="rId3921" ref="P508"/>
    <hyperlink r:id="rId3922" ref="BJ508"/>
    <hyperlink r:id="rId3923" ref="BK508"/>
    <hyperlink r:id="rId3924" ref="BN508"/>
    <hyperlink r:id="rId3925" ref="BO508"/>
    <hyperlink r:id="rId3926" ref="P509"/>
    <hyperlink r:id="rId3927" ref="BJ509"/>
    <hyperlink r:id="rId3928" ref="BK509"/>
    <hyperlink r:id="rId3929" ref="BL509"/>
    <hyperlink r:id="rId3930" ref="BM509"/>
    <hyperlink r:id="rId3931" ref="BO509"/>
    <hyperlink r:id="rId3932" ref="BT509"/>
    <hyperlink r:id="rId3933" ref="BU509"/>
    <hyperlink r:id="rId3934" ref="BV509"/>
    <hyperlink r:id="rId3935" ref="P510"/>
    <hyperlink r:id="rId3936" ref="BJ510"/>
    <hyperlink r:id="rId3937" ref="BK510"/>
    <hyperlink r:id="rId3938" ref="BL510"/>
    <hyperlink r:id="rId3939" ref="BM510"/>
    <hyperlink r:id="rId3940" ref="BN510"/>
    <hyperlink r:id="rId3941" ref="BO510"/>
    <hyperlink r:id="rId3942" ref="P511"/>
    <hyperlink r:id="rId3943" ref="BJ511"/>
    <hyperlink r:id="rId3944" ref="BK511"/>
    <hyperlink r:id="rId3945" ref="BL511"/>
    <hyperlink r:id="rId3946" ref="BM511"/>
    <hyperlink r:id="rId3947" ref="BN511"/>
    <hyperlink r:id="rId3948" ref="BO511"/>
    <hyperlink r:id="rId3949" ref="BS511"/>
    <hyperlink r:id="rId3950" ref="BU511"/>
    <hyperlink r:id="rId3951" ref="BV511"/>
    <hyperlink r:id="rId3952" ref="P512"/>
    <hyperlink r:id="rId3953" ref="BJ512"/>
    <hyperlink r:id="rId3954" ref="BK512"/>
    <hyperlink r:id="rId3955" ref="BL512"/>
    <hyperlink r:id="rId3956" ref="BM512"/>
    <hyperlink r:id="rId3957" ref="BN512"/>
    <hyperlink r:id="rId3958" ref="BO512"/>
    <hyperlink r:id="rId3959" ref="BP512"/>
    <hyperlink r:id="rId3960" ref="BJ513"/>
    <hyperlink r:id="rId3961" ref="BK513"/>
    <hyperlink r:id="rId3962" ref="BO513"/>
    <hyperlink r:id="rId3963" ref="BS513"/>
    <hyperlink r:id="rId3964" ref="P514"/>
    <hyperlink r:id="rId3965" ref="BJ514"/>
    <hyperlink r:id="rId3966" ref="BK514"/>
    <hyperlink r:id="rId3967" ref="BL514"/>
    <hyperlink r:id="rId3968" ref="BM514"/>
    <hyperlink r:id="rId3969" ref="BN514"/>
    <hyperlink r:id="rId3970" ref="BO514"/>
    <hyperlink r:id="rId3971" ref="BP514"/>
    <hyperlink r:id="rId3972" ref="BT514"/>
    <hyperlink r:id="rId3973" ref="P515"/>
    <hyperlink r:id="rId3974" ref="BJ515"/>
    <hyperlink r:id="rId3975" ref="BK515"/>
    <hyperlink r:id="rId3976" ref="BN515"/>
    <hyperlink r:id="rId3977" ref="BO515"/>
    <hyperlink r:id="rId3978" ref="BP515"/>
    <hyperlink r:id="rId3979" ref="BR515"/>
    <hyperlink r:id="rId3980" ref="BS515"/>
    <hyperlink r:id="rId3981" ref="BT515"/>
    <hyperlink r:id="rId3982" ref="BU515"/>
    <hyperlink r:id="rId3983" ref="BV515"/>
    <hyperlink r:id="rId3984" ref="P516"/>
    <hyperlink r:id="rId3985" ref="BJ516"/>
    <hyperlink r:id="rId3986" ref="BK516"/>
    <hyperlink r:id="rId3987" ref="BL516"/>
    <hyperlink r:id="rId3988" ref="BM516"/>
    <hyperlink r:id="rId3989" ref="BN516"/>
    <hyperlink r:id="rId3990" ref="BO516"/>
    <hyperlink r:id="rId3991" ref="BP516"/>
    <hyperlink r:id="rId3992" ref="P517"/>
    <hyperlink r:id="rId3993" ref="BJ517"/>
    <hyperlink r:id="rId3994" ref="BK517"/>
    <hyperlink r:id="rId3995" ref="BL517"/>
    <hyperlink r:id="rId3996" ref="BM517"/>
    <hyperlink r:id="rId3997" ref="BN517"/>
    <hyperlink r:id="rId3998" ref="BO517"/>
    <hyperlink r:id="rId3999" ref="BP517"/>
    <hyperlink r:id="rId4000" ref="BR517"/>
    <hyperlink r:id="rId4001" ref="BS517"/>
    <hyperlink r:id="rId4002" ref="BT517"/>
    <hyperlink r:id="rId4003" ref="BU517"/>
    <hyperlink r:id="rId4004" ref="BV517"/>
    <hyperlink r:id="rId4005" ref="P518"/>
    <hyperlink r:id="rId4006" ref="BJ518"/>
    <hyperlink r:id="rId4007" ref="BK518"/>
    <hyperlink r:id="rId4008" ref="BO518"/>
    <hyperlink r:id="rId4009" ref="BP518"/>
    <hyperlink r:id="rId4010" ref="BR518"/>
    <hyperlink r:id="rId4011" ref="BS518"/>
    <hyperlink r:id="rId4012" ref="BT518"/>
    <hyperlink r:id="rId4013" ref="BU518"/>
    <hyperlink r:id="rId4014" ref="BV518"/>
    <hyperlink r:id="rId4015" ref="P519"/>
    <hyperlink r:id="rId4016" ref="BJ519"/>
    <hyperlink r:id="rId4017" ref="BK519"/>
    <hyperlink r:id="rId4018" ref="BL519"/>
    <hyperlink r:id="rId4019" ref="BM519"/>
    <hyperlink r:id="rId4020" ref="BN519"/>
    <hyperlink r:id="rId4021" ref="BO519"/>
    <hyperlink r:id="rId4022" ref="BP519"/>
    <hyperlink r:id="rId4023" ref="BT519"/>
    <hyperlink r:id="rId4024" ref="P520"/>
    <hyperlink r:id="rId4025" ref="BJ520"/>
    <hyperlink r:id="rId4026" ref="BK520"/>
    <hyperlink r:id="rId4027" ref="BL520"/>
    <hyperlink r:id="rId4028" ref="BM520"/>
    <hyperlink r:id="rId4029" ref="BO520"/>
    <hyperlink r:id="rId4030" ref="BT520"/>
    <hyperlink r:id="rId4031" ref="BU520"/>
    <hyperlink r:id="rId4032" ref="BV520"/>
    <hyperlink r:id="rId4033" ref="P521"/>
    <hyperlink r:id="rId4034" ref="BJ521"/>
    <hyperlink r:id="rId4035" ref="BK521"/>
    <hyperlink r:id="rId4036" ref="BL521"/>
    <hyperlink r:id="rId4037" ref="BM521"/>
    <hyperlink r:id="rId4038" ref="BN521"/>
    <hyperlink r:id="rId4039" ref="BO521"/>
    <hyperlink r:id="rId4040" ref="BT521"/>
    <hyperlink r:id="rId4041" ref="BU521"/>
    <hyperlink r:id="rId4042" ref="BV521"/>
    <hyperlink r:id="rId4043" ref="P522"/>
    <hyperlink r:id="rId4044" ref="BJ522"/>
    <hyperlink r:id="rId4045" ref="BK522"/>
    <hyperlink r:id="rId4046" ref="BL522"/>
    <hyperlink r:id="rId4047" ref="BM522"/>
    <hyperlink r:id="rId4048" ref="BN522"/>
    <hyperlink r:id="rId4049" ref="BO522"/>
    <hyperlink r:id="rId4050" ref="BP522"/>
    <hyperlink r:id="rId4051" ref="BT522"/>
    <hyperlink r:id="rId4052" ref="BU522"/>
    <hyperlink r:id="rId4053" ref="BV522"/>
    <hyperlink r:id="rId4054" ref="P523"/>
    <hyperlink r:id="rId4055" ref="BJ523"/>
    <hyperlink r:id="rId4056" ref="BK523"/>
    <hyperlink r:id="rId4057" ref="BM523"/>
    <hyperlink r:id="rId4058" ref="BN523"/>
    <hyperlink r:id="rId4059" ref="BO523"/>
    <hyperlink r:id="rId4060" ref="P524"/>
    <hyperlink r:id="rId4061" ref="BJ524"/>
    <hyperlink r:id="rId4062" ref="BK524"/>
    <hyperlink r:id="rId4063" ref="BL524"/>
    <hyperlink r:id="rId4064" ref="BM524"/>
    <hyperlink r:id="rId4065" ref="BN524"/>
    <hyperlink r:id="rId4066" ref="BO524"/>
    <hyperlink r:id="rId4067" ref="BP524"/>
    <hyperlink r:id="rId4068" ref="P525"/>
    <hyperlink r:id="rId4069" ref="BJ525"/>
    <hyperlink r:id="rId4070" ref="BK525"/>
    <hyperlink r:id="rId4071" ref="BL525"/>
    <hyperlink r:id="rId4072" ref="BM525"/>
    <hyperlink r:id="rId4073" ref="BN525"/>
    <hyperlink r:id="rId4074" ref="BO525"/>
    <hyperlink r:id="rId4075" ref="BP525"/>
    <hyperlink r:id="rId4076" ref="P526"/>
    <hyperlink r:id="rId4077" ref="BJ526"/>
    <hyperlink r:id="rId4078" ref="BK526"/>
    <hyperlink r:id="rId4079" ref="BL526"/>
    <hyperlink r:id="rId4080" ref="BM526"/>
    <hyperlink r:id="rId4081" ref="BN526"/>
    <hyperlink r:id="rId4082" ref="BO526"/>
    <hyperlink r:id="rId4083" ref="BS526"/>
    <hyperlink r:id="rId4084" ref="BT526"/>
    <hyperlink r:id="rId4085" ref="BU526"/>
    <hyperlink r:id="rId4086" ref="BV526"/>
    <hyperlink r:id="rId4087" ref="P527"/>
    <hyperlink r:id="rId4088" ref="BJ527"/>
    <hyperlink r:id="rId4089" ref="BK527"/>
    <hyperlink r:id="rId4090" ref="BL527"/>
    <hyperlink r:id="rId4091" ref="BM527"/>
    <hyperlink r:id="rId4092" ref="BN527"/>
    <hyperlink r:id="rId4093" ref="BO527"/>
    <hyperlink r:id="rId4094" ref="P528"/>
    <hyperlink r:id="rId4095" ref="BJ528"/>
    <hyperlink r:id="rId4096" ref="BK528"/>
    <hyperlink r:id="rId4097" ref="BO528"/>
    <hyperlink r:id="rId4098" ref="BP528"/>
    <hyperlink r:id="rId4099" ref="P529"/>
    <hyperlink r:id="rId4100" ref="BJ529"/>
    <hyperlink r:id="rId4101" ref="BK529"/>
    <hyperlink r:id="rId4102" ref="BL529"/>
    <hyperlink r:id="rId4103" ref="BM529"/>
    <hyperlink r:id="rId4104" ref="BN529"/>
    <hyperlink r:id="rId4105" ref="BO529"/>
    <hyperlink r:id="rId4106" ref="P530"/>
    <hyperlink r:id="rId4107" ref="BJ530"/>
    <hyperlink r:id="rId4108" ref="BK530"/>
    <hyperlink r:id="rId4109" ref="BL530"/>
    <hyperlink r:id="rId4110" ref="BM530"/>
    <hyperlink r:id="rId4111" ref="BN530"/>
    <hyperlink r:id="rId4112" ref="BO530"/>
    <hyperlink r:id="rId4113" ref="BP530"/>
    <hyperlink r:id="rId4114" ref="BR530"/>
    <hyperlink r:id="rId4115" ref="P531"/>
    <hyperlink r:id="rId4116" ref="BJ531"/>
    <hyperlink r:id="rId4117" ref="BK531"/>
    <hyperlink r:id="rId4118" ref="BL531"/>
    <hyperlink r:id="rId4119" ref="BM531"/>
    <hyperlink r:id="rId4120" ref="BN531"/>
    <hyperlink r:id="rId4121" ref="BO531"/>
    <hyperlink r:id="rId4122" ref="BP531"/>
    <hyperlink r:id="rId4123" ref="P532"/>
    <hyperlink r:id="rId4124" ref="BJ532"/>
    <hyperlink r:id="rId4125" ref="BK532"/>
    <hyperlink r:id="rId4126" ref="BL532"/>
    <hyperlink r:id="rId4127" ref="BM532"/>
    <hyperlink r:id="rId4128" ref="BN532"/>
    <hyperlink r:id="rId4129" ref="BO532"/>
    <hyperlink r:id="rId4130" ref="BT532"/>
    <hyperlink r:id="rId4131" ref="BU532"/>
    <hyperlink r:id="rId4132" ref="BV532"/>
    <hyperlink r:id="rId4133" ref="P533"/>
    <hyperlink r:id="rId4134" ref="BJ533"/>
    <hyperlink r:id="rId4135" ref="BK533"/>
    <hyperlink r:id="rId4136" ref="BL533"/>
    <hyperlink r:id="rId4137" ref="BM533"/>
    <hyperlink r:id="rId4138" ref="BN533"/>
    <hyperlink r:id="rId4139" ref="BO533"/>
    <hyperlink r:id="rId4140" ref="BT533"/>
    <hyperlink r:id="rId4141" ref="P534"/>
    <hyperlink r:id="rId4142" ref="BJ534"/>
    <hyperlink r:id="rId4143" ref="BK534"/>
    <hyperlink r:id="rId4144" ref="BL534"/>
    <hyperlink r:id="rId4145" ref="BM534"/>
    <hyperlink r:id="rId4146" ref="BN534"/>
    <hyperlink r:id="rId4147" ref="BO534"/>
    <hyperlink r:id="rId4148" ref="P535"/>
    <hyperlink r:id="rId4149" ref="BJ535"/>
    <hyperlink r:id="rId4150" ref="BK535"/>
    <hyperlink r:id="rId4151" ref="BL535"/>
    <hyperlink r:id="rId4152" ref="BM535"/>
    <hyperlink r:id="rId4153" ref="BN535"/>
    <hyperlink r:id="rId4154" ref="BO535"/>
    <hyperlink r:id="rId4155" ref="P536"/>
    <hyperlink r:id="rId4156" ref="BJ536"/>
    <hyperlink r:id="rId4157" ref="BK536"/>
    <hyperlink r:id="rId4158" ref="BN536"/>
    <hyperlink r:id="rId4159" ref="BO536"/>
    <hyperlink r:id="rId4160" ref="P537"/>
    <hyperlink r:id="rId4161" ref="BJ537"/>
    <hyperlink r:id="rId4162" ref="BK537"/>
    <hyperlink r:id="rId4163" ref="BL537"/>
    <hyperlink r:id="rId4164" ref="BM537"/>
    <hyperlink r:id="rId4165" ref="BO537"/>
    <hyperlink r:id="rId4166" ref="BP537"/>
    <hyperlink r:id="rId4167" ref="P538"/>
    <hyperlink r:id="rId4168" ref="BJ538"/>
    <hyperlink r:id="rId4169" ref="BK538"/>
    <hyperlink r:id="rId4170" ref="BL538"/>
    <hyperlink r:id="rId4171" ref="BM538"/>
    <hyperlink r:id="rId4172" ref="BO538"/>
    <hyperlink r:id="rId4173" ref="BT538"/>
    <hyperlink r:id="rId4174" ref="BU538"/>
    <hyperlink r:id="rId4175" ref="BV538"/>
    <hyperlink r:id="rId4176" ref="P539"/>
    <hyperlink r:id="rId4177" ref="BJ539"/>
    <hyperlink r:id="rId4178" ref="BK539"/>
    <hyperlink r:id="rId4179" ref="BL539"/>
    <hyperlink r:id="rId4180" ref="BM539"/>
    <hyperlink r:id="rId4181" ref="BN539"/>
    <hyperlink r:id="rId4182" ref="BO539"/>
    <hyperlink r:id="rId4183" ref="BP539"/>
    <hyperlink r:id="rId4184" ref="P540"/>
    <hyperlink r:id="rId4185" ref="BJ540"/>
    <hyperlink r:id="rId4186" ref="BK540"/>
    <hyperlink r:id="rId4187" ref="BO540"/>
    <hyperlink r:id="rId4188" ref="P541"/>
    <hyperlink r:id="rId4189" ref="BJ541"/>
    <hyperlink r:id="rId4190" ref="BK541"/>
    <hyperlink r:id="rId4191" ref="BN541"/>
    <hyperlink r:id="rId4192" ref="BO541"/>
    <hyperlink r:id="rId4193" ref="BP541"/>
    <hyperlink r:id="rId4194" ref="BR541"/>
    <hyperlink r:id="rId4195" ref="BS541"/>
    <hyperlink r:id="rId4196" ref="BT541"/>
    <hyperlink r:id="rId4197" ref="BV541"/>
    <hyperlink r:id="rId4198" ref="P542"/>
    <hyperlink r:id="rId4199" ref="BJ542"/>
    <hyperlink r:id="rId4200" ref="BK542"/>
    <hyperlink r:id="rId4201" ref="BL542"/>
    <hyperlink r:id="rId4202" ref="BM542"/>
    <hyperlink r:id="rId4203" ref="BN542"/>
    <hyperlink r:id="rId4204" ref="BO542"/>
    <hyperlink r:id="rId4205" ref="BP542"/>
    <hyperlink r:id="rId4206" ref="P543"/>
    <hyperlink r:id="rId4207" ref="BJ543"/>
    <hyperlink r:id="rId4208" ref="BK543"/>
    <hyperlink r:id="rId4209" ref="BL543"/>
    <hyperlink r:id="rId4210" ref="BM543"/>
    <hyperlink r:id="rId4211" ref="BO543"/>
    <hyperlink r:id="rId4212" ref="P544"/>
    <hyperlink r:id="rId4213" ref="BJ544"/>
    <hyperlink r:id="rId4214" ref="BK544"/>
    <hyperlink r:id="rId4215" ref="BL544"/>
    <hyperlink r:id="rId4216" ref="BM544"/>
    <hyperlink r:id="rId4217" ref="BN544"/>
    <hyperlink r:id="rId4218" ref="BO544"/>
    <hyperlink r:id="rId4219" ref="BS544"/>
    <hyperlink r:id="rId4220" ref="P545"/>
    <hyperlink r:id="rId4221" ref="BJ545"/>
    <hyperlink r:id="rId4222" ref="BK545"/>
    <hyperlink r:id="rId4223" ref="BL545"/>
    <hyperlink r:id="rId4224" ref="BM545"/>
    <hyperlink r:id="rId4225" ref="BN545"/>
    <hyperlink r:id="rId4226" ref="BO545"/>
    <hyperlink r:id="rId4227" ref="BP545"/>
    <hyperlink r:id="rId4228" ref="P546"/>
    <hyperlink r:id="rId4229" ref="BJ546"/>
    <hyperlink r:id="rId4230" ref="BK546"/>
    <hyperlink r:id="rId4231" ref="BL546"/>
    <hyperlink r:id="rId4232" ref="BM546"/>
    <hyperlink r:id="rId4233" ref="BN546"/>
    <hyperlink r:id="rId4234" ref="BO546"/>
    <hyperlink r:id="rId4235" ref="BP546"/>
    <hyperlink r:id="rId4236" ref="BR546"/>
    <hyperlink r:id="rId4237" ref="BS546"/>
    <hyperlink r:id="rId4238" ref="BT546"/>
    <hyperlink r:id="rId4239" ref="BU546"/>
    <hyperlink r:id="rId4240" ref="BV546"/>
    <hyperlink r:id="rId4241" ref="P547"/>
    <hyperlink r:id="rId4242" ref="BJ547"/>
    <hyperlink r:id="rId4243" ref="BK547"/>
    <hyperlink r:id="rId4244" ref="BL547"/>
    <hyperlink r:id="rId4245" ref="BM547"/>
    <hyperlink r:id="rId4246" ref="BN547"/>
    <hyperlink r:id="rId4247" ref="BO547"/>
    <hyperlink r:id="rId4248" ref="P548"/>
    <hyperlink r:id="rId4249" ref="BJ548"/>
    <hyperlink r:id="rId4250" ref="BK548"/>
    <hyperlink r:id="rId4251" ref="BL548"/>
    <hyperlink r:id="rId4252" ref="BN548"/>
    <hyperlink r:id="rId4253" ref="BO548"/>
    <hyperlink r:id="rId4254" ref="BP548"/>
    <hyperlink r:id="rId4255" ref="BR548"/>
    <hyperlink r:id="rId4256" ref="BS548"/>
    <hyperlink r:id="rId4257" ref="BT548"/>
    <hyperlink r:id="rId4258" ref="BU548"/>
    <hyperlink r:id="rId4259" ref="P549"/>
    <hyperlink r:id="rId4260" ref="BJ549"/>
    <hyperlink r:id="rId4261" ref="BK549"/>
    <hyperlink r:id="rId4262" ref="BM549"/>
    <hyperlink r:id="rId4263" ref="BN549"/>
    <hyperlink r:id="rId4264" ref="BO549"/>
    <hyperlink r:id="rId4265" ref="BV549"/>
    <hyperlink r:id="rId4266" ref="P550"/>
    <hyperlink r:id="rId4267" ref="BJ550"/>
    <hyperlink r:id="rId4268" ref="BK550"/>
    <hyperlink r:id="rId4269" ref="BL550"/>
    <hyperlink r:id="rId4270" ref="BM550"/>
    <hyperlink r:id="rId4271" ref="BN550"/>
    <hyperlink r:id="rId4272" ref="BO550"/>
    <hyperlink r:id="rId4273" ref="P551"/>
    <hyperlink r:id="rId4274" ref="BJ551"/>
    <hyperlink r:id="rId4275" ref="BK551"/>
    <hyperlink r:id="rId4276" ref="BO551"/>
    <hyperlink r:id="rId4277" ref="BP551"/>
    <hyperlink r:id="rId4278" ref="BS551"/>
    <hyperlink r:id="rId4279" ref="BT551"/>
    <hyperlink r:id="rId4280" ref="BU551"/>
    <hyperlink r:id="rId4281" ref="BV551"/>
    <hyperlink r:id="rId4282" ref="P552"/>
    <hyperlink r:id="rId4283" ref="BJ552"/>
    <hyperlink r:id="rId4284" ref="BK552"/>
    <hyperlink r:id="rId4285" ref="BO552"/>
    <hyperlink r:id="rId4286" ref="BP552"/>
    <hyperlink r:id="rId4287" ref="P553"/>
    <hyperlink r:id="rId4288" ref="BJ553"/>
    <hyperlink r:id="rId4289" ref="BK553"/>
    <hyperlink r:id="rId4290" ref="BL553"/>
    <hyperlink r:id="rId4291" ref="BM553"/>
    <hyperlink r:id="rId4292" ref="BO553"/>
    <hyperlink r:id="rId4293" ref="BS553"/>
    <hyperlink r:id="rId4294" ref="BT553"/>
    <hyperlink r:id="rId4295" ref="BU553"/>
    <hyperlink r:id="rId4296" ref="BV553"/>
    <hyperlink r:id="rId4297" ref="P554"/>
    <hyperlink r:id="rId4298" ref="BJ554"/>
    <hyperlink r:id="rId4299" ref="BK554"/>
    <hyperlink r:id="rId4300" ref="BN554"/>
    <hyperlink r:id="rId4301" ref="BO554"/>
    <hyperlink r:id="rId4302" ref="BP554"/>
    <hyperlink r:id="rId4303" ref="BT554"/>
    <hyperlink r:id="rId4304" ref="P555"/>
    <hyperlink r:id="rId4305" ref="BJ555"/>
    <hyperlink r:id="rId4306" ref="BK555"/>
    <hyperlink r:id="rId4307" ref="BM555"/>
    <hyperlink r:id="rId4308" ref="BN555"/>
    <hyperlink r:id="rId4309" ref="BO555"/>
    <hyperlink r:id="rId4310" ref="BP555"/>
    <hyperlink r:id="rId4311" ref="BR555"/>
    <hyperlink r:id="rId4312" ref="P556"/>
    <hyperlink r:id="rId4313" ref="BJ556"/>
    <hyperlink r:id="rId4314" ref="BK556"/>
    <hyperlink r:id="rId4315" ref="BL556"/>
    <hyperlink r:id="rId4316" ref="BM556"/>
    <hyperlink r:id="rId4317" ref="BN556"/>
    <hyperlink r:id="rId4318" ref="BO556"/>
    <hyperlink r:id="rId4319" ref="BP556"/>
    <hyperlink r:id="rId4320" ref="P557"/>
    <hyperlink r:id="rId4321" ref="BJ557"/>
    <hyperlink r:id="rId4322" ref="BK557"/>
    <hyperlink r:id="rId4323" ref="BL557"/>
    <hyperlink r:id="rId4324" ref="BM557"/>
    <hyperlink r:id="rId4325" ref="BN557"/>
    <hyperlink r:id="rId4326" ref="BO557"/>
    <hyperlink r:id="rId4327" ref="BP557"/>
    <hyperlink r:id="rId4328" ref="BR557"/>
    <hyperlink r:id="rId4329" ref="BS557"/>
    <hyperlink r:id="rId4330" ref="BT557"/>
    <hyperlink r:id="rId4331" ref="BU557"/>
    <hyperlink r:id="rId4332" ref="BV557"/>
    <hyperlink r:id="rId4333" ref="P558"/>
    <hyperlink r:id="rId4334" ref="BJ558"/>
    <hyperlink r:id="rId4335" ref="BK558"/>
    <hyperlink r:id="rId4336" ref="BL558"/>
    <hyperlink r:id="rId4337" ref="BM558"/>
    <hyperlink r:id="rId4338" ref="BN558"/>
    <hyperlink r:id="rId4339" ref="BO558"/>
    <hyperlink r:id="rId4340" ref="BP558"/>
    <hyperlink r:id="rId4341" ref="BR558"/>
    <hyperlink r:id="rId4342" ref="BS558"/>
    <hyperlink r:id="rId4343" ref="BT558"/>
    <hyperlink r:id="rId4344" ref="BU558"/>
    <hyperlink r:id="rId4345" ref="BV558"/>
    <hyperlink r:id="rId4346" ref="P559"/>
    <hyperlink r:id="rId4347" ref="BJ559"/>
    <hyperlink r:id="rId4348" ref="BK559"/>
    <hyperlink r:id="rId4349" ref="BL559"/>
    <hyperlink r:id="rId4350" ref="BM559"/>
    <hyperlink r:id="rId4351" ref="BN559"/>
    <hyperlink r:id="rId4352" ref="BO559"/>
    <hyperlink r:id="rId4353" ref="BP559"/>
    <hyperlink r:id="rId4354" ref="P560"/>
    <hyperlink r:id="rId4355" ref="BJ560"/>
    <hyperlink r:id="rId4356" ref="BK560"/>
    <hyperlink r:id="rId4357" ref="BL560"/>
    <hyperlink r:id="rId4358" ref="BM560"/>
    <hyperlink r:id="rId4359" ref="BN560"/>
    <hyperlink r:id="rId4360" ref="BO560"/>
    <hyperlink r:id="rId4361" ref="BP560"/>
    <hyperlink r:id="rId4362" ref="P561"/>
    <hyperlink r:id="rId4363" ref="BK561"/>
    <hyperlink r:id="rId4364" ref="BL561"/>
    <hyperlink r:id="rId4365" ref="BM561"/>
    <hyperlink r:id="rId4366" ref="BN561"/>
    <hyperlink r:id="rId4367" ref="BO561"/>
    <hyperlink r:id="rId4368" ref="BP561"/>
    <hyperlink r:id="rId4369" ref="P562"/>
    <hyperlink r:id="rId4370" ref="BJ562"/>
    <hyperlink r:id="rId4371" ref="BK562"/>
    <hyperlink r:id="rId4372" ref="BL562"/>
    <hyperlink r:id="rId4373" ref="BM562"/>
    <hyperlink r:id="rId4374" ref="BN562"/>
    <hyperlink r:id="rId4375" ref="BO562"/>
    <hyperlink r:id="rId4376" ref="BP562"/>
    <hyperlink r:id="rId4377" ref="P563"/>
    <hyperlink r:id="rId4378" ref="BK563"/>
    <hyperlink r:id="rId4379" ref="BL563"/>
    <hyperlink r:id="rId4380" ref="BM563"/>
    <hyperlink r:id="rId4381" ref="BN563"/>
    <hyperlink r:id="rId4382" ref="BO563"/>
    <hyperlink r:id="rId4383" ref="BP563"/>
    <hyperlink r:id="rId4384" ref="BS563"/>
    <hyperlink r:id="rId4385" ref="BT563"/>
    <hyperlink r:id="rId4386" ref="P564"/>
    <hyperlink r:id="rId4387" ref="BJ564"/>
    <hyperlink r:id="rId4388" ref="BK564"/>
    <hyperlink r:id="rId4389" ref="BM564"/>
    <hyperlink r:id="rId4390" ref="BN564"/>
    <hyperlink r:id="rId4391" ref="BO564"/>
    <hyperlink r:id="rId4392" ref="BP564"/>
    <hyperlink r:id="rId4393" ref="P565"/>
    <hyperlink r:id="rId4394" ref="BJ565"/>
    <hyperlink r:id="rId4395" ref="BK565"/>
    <hyperlink r:id="rId4396" ref="BL565"/>
    <hyperlink r:id="rId4397" ref="BM565"/>
    <hyperlink r:id="rId4398" ref="BO565"/>
    <hyperlink r:id="rId4399" ref="BR565"/>
    <hyperlink r:id="rId4400" ref="BU565"/>
    <hyperlink r:id="rId4401" ref="BV565"/>
    <hyperlink r:id="rId4402" ref="P566"/>
    <hyperlink r:id="rId4403" ref="BJ566"/>
    <hyperlink r:id="rId4404" ref="BK566"/>
    <hyperlink r:id="rId4405" ref="BL566"/>
    <hyperlink r:id="rId4406" ref="BN566"/>
    <hyperlink r:id="rId4407" ref="BO566"/>
    <hyperlink r:id="rId4408" ref="BP566"/>
    <hyperlink r:id="rId4409" ref="BR566"/>
    <hyperlink r:id="rId4410" ref="BS566"/>
    <hyperlink r:id="rId4411" ref="BT566"/>
    <hyperlink r:id="rId4412" ref="BU566"/>
    <hyperlink r:id="rId4413" ref="P567"/>
    <hyperlink r:id="rId4414" ref="BJ567"/>
    <hyperlink r:id="rId4415" ref="BK567"/>
    <hyperlink r:id="rId4416" ref="BL567"/>
    <hyperlink r:id="rId4417" ref="BM567"/>
    <hyperlink r:id="rId4418" ref="BN567"/>
    <hyperlink r:id="rId4419" ref="BO567"/>
    <hyperlink r:id="rId4420" ref="BP567"/>
    <hyperlink r:id="rId4421" ref="P568"/>
    <hyperlink r:id="rId4422" ref="BJ568"/>
    <hyperlink r:id="rId4423" ref="BK568"/>
    <hyperlink r:id="rId4424" ref="BL568"/>
    <hyperlink r:id="rId4425" ref="BM568"/>
    <hyperlink r:id="rId4426" ref="BN568"/>
    <hyperlink r:id="rId4427" ref="BO568"/>
    <hyperlink r:id="rId4428" ref="BP568"/>
    <hyperlink r:id="rId4429" ref="P569"/>
    <hyperlink r:id="rId4430" ref="BK569"/>
    <hyperlink r:id="rId4431" ref="BL569"/>
    <hyperlink r:id="rId4432" ref="BM569"/>
    <hyperlink r:id="rId4433" ref="BN569"/>
    <hyperlink r:id="rId4434" ref="BO569"/>
    <hyperlink r:id="rId4435" ref="BP569"/>
    <hyperlink r:id="rId4436" ref="P570"/>
    <hyperlink r:id="rId4437" ref="BJ570"/>
    <hyperlink r:id="rId4438" ref="BK570"/>
    <hyperlink r:id="rId4439" ref="BL570"/>
    <hyperlink r:id="rId4440" ref="BM570"/>
    <hyperlink r:id="rId4441" ref="BN570"/>
    <hyperlink r:id="rId4442" ref="BO570"/>
    <hyperlink r:id="rId4443" ref="BP570"/>
    <hyperlink r:id="rId4444" ref="BR570"/>
    <hyperlink r:id="rId4445" ref="BS570"/>
    <hyperlink r:id="rId4446" ref="BT570"/>
    <hyperlink r:id="rId4447" ref="BU570"/>
    <hyperlink r:id="rId4448" ref="BV570"/>
    <hyperlink r:id="rId4449" ref="P571"/>
    <hyperlink r:id="rId4450" ref="BJ571"/>
    <hyperlink r:id="rId4451" ref="BK571"/>
    <hyperlink r:id="rId4452" ref="BL571"/>
    <hyperlink r:id="rId4453" ref="BM571"/>
    <hyperlink r:id="rId4454" ref="BN571"/>
    <hyperlink r:id="rId4455" ref="BO571"/>
    <hyperlink r:id="rId4456" ref="BP571"/>
    <hyperlink r:id="rId4457" ref="BT571"/>
    <hyperlink r:id="rId4458" ref="BU571"/>
    <hyperlink r:id="rId4459" ref="BV571"/>
    <hyperlink r:id="rId4460" ref="P572"/>
    <hyperlink r:id="rId4461" ref="BJ572"/>
    <hyperlink r:id="rId4462" ref="BK572"/>
    <hyperlink r:id="rId4463" ref="BM572"/>
    <hyperlink r:id="rId4464" ref="BN572"/>
    <hyperlink r:id="rId4465" ref="BO572"/>
    <hyperlink r:id="rId4466" ref="P573"/>
    <hyperlink r:id="rId4467" ref="BJ573"/>
    <hyperlink r:id="rId4468" ref="BK573"/>
    <hyperlink r:id="rId4469" ref="BL573"/>
    <hyperlink r:id="rId4470" ref="BM573"/>
    <hyperlink r:id="rId4471" ref="BN573"/>
    <hyperlink r:id="rId4472" ref="BO573"/>
    <hyperlink r:id="rId4473" ref="P574"/>
    <hyperlink r:id="rId4474" ref="BJ574"/>
    <hyperlink r:id="rId4475" ref="BK574"/>
    <hyperlink r:id="rId4476" ref="BM574"/>
    <hyperlink r:id="rId4477" ref="BN574"/>
    <hyperlink r:id="rId4478" ref="BO574"/>
    <hyperlink r:id="rId4479" ref="BP574"/>
    <hyperlink r:id="rId4480" ref="P575"/>
    <hyperlink r:id="rId4481" ref="BJ575"/>
    <hyperlink r:id="rId4482" ref="BK575"/>
    <hyperlink r:id="rId4483" ref="BL575"/>
    <hyperlink r:id="rId4484" ref="BM575"/>
    <hyperlink r:id="rId4485" ref="BO575"/>
    <hyperlink r:id="rId4486" ref="BP575"/>
    <hyperlink r:id="rId4487" ref="BJ576"/>
    <hyperlink r:id="rId4488" ref="BK576"/>
    <hyperlink r:id="rId4489" ref="BO576"/>
    <hyperlink r:id="rId4490" ref="P577"/>
    <hyperlink r:id="rId4491" ref="BJ577"/>
    <hyperlink r:id="rId4492" ref="BK577"/>
    <hyperlink r:id="rId4493" ref="BO577"/>
    <hyperlink r:id="rId4494" ref="BP577"/>
    <hyperlink r:id="rId4495" ref="P578"/>
    <hyperlink r:id="rId4496" ref="BJ578"/>
    <hyperlink r:id="rId4497" ref="BK578"/>
    <hyperlink r:id="rId4498" ref="BM578"/>
    <hyperlink r:id="rId4499" ref="BN578"/>
    <hyperlink r:id="rId4500" ref="BO578"/>
    <hyperlink r:id="rId4501" ref="P579"/>
    <hyperlink r:id="rId4502" ref="BJ579"/>
    <hyperlink r:id="rId4503" ref="BK579"/>
    <hyperlink r:id="rId4504" ref="BN579"/>
    <hyperlink r:id="rId4505" ref="BO579"/>
    <hyperlink r:id="rId4506" ref="P580"/>
    <hyperlink r:id="rId4507" ref="BJ580"/>
    <hyperlink r:id="rId4508" ref="BK580"/>
    <hyperlink r:id="rId4509" ref="BL580"/>
    <hyperlink r:id="rId4510" ref="BM580"/>
    <hyperlink r:id="rId4511" ref="BN580"/>
    <hyperlink r:id="rId4512" ref="BO580"/>
    <hyperlink r:id="rId4513" ref="BP580"/>
    <hyperlink r:id="rId4514" ref="BT580"/>
    <hyperlink r:id="rId4515" ref="P581"/>
    <hyperlink r:id="rId4516" ref="BJ581"/>
    <hyperlink r:id="rId4517" ref="BK581"/>
    <hyperlink r:id="rId4518" ref="BO581"/>
    <hyperlink r:id="rId4519" ref="BP581"/>
    <hyperlink r:id="rId4520" ref="BR581"/>
    <hyperlink r:id="rId4521" ref="BS581"/>
    <hyperlink r:id="rId4522" ref="BT581"/>
    <hyperlink r:id="rId4523" ref="P582"/>
    <hyperlink r:id="rId4524" ref="BJ582"/>
    <hyperlink r:id="rId4525" ref="BK582"/>
    <hyperlink r:id="rId4526" ref="BM582"/>
    <hyperlink r:id="rId4527" ref="BN582"/>
    <hyperlink r:id="rId4528" ref="BO582"/>
    <hyperlink r:id="rId4529" ref="P583"/>
    <hyperlink r:id="rId4530" ref="BJ583"/>
    <hyperlink r:id="rId4531" ref="BK583"/>
    <hyperlink r:id="rId4532" ref="BO583"/>
    <hyperlink r:id="rId4533" ref="P584"/>
    <hyperlink r:id="rId4534" ref="BJ584"/>
    <hyperlink r:id="rId4535" ref="BK584"/>
    <hyperlink r:id="rId4536" ref="BM584"/>
    <hyperlink r:id="rId4537" ref="BO584"/>
    <hyperlink r:id="rId4538" ref="P585"/>
    <hyperlink r:id="rId4539" ref="BJ585"/>
    <hyperlink r:id="rId4540" ref="BK585"/>
    <hyperlink r:id="rId4541" ref="BN585"/>
    <hyperlink r:id="rId4542" ref="BO585"/>
    <hyperlink r:id="rId4543" ref="BP585"/>
    <hyperlink r:id="rId4544" ref="P586"/>
    <hyperlink r:id="rId4545" ref="BJ586"/>
    <hyperlink r:id="rId4546" ref="BK586"/>
    <hyperlink r:id="rId4547" ref="BL586"/>
    <hyperlink r:id="rId4548" ref="BN586"/>
    <hyperlink r:id="rId4549" ref="BO586"/>
    <hyperlink r:id="rId4550" ref="BS586"/>
    <hyperlink r:id="rId4551" ref="BT586"/>
    <hyperlink r:id="rId4552" ref="BU586"/>
    <hyperlink r:id="rId4553" ref="P587"/>
    <hyperlink r:id="rId4554" ref="BJ587"/>
    <hyperlink r:id="rId4555" ref="BK587"/>
    <hyperlink r:id="rId4556" ref="BL587"/>
    <hyperlink r:id="rId4557" ref="BM587"/>
    <hyperlink r:id="rId4558" ref="BN587"/>
    <hyperlink r:id="rId4559" ref="BO587"/>
    <hyperlink r:id="rId4560" ref="P588"/>
    <hyperlink r:id="rId4561" ref="BJ588"/>
    <hyperlink r:id="rId4562" ref="BK588"/>
    <hyperlink r:id="rId4563" ref="BO588"/>
    <hyperlink r:id="rId4564" ref="P589"/>
    <hyperlink r:id="rId4565" ref="BJ589"/>
    <hyperlink r:id="rId4566" ref="BK589"/>
    <hyperlink r:id="rId4567" ref="BL589"/>
    <hyperlink r:id="rId4568" ref="BM589"/>
    <hyperlink r:id="rId4569" ref="BO589"/>
    <hyperlink r:id="rId4570" ref="P590"/>
    <hyperlink r:id="rId4571" ref="BJ590"/>
    <hyperlink r:id="rId4572" ref="BK590"/>
    <hyperlink r:id="rId4573" ref="BN590"/>
    <hyperlink r:id="rId4574" ref="BO590"/>
    <hyperlink r:id="rId4575" ref="P591"/>
    <hyperlink r:id="rId4576" ref="BJ591"/>
    <hyperlink r:id="rId4577" ref="BK591"/>
    <hyperlink r:id="rId4578" ref="BL591"/>
    <hyperlink r:id="rId4579" ref="BM591"/>
    <hyperlink r:id="rId4580" ref="BN591"/>
    <hyperlink r:id="rId4581" ref="BO591"/>
    <hyperlink r:id="rId4582" ref="BP591"/>
    <hyperlink r:id="rId4583" ref="BU591"/>
    <hyperlink r:id="rId4584" ref="BV591"/>
    <hyperlink r:id="rId4585" ref="P592"/>
    <hyperlink r:id="rId4586" ref="BJ592"/>
    <hyperlink r:id="rId4587" ref="BK592"/>
    <hyperlink r:id="rId4588" ref="BL592"/>
    <hyperlink r:id="rId4589" ref="BM592"/>
    <hyperlink r:id="rId4590" ref="BN592"/>
    <hyperlink r:id="rId4591" ref="BO592"/>
    <hyperlink r:id="rId4592" ref="P593"/>
    <hyperlink r:id="rId4593" ref="BJ593"/>
    <hyperlink r:id="rId4594" ref="BK593"/>
    <hyperlink r:id="rId4595" ref="BL593"/>
    <hyperlink r:id="rId4596" ref="BM593"/>
    <hyperlink r:id="rId4597" ref="BO593"/>
    <hyperlink r:id="rId4598" ref="P594"/>
    <hyperlink r:id="rId4599" ref="BJ594"/>
    <hyperlink r:id="rId4600" ref="BK594"/>
    <hyperlink r:id="rId4601" ref="BN594"/>
    <hyperlink r:id="rId4602" ref="BO594"/>
    <hyperlink r:id="rId4603" ref="BT594"/>
    <hyperlink r:id="rId4604" ref="P595"/>
    <hyperlink r:id="rId4605" ref="BJ595"/>
    <hyperlink r:id="rId4606" ref="BK595"/>
    <hyperlink r:id="rId4607" ref="BL595"/>
    <hyperlink r:id="rId4608" ref="BM595"/>
    <hyperlink r:id="rId4609" ref="BN595"/>
    <hyperlink r:id="rId4610" ref="BO595"/>
    <hyperlink r:id="rId4611" ref="BP595"/>
    <hyperlink r:id="rId4612" ref="P596"/>
    <hyperlink r:id="rId4613" ref="BJ596"/>
    <hyperlink r:id="rId4614" ref="BK596"/>
    <hyperlink r:id="rId4615" ref="BL596"/>
    <hyperlink r:id="rId4616" ref="BM596"/>
    <hyperlink r:id="rId4617" ref="BN596"/>
    <hyperlink r:id="rId4618" ref="BO596"/>
    <hyperlink r:id="rId4619" ref="BP596"/>
    <hyperlink r:id="rId4620" ref="P597"/>
    <hyperlink r:id="rId4621" ref="BJ597"/>
    <hyperlink r:id="rId4622" ref="BK597"/>
    <hyperlink r:id="rId4623" ref="BN597"/>
    <hyperlink r:id="rId4624" ref="BO597"/>
    <hyperlink r:id="rId4625" ref="BP597"/>
    <hyperlink r:id="rId4626" ref="BT597"/>
    <hyperlink r:id="rId4627" ref="P598"/>
    <hyperlink r:id="rId4628" ref="BJ598"/>
    <hyperlink r:id="rId4629" ref="BK598"/>
    <hyperlink r:id="rId4630" ref="BO598"/>
    <hyperlink r:id="rId4631" ref="P599"/>
    <hyperlink r:id="rId4632" ref="BJ599"/>
    <hyperlink r:id="rId4633" ref="BK599"/>
    <hyperlink r:id="rId4634" ref="BN599"/>
    <hyperlink r:id="rId4635" ref="BO599"/>
    <hyperlink r:id="rId4636" ref="BT599"/>
    <hyperlink r:id="rId4637" ref="P600"/>
    <hyperlink r:id="rId4638" ref="BJ600"/>
    <hyperlink r:id="rId4639" ref="BK600"/>
    <hyperlink r:id="rId4640" ref="BO600"/>
    <hyperlink r:id="rId4641" ref="P601"/>
    <hyperlink r:id="rId4642" ref="BJ601"/>
    <hyperlink r:id="rId4643" ref="BK601"/>
    <hyperlink r:id="rId4644" ref="BL601"/>
    <hyperlink r:id="rId4645" ref="BM601"/>
    <hyperlink r:id="rId4646" ref="BN601"/>
    <hyperlink r:id="rId4647" ref="BO601"/>
    <hyperlink r:id="rId4648" ref="P602"/>
    <hyperlink r:id="rId4649" ref="BJ602"/>
    <hyperlink r:id="rId4650" ref="BK602"/>
    <hyperlink r:id="rId4651" ref="BL602"/>
    <hyperlink r:id="rId4652" ref="BM602"/>
    <hyperlink r:id="rId4653" ref="BN602"/>
    <hyperlink r:id="rId4654" ref="BO602"/>
    <hyperlink r:id="rId4655" ref="BP602"/>
    <hyperlink r:id="rId4656" ref="P603"/>
    <hyperlink r:id="rId4657" ref="BJ603"/>
    <hyperlink r:id="rId4658" ref="BK603"/>
    <hyperlink r:id="rId4659" ref="BM603"/>
    <hyperlink r:id="rId4660" ref="BN603"/>
    <hyperlink r:id="rId4661" ref="BO603"/>
    <hyperlink r:id="rId4662" ref="BP603"/>
    <hyperlink r:id="rId4663" ref="BR603"/>
    <hyperlink r:id="rId4664" ref="BS603"/>
    <hyperlink r:id="rId4665" ref="BT603"/>
    <hyperlink r:id="rId4666" ref="BV603"/>
    <hyperlink r:id="rId4667" ref="P604"/>
    <hyperlink r:id="rId4668" ref="BJ604"/>
    <hyperlink r:id="rId4669" ref="BK604"/>
    <hyperlink r:id="rId4670" ref="BO604"/>
    <hyperlink r:id="rId4671" ref="P605"/>
    <hyperlink r:id="rId4672" ref="BJ605"/>
    <hyperlink r:id="rId4673" ref="BK605"/>
    <hyperlink r:id="rId4674" ref="BL605"/>
    <hyperlink r:id="rId4675" ref="BM605"/>
    <hyperlink r:id="rId4676" ref="BO605"/>
    <hyperlink r:id="rId4677" ref="P606"/>
    <hyperlink r:id="rId4678" ref="BJ606"/>
    <hyperlink r:id="rId4679" ref="BK606"/>
    <hyperlink r:id="rId4680" ref="BL606"/>
    <hyperlink r:id="rId4681" ref="BM606"/>
    <hyperlink r:id="rId4682" ref="BO606"/>
    <hyperlink r:id="rId4683" ref="BS606"/>
    <hyperlink r:id="rId4684" ref="BU606"/>
    <hyperlink r:id="rId4685" ref="BV606"/>
    <hyperlink r:id="rId4686" ref="P607"/>
    <hyperlink r:id="rId4687" ref="BJ607"/>
    <hyperlink r:id="rId4688" ref="BK607"/>
    <hyperlink r:id="rId4689" ref="BL607"/>
    <hyperlink r:id="rId4690" ref="BM607"/>
    <hyperlink r:id="rId4691" ref="BN607"/>
    <hyperlink r:id="rId4692" ref="BO607"/>
    <hyperlink r:id="rId4693" ref="BS607"/>
    <hyperlink r:id="rId4694" ref="BU607"/>
    <hyperlink r:id="rId4695" ref="BV607"/>
    <hyperlink r:id="rId4696" ref="P608"/>
    <hyperlink r:id="rId4697" ref="BJ608"/>
    <hyperlink r:id="rId4698" ref="BK608"/>
    <hyperlink r:id="rId4699" ref="BM608"/>
    <hyperlink r:id="rId4700" ref="BN608"/>
    <hyperlink r:id="rId4701" ref="BO608"/>
    <hyperlink r:id="rId4702" ref="P609"/>
    <hyperlink r:id="rId4703" ref="BJ609"/>
    <hyperlink r:id="rId4704" ref="BK609"/>
    <hyperlink r:id="rId4705" ref="BM609"/>
    <hyperlink r:id="rId4706" ref="BN609"/>
    <hyperlink r:id="rId4707" ref="BO609"/>
    <hyperlink r:id="rId4708" ref="BP609"/>
    <hyperlink r:id="rId4709" ref="P610"/>
    <hyperlink r:id="rId4710" ref="BJ610"/>
    <hyperlink r:id="rId4711" ref="BK610"/>
    <hyperlink r:id="rId4712" ref="BM610"/>
    <hyperlink r:id="rId4713" ref="BN610"/>
    <hyperlink r:id="rId4714" ref="BO610"/>
    <hyperlink r:id="rId4715" ref="BP610"/>
    <hyperlink r:id="rId4716" ref="BS610"/>
    <hyperlink r:id="rId4717" ref="P611"/>
    <hyperlink r:id="rId4718" ref="BJ611"/>
    <hyperlink r:id="rId4719" ref="BK611"/>
    <hyperlink r:id="rId4720" ref="BM611"/>
    <hyperlink r:id="rId4721" ref="BN611"/>
    <hyperlink r:id="rId4722" ref="BO611"/>
    <hyperlink r:id="rId4723" ref="P612"/>
    <hyperlink r:id="rId4724" ref="BJ612"/>
    <hyperlink r:id="rId4725" ref="BK612"/>
    <hyperlink r:id="rId4726" ref="BM612"/>
    <hyperlink r:id="rId4727" ref="BN612"/>
    <hyperlink r:id="rId4728" ref="BO612"/>
    <hyperlink r:id="rId4729" ref="P613"/>
    <hyperlink r:id="rId4730" ref="BJ613"/>
    <hyperlink r:id="rId4731" ref="BK613"/>
    <hyperlink r:id="rId4732" ref="BL613"/>
    <hyperlink r:id="rId4733" ref="BM613"/>
    <hyperlink r:id="rId4734" ref="BN613"/>
    <hyperlink r:id="rId4735" ref="BO613"/>
    <hyperlink r:id="rId4736" ref="BP613"/>
    <hyperlink r:id="rId4737" ref="P615"/>
    <hyperlink r:id="rId4738" ref="BJ615"/>
    <hyperlink r:id="rId4739" ref="BK615"/>
    <hyperlink r:id="rId4740" ref="BO615"/>
    <hyperlink r:id="rId4741" ref="P616"/>
    <hyperlink r:id="rId4742" ref="BJ616"/>
    <hyperlink r:id="rId4743" ref="BK616"/>
    <hyperlink r:id="rId4744" ref="BN616"/>
    <hyperlink r:id="rId4745" ref="BO616"/>
    <hyperlink r:id="rId4746" ref="P617"/>
    <hyperlink r:id="rId4747" ref="BJ617"/>
    <hyperlink r:id="rId4748" ref="BK617"/>
    <hyperlink r:id="rId4749" ref="BO617"/>
    <hyperlink r:id="rId4750" ref="P618"/>
    <hyperlink r:id="rId4751" ref="BJ618"/>
    <hyperlink r:id="rId4752" ref="BK618"/>
    <hyperlink r:id="rId4753" ref="BL618"/>
    <hyperlink r:id="rId4754" ref="BM618"/>
    <hyperlink r:id="rId4755" ref="BN618"/>
    <hyperlink r:id="rId4756" ref="BO618"/>
    <hyperlink r:id="rId4757" ref="BP618"/>
    <hyperlink r:id="rId4758" ref="P619"/>
    <hyperlink r:id="rId4759" ref="BJ619"/>
    <hyperlink r:id="rId4760" ref="BK619"/>
    <hyperlink r:id="rId4761" ref="BO619"/>
    <hyperlink r:id="rId4762" ref="P620"/>
    <hyperlink r:id="rId4763" ref="BJ620"/>
    <hyperlink r:id="rId4764" ref="BK620"/>
    <hyperlink r:id="rId4765" ref="BL620"/>
    <hyperlink r:id="rId4766" ref="BO620"/>
    <hyperlink r:id="rId4767" ref="BP620"/>
    <hyperlink r:id="rId4768" ref="P621"/>
    <hyperlink r:id="rId4769" ref="BJ621"/>
    <hyperlink r:id="rId4770" ref="BK621"/>
    <hyperlink r:id="rId4771" ref="BO621"/>
    <hyperlink r:id="rId4772" ref="P622"/>
    <hyperlink r:id="rId4773" ref="BJ622"/>
    <hyperlink r:id="rId4774" ref="BK622"/>
    <hyperlink r:id="rId4775" ref="BN622"/>
    <hyperlink r:id="rId4776" ref="BO622"/>
    <hyperlink r:id="rId4777" ref="BP622"/>
    <hyperlink r:id="rId4778" ref="P623"/>
    <hyperlink r:id="rId4779" ref="BJ623"/>
    <hyperlink r:id="rId4780" ref="BK623"/>
    <hyperlink r:id="rId4781" ref="BL623"/>
    <hyperlink r:id="rId4782" ref="BO623"/>
    <hyperlink r:id="rId4783" ref="P624"/>
    <hyperlink r:id="rId4784" ref="BJ624"/>
    <hyperlink r:id="rId4785" ref="BK624"/>
    <hyperlink r:id="rId4786" ref="BO624"/>
    <hyperlink r:id="rId4787" ref="BP624"/>
    <hyperlink r:id="rId4788" ref="P625"/>
    <hyperlink r:id="rId4789" ref="BJ625"/>
    <hyperlink r:id="rId4790" ref="BK625"/>
    <hyperlink r:id="rId4791" ref="BO625"/>
    <hyperlink r:id="rId4792" ref="BP625"/>
    <hyperlink r:id="rId4793" ref="P626"/>
    <hyperlink r:id="rId4794" ref="BJ626"/>
    <hyperlink r:id="rId4795" ref="BK626"/>
    <hyperlink r:id="rId4796" ref="BO626"/>
    <hyperlink r:id="rId4797" ref="BP626"/>
    <hyperlink r:id="rId4798" ref="P627"/>
    <hyperlink r:id="rId4799" ref="BJ627"/>
    <hyperlink r:id="rId4800" ref="BK627"/>
    <hyperlink r:id="rId4801" ref="BO627"/>
    <hyperlink r:id="rId4802" ref="P628"/>
    <hyperlink r:id="rId4803" ref="BJ628"/>
    <hyperlink r:id="rId4804" ref="BK628"/>
    <hyperlink r:id="rId4805" ref="BM628"/>
    <hyperlink r:id="rId4806" ref="BN628"/>
    <hyperlink r:id="rId4807" ref="BO628"/>
    <hyperlink r:id="rId4808" ref="BP628"/>
    <hyperlink r:id="rId4809" ref="P629"/>
    <hyperlink r:id="rId4810" ref="BJ629"/>
    <hyperlink r:id="rId4811" ref="BK629"/>
    <hyperlink r:id="rId4812" ref="BL629"/>
    <hyperlink r:id="rId4813" ref="BM629"/>
    <hyperlink r:id="rId4814" ref="BN629"/>
    <hyperlink r:id="rId4815" ref="BO629"/>
    <hyperlink r:id="rId4816" ref="BP629"/>
    <hyperlink r:id="rId4817" ref="P630"/>
    <hyperlink r:id="rId4818" ref="BJ630"/>
    <hyperlink r:id="rId4819" ref="BK630"/>
    <hyperlink r:id="rId4820" ref="BL630"/>
    <hyperlink r:id="rId4821" ref="BO630"/>
    <hyperlink r:id="rId4822" ref="P631"/>
    <hyperlink r:id="rId4823" ref="BJ631"/>
    <hyperlink r:id="rId4824" ref="BK631"/>
    <hyperlink r:id="rId4825" ref="BL631"/>
    <hyperlink r:id="rId4826" ref="BM631"/>
    <hyperlink r:id="rId4827" ref="BO631"/>
    <hyperlink r:id="rId4828" ref="BP631"/>
    <hyperlink r:id="rId4829" ref="P632"/>
    <hyperlink r:id="rId4830" ref="BJ632"/>
    <hyperlink r:id="rId4831" ref="BK632"/>
    <hyperlink r:id="rId4832" ref="BL632"/>
    <hyperlink r:id="rId4833" ref="BM632"/>
    <hyperlink r:id="rId4834" ref="BO632"/>
    <hyperlink r:id="rId4835" ref="BP632"/>
    <hyperlink r:id="rId4836" ref="P633"/>
    <hyperlink r:id="rId4837" ref="BJ633"/>
    <hyperlink r:id="rId4838" ref="BK633"/>
    <hyperlink r:id="rId4839" ref="BO633"/>
    <hyperlink r:id="rId4840" ref="BP633"/>
    <hyperlink r:id="rId4841" ref="BJ634"/>
    <hyperlink r:id="rId4842" ref="BK634"/>
    <hyperlink r:id="rId4843" ref="BO634"/>
    <hyperlink r:id="rId4844" ref="BJ635"/>
    <hyperlink r:id="rId4845" ref="BK635"/>
    <hyperlink r:id="rId4846" ref="BN635"/>
    <hyperlink r:id="rId4847" ref="BO635"/>
    <hyperlink r:id="rId4848" ref="P636"/>
    <hyperlink r:id="rId4849" ref="BJ636"/>
    <hyperlink r:id="rId4850" ref="BK636"/>
    <hyperlink r:id="rId4851" ref="BO636"/>
    <hyperlink r:id="rId4852" ref="BJ637"/>
    <hyperlink r:id="rId4853" ref="BK637"/>
    <hyperlink r:id="rId4854" ref="BO637"/>
    <hyperlink r:id="rId4855" ref="P638"/>
    <hyperlink r:id="rId4856" ref="BJ638"/>
    <hyperlink r:id="rId4857" ref="BK638"/>
    <hyperlink r:id="rId4858" ref="BN638"/>
    <hyperlink r:id="rId4859" ref="BO638"/>
    <hyperlink r:id="rId4860" ref="BP638"/>
    <hyperlink r:id="rId4861" ref="P639"/>
    <hyperlink r:id="rId4862" ref="BJ639"/>
    <hyperlink r:id="rId4863" ref="BK639"/>
    <hyperlink r:id="rId4864" ref="BO639"/>
    <hyperlink r:id="rId4865" ref="P640"/>
    <hyperlink r:id="rId4866" ref="BJ640"/>
    <hyperlink r:id="rId4867" ref="BK640"/>
    <hyperlink r:id="rId4868" ref="BN640"/>
    <hyperlink r:id="rId4869" ref="BO640"/>
    <hyperlink r:id="rId4870" ref="BP640"/>
    <hyperlink r:id="rId4871" ref="P641"/>
    <hyperlink r:id="rId4872" ref="BJ641"/>
    <hyperlink r:id="rId4873" ref="BK641"/>
    <hyperlink r:id="rId4874" ref="BL641"/>
    <hyperlink r:id="rId4875" ref="BM641"/>
    <hyperlink r:id="rId4876" ref="BO641"/>
    <hyperlink r:id="rId4877" ref="P642"/>
    <hyperlink r:id="rId4878" ref="BJ642"/>
    <hyperlink r:id="rId4879" ref="BK642"/>
    <hyperlink r:id="rId4880" ref="BN642"/>
    <hyperlink r:id="rId4881" ref="BO642"/>
    <hyperlink r:id="rId4882" ref="P643"/>
    <hyperlink r:id="rId4883" ref="BJ643"/>
    <hyperlink r:id="rId4884" ref="BK643"/>
    <hyperlink r:id="rId4885" ref="BN643"/>
    <hyperlink r:id="rId4886" ref="BO643"/>
    <hyperlink r:id="rId4887" ref="BP643"/>
    <hyperlink r:id="rId4888" ref="P644"/>
    <hyperlink r:id="rId4889" ref="BJ644"/>
    <hyperlink r:id="rId4890" ref="BK644"/>
    <hyperlink r:id="rId4891" ref="BM644"/>
    <hyperlink r:id="rId4892" ref="BN644"/>
    <hyperlink r:id="rId4893" ref="BO644"/>
    <hyperlink r:id="rId4894" ref="BP644"/>
    <hyperlink r:id="rId4895" ref="P645"/>
    <hyperlink r:id="rId4896" ref="BJ645"/>
    <hyperlink r:id="rId4897" ref="BK645"/>
    <hyperlink r:id="rId4898" ref="BL645"/>
    <hyperlink r:id="rId4899" ref="BM645"/>
    <hyperlink r:id="rId4900" ref="BN645"/>
    <hyperlink r:id="rId4901" ref="BO645"/>
    <hyperlink r:id="rId4902" ref="BP645"/>
    <hyperlink r:id="rId4903" ref="P646"/>
    <hyperlink r:id="rId4904" ref="BJ646"/>
    <hyperlink r:id="rId4905" ref="BK646"/>
    <hyperlink r:id="rId4906" ref="BN646"/>
    <hyperlink r:id="rId4907" ref="BO646"/>
    <hyperlink r:id="rId4908" ref="BP646"/>
    <hyperlink r:id="rId4909" ref="P647"/>
    <hyperlink r:id="rId4910" ref="BJ647"/>
    <hyperlink r:id="rId4911" ref="BK647"/>
    <hyperlink r:id="rId4912" ref="BL647"/>
    <hyperlink r:id="rId4913" ref="BM647"/>
    <hyperlink r:id="rId4914" ref="BN647"/>
    <hyperlink r:id="rId4915" ref="BO647"/>
    <hyperlink r:id="rId4916" ref="BP647"/>
    <hyperlink r:id="rId4917" ref="P648"/>
    <hyperlink r:id="rId4918" ref="BJ648"/>
    <hyperlink r:id="rId4919" ref="BK648"/>
    <hyperlink r:id="rId4920" ref="BN648"/>
    <hyperlink r:id="rId4921" ref="BO648"/>
    <hyperlink r:id="rId4922" ref="BP648"/>
    <hyperlink r:id="rId4923" ref="P649"/>
    <hyperlink r:id="rId4924" ref="BJ649"/>
    <hyperlink r:id="rId4925" ref="BK649"/>
    <hyperlink r:id="rId4926" ref="BL649"/>
    <hyperlink r:id="rId4927" ref="BM649"/>
    <hyperlink r:id="rId4928" ref="BN649"/>
    <hyperlink r:id="rId4929" ref="BO649"/>
    <hyperlink r:id="rId4930" ref="P650"/>
    <hyperlink r:id="rId4931" ref="BJ650"/>
    <hyperlink r:id="rId4932" ref="BK650"/>
    <hyperlink r:id="rId4933" ref="BL650"/>
    <hyperlink r:id="rId4934" ref="BM650"/>
    <hyperlink r:id="rId4935" ref="BN650"/>
    <hyperlink r:id="rId4936" ref="BO650"/>
    <hyperlink r:id="rId4937" ref="BP650"/>
    <hyperlink r:id="rId4938" ref="P651"/>
    <hyperlink r:id="rId4939" ref="BJ651"/>
    <hyperlink r:id="rId4940" ref="BK651"/>
    <hyperlink r:id="rId4941" ref="BL651"/>
    <hyperlink r:id="rId4942" ref="BM651"/>
    <hyperlink r:id="rId4943" ref="BN651"/>
    <hyperlink r:id="rId4944" ref="BO651"/>
    <hyperlink r:id="rId4945" ref="P652"/>
    <hyperlink r:id="rId4946" ref="BJ652"/>
    <hyperlink r:id="rId4947" ref="BK652"/>
    <hyperlink r:id="rId4948" ref="BL652"/>
    <hyperlink r:id="rId4949" ref="BM652"/>
    <hyperlink r:id="rId4950" ref="BN652"/>
    <hyperlink r:id="rId4951" ref="BO652"/>
    <hyperlink r:id="rId4952" ref="BP652"/>
    <hyperlink r:id="rId4953" ref="P653"/>
    <hyperlink r:id="rId4954" ref="BJ653"/>
    <hyperlink r:id="rId4955" ref="BK653"/>
    <hyperlink r:id="rId4956" ref="BO653"/>
    <hyperlink r:id="rId4957" ref="P654"/>
    <hyperlink r:id="rId4958" ref="BJ654"/>
    <hyperlink r:id="rId4959" ref="BK654"/>
    <hyperlink r:id="rId4960" ref="BO654"/>
    <hyperlink r:id="rId4961" ref="BJ655"/>
    <hyperlink r:id="rId4962" ref="BK655"/>
    <hyperlink r:id="rId4963" ref="BO655"/>
    <hyperlink r:id="rId4964" ref="P656"/>
    <hyperlink r:id="rId4965" ref="BJ656"/>
    <hyperlink r:id="rId4966" ref="BK656"/>
    <hyperlink r:id="rId4967" ref="BO656"/>
    <hyperlink r:id="rId4968" ref="P657"/>
    <hyperlink r:id="rId4969" ref="BJ657"/>
    <hyperlink r:id="rId4970" ref="BK657"/>
    <hyperlink r:id="rId4971" ref="BN657"/>
    <hyperlink r:id="rId4972" ref="BO657"/>
    <hyperlink r:id="rId4973" ref="BJ658"/>
    <hyperlink r:id="rId4974" ref="BK658"/>
    <hyperlink r:id="rId4975" ref="BL658"/>
    <hyperlink r:id="rId4976" ref="BM658"/>
    <hyperlink r:id="rId4977" ref="BN658"/>
    <hyperlink r:id="rId4978" ref="BO658"/>
    <hyperlink r:id="rId4979" ref="BP658"/>
    <hyperlink r:id="rId4980" ref="P659"/>
    <hyperlink r:id="rId4981" ref="BJ659"/>
    <hyperlink r:id="rId4982" ref="BK659"/>
    <hyperlink r:id="rId4983" ref="BL659"/>
    <hyperlink r:id="rId4984" ref="BM659"/>
    <hyperlink r:id="rId4985" ref="BN659"/>
    <hyperlink r:id="rId4986" ref="BO659"/>
    <hyperlink r:id="rId4987" ref="BP659"/>
    <hyperlink r:id="rId4988" ref="P660"/>
    <hyperlink r:id="rId4989" ref="BJ660"/>
    <hyperlink r:id="rId4990" ref="BK660"/>
    <hyperlink r:id="rId4991" ref="BO660"/>
    <hyperlink r:id="rId4992" ref="P661"/>
    <hyperlink r:id="rId4993" ref="BJ661"/>
    <hyperlink r:id="rId4994" ref="BK661"/>
    <hyperlink r:id="rId4995" ref="BN661"/>
    <hyperlink r:id="rId4996" ref="BO661"/>
    <hyperlink r:id="rId4997" ref="BP661"/>
    <hyperlink r:id="rId4998" ref="P662"/>
    <hyperlink r:id="rId4999" ref="BJ662"/>
    <hyperlink r:id="rId5000" ref="BK662"/>
    <hyperlink r:id="rId5001" ref="BO662"/>
    <hyperlink r:id="rId5002" ref="P663"/>
    <hyperlink r:id="rId5003" ref="BJ663"/>
    <hyperlink r:id="rId5004" ref="BK663"/>
    <hyperlink r:id="rId5005" ref="BL663"/>
    <hyperlink r:id="rId5006" ref="BM663"/>
    <hyperlink r:id="rId5007" ref="BO663"/>
    <hyperlink r:id="rId5008" ref="BP663"/>
    <hyperlink r:id="rId5009" ref="P664"/>
    <hyperlink r:id="rId5010" ref="BJ664"/>
    <hyperlink r:id="rId5011" ref="BK664"/>
    <hyperlink r:id="rId5012" ref="BN664"/>
    <hyperlink r:id="rId5013" ref="BO664"/>
    <hyperlink r:id="rId5014" ref="BP664"/>
    <hyperlink r:id="rId5015" ref="BJ665"/>
    <hyperlink r:id="rId5016" ref="BK665"/>
    <hyperlink r:id="rId5017" ref="BN665"/>
    <hyperlink r:id="rId5018" ref="BO665"/>
    <hyperlink r:id="rId5019" ref="BP665"/>
    <hyperlink r:id="rId5020" ref="P666"/>
    <hyperlink r:id="rId5021" ref="BJ666"/>
    <hyperlink r:id="rId5022" ref="BK666"/>
    <hyperlink r:id="rId5023" ref="BL666"/>
    <hyperlink r:id="rId5024" ref="BM666"/>
    <hyperlink r:id="rId5025" ref="BN666"/>
    <hyperlink r:id="rId5026" ref="BO666"/>
    <hyperlink r:id="rId5027" ref="BP666"/>
    <hyperlink r:id="rId5028" ref="BJ667"/>
    <hyperlink r:id="rId5029" ref="BK667"/>
    <hyperlink r:id="rId5030" ref="BL667"/>
    <hyperlink r:id="rId5031" ref="BN667"/>
    <hyperlink r:id="rId5032" ref="BO667"/>
    <hyperlink r:id="rId5033" ref="BP667"/>
    <hyperlink r:id="rId5034" ref="BJ668"/>
    <hyperlink r:id="rId5035" ref="BK668"/>
    <hyperlink r:id="rId5036" ref="BN668"/>
    <hyperlink r:id="rId5037" ref="BO668"/>
    <hyperlink r:id="rId5038" ref="BJ669"/>
    <hyperlink r:id="rId5039" ref="BK669"/>
    <hyperlink r:id="rId5040" ref="BL669"/>
    <hyperlink r:id="rId5041" ref="BM669"/>
    <hyperlink r:id="rId5042" ref="BN669"/>
    <hyperlink r:id="rId5043" ref="BO669"/>
    <hyperlink r:id="rId5044" ref="BP669"/>
    <hyperlink r:id="rId5045" ref="P670"/>
    <hyperlink r:id="rId5046" ref="BJ670"/>
    <hyperlink r:id="rId5047" ref="BK670"/>
    <hyperlink r:id="rId5048" ref="BL670"/>
    <hyperlink r:id="rId5049" ref="BM670"/>
    <hyperlink r:id="rId5050" ref="BN670"/>
    <hyperlink r:id="rId5051" ref="BO670"/>
    <hyperlink r:id="rId5052" ref="BP670"/>
    <hyperlink r:id="rId5053" ref="P671"/>
    <hyperlink r:id="rId5054" ref="BJ671"/>
    <hyperlink r:id="rId5055" ref="BK671"/>
    <hyperlink r:id="rId5056" ref="BM671"/>
    <hyperlink r:id="rId5057" ref="BO671"/>
    <hyperlink r:id="rId5058" ref="BP671"/>
    <hyperlink r:id="rId5059" ref="P672"/>
    <hyperlink r:id="rId5060" ref="BJ672"/>
    <hyperlink r:id="rId5061" ref="BK672"/>
    <hyperlink r:id="rId5062" ref="BL672"/>
    <hyperlink r:id="rId5063" ref="BM672"/>
    <hyperlink r:id="rId5064" ref="BN672"/>
    <hyperlink r:id="rId5065" ref="BO672"/>
    <hyperlink r:id="rId5066" ref="P673"/>
    <hyperlink r:id="rId5067" ref="BJ673"/>
    <hyperlink r:id="rId5068" ref="BK673"/>
    <hyperlink r:id="rId5069" ref="BO673"/>
    <hyperlink r:id="rId5070" ref="P674"/>
    <hyperlink r:id="rId5071" ref="BJ674"/>
    <hyperlink r:id="rId5072" ref="BK674"/>
    <hyperlink r:id="rId5073" ref="BN674"/>
    <hyperlink r:id="rId5074" ref="BO674"/>
    <hyperlink r:id="rId5075" ref="BP674"/>
    <hyperlink r:id="rId5076" ref="P675"/>
    <hyperlink r:id="rId5077" ref="BJ675"/>
    <hyperlink r:id="rId5078" ref="BK675"/>
    <hyperlink r:id="rId5079" ref="BM675"/>
    <hyperlink r:id="rId5080" ref="BN675"/>
    <hyperlink r:id="rId5081" ref="BO675"/>
    <hyperlink r:id="rId5082" ref="P676"/>
    <hyperlink r:id="rId5083" ref="BJ676"/>
    <hyperlink r:id="rId5084" ref="BK676"/>
    <hyperlink r:id="rId5085" ref="BN676"/>
    <hyperlink r:id="rId5086" ref="BO676"/>
    <hyperlink r:id="rId5087" ref="P677"/>
    <hyperlink r:id="rId5088" ref="BJ677"/>
    <hyperlink r:id="rId5089" ref="BK677"/>
    <hyperlink r:id="rId5090" ref="BO677"/>
    <hyperlink r:id="rId5091" ref="P678"/>
    <hyperlink r:id="rId5092" ref="BJ678"/>
    <hyperlink r:id="rId5093" ref="BK678"/>
    <hyperlink r:id="rId5094" ref="BO678"/>
    <hyperlink r:id="rId5095" ref="P679"/>
    <hyperlink r:id="rId5096" ref="BJ679"/>
    <hyperlink r:id="rId5097" ref="BK679"/>
    <hyperlink r:id="rId5098" ref="BN679"/>
    <hyperlink r:id="rId5099" ref="BO679"/>
    <hyperlink r:id="rId5100" ref="P680"/>
    <hyperlink r:id="rId5101" ref="BJ680"/>
    <hyperlink r:id="rId5102" ref="BK680"/>
    <hyperlink r:id="rId5103" ref="BO680"/>
    <hyperlink r:id="rId5104" ref="P681"/>
    <hyperlink r:id="rId5105" ref="BJ681"/>
    <hyperlink r:id="rId5106" ref="BK681"/>
    <hyperlink r:id="rId5107" ref="BN681"/>
    <hyperlink r:id="rId5108" ref="BO681"/>
    <hyperlink r:id="rId5109" ref="BP681"/>
    <hyperlink r:id="rId5110" ref="P682"/>
    <hyperlink r:id="rId5111" ref="BJ682"/>
    <hyperlink r:id="rId5112" ref="BK682"/>
    <hyperlink r:id="rId5113" ref="BN682"/>
    <hyperlink r:id="rId5114" ref="BO682"/>
    <hyperlink r:id="rId5115" ref="BP682"/>
    <hyperlink r:id="rId5116" ref="P683"/>
    <hyperlink r:id="rId5117" ref="BJ683"/>
    <hyperlink r:id="rId5118" ref="BK683"/>
    <hyperlink r:id="rId5119" ref="BO683"/>
    <hyperlink r:id="rId5120" ref="BP683"/>
    <hyperlink r:id="rId5121" ref="P684"/>
    <hyperlink r:id="rId5122" ref="BJ684"/>
    <hyperlink r:id="rId5123" ref="BK684"/>
    <hyperlink r:id="rId5124" ref="BL684"/>
    <hyperlink r:id="rId5125" ref="BM684"/>
    <hyperlink r:id="rId5126" ref="BN684"/>
    <hyperlink r:id="rId5127" ref="BO684"/>
    <hyperlink r:id="rId5128" ref="BP684"/>
    <hyperlink r:id="rId5129" ref="P685"/>
    <hyperlink r:id="rId5130" ref="BJ685"/>
    <hyperlink r:id="rId5131" ref="BK685"/>
    <hyperlink r:id="rId5132" ref="BL685"/>
    <hyperlink r:id="rId5133" ref="BM685"/>
    <hyperlink r:id="rId5134" ref="BN685"/>
    <hyperlink r:id="rId5135" ref="BO685"/>
    <hyperlink r:id="rId5136" ref="BP685"/>
    <hyperlink r:id="rId5137" ref="P686"/>
    <hyperlink r:id="rId5138" ref="BJ686"/>
    <hyperlink r:id="rId5139" ref="BK686"/>
    <hyperlink r:id="rId5140" ref="BO686"/>
    <hyperlink r:id="rId5141" ref="BP686"/>
    <hyperlink r:id="rId5142" ref="P687"/>
    <hyperlink r:id="rId5143" ref="BJ687"/>
    <hyperlink r:id="rId5144" ref="BK687"/>
    <hyperlink r:id="rId5145" ref="BL687"/>
    <hyperlink r:id="rId5146" ref="BM687"/>
    <hyperlink r:id="rId5147" ref="BN687"/>
    <hyperlink r:id="rId5148" ref="BO687"/>
    <hyperlink r:id="rId5149" ref="P689"/>
    <hyperlink r:id="rId5150" ref="BJ689"/>
    <hyperlink r:id="rId5151" ref="BK689"/>
    <hyperlink r:id="rId5152" ref="BL689"/>
    <hyperlink r:id="rId5153" ref="BN689"/>
    <hyperlink r:id="rId5154" ref="BO689"/>
    <hyperlink r:id="rId5155" ref="BP689"/>
    <hyperlink r:id="rId5156" ref="P690"/>
    <hyperlink r:id="rId5157" ref="BJ690"/>
    <hyperlink r:id="rId5158" ref="BK690"/>
    <hyperlink r:id="rId5159" ref="BO690"/>
    <hyperlink r:id="rId5160" ref="BP690"/>
    <hyperlink r:id="rId5161" ref="P691"/>
    <hyperlink r:id="rId5162" ref="BJ691"/>
    <hyperlink r:id="rId5163" ref="BK691"/>
    <hyperlink r:id="rId5164" ref="BN691"/>
    <hyperlink r:id="rId5165" ref="BO691"/>
    <hyperlink r:id="rId5166" ref="P692"/>
    <hyperlink r:id="rId5167" ref="BJ692"/>
    <hyperlink r:id="rId5168" ref="BK692"/>
    <hyperlink r:id="rId5169" ref="BO692"/>
    <hyperlink r:id="rId5170" ref="P693"/>
    <hyperlink r:id="rId5171" ref="BJ693"/>
    <hyperlink r:id="rId5172" ref="BK693"/>
    <hyperlink r:id="rId5173" ref="BL693"/>
    <hyperlink r:id="rId5174" ref="BM693"/>
    <hyperlink r:id="rId5175" ref="BN693"/>
    <hyperlink r:id="rId5176" ref="BO693"/>
    <hyperlink r:id="rId5177" ref="BP693"/>
    <hyperlink r:id="rId5178" ref="BJ694"/>
    <hyperlink r:id="rId5179" ref="BK694"/>
    <hyperlink r:id="rId5180" ref="BO694"/>
    <hyperlink r:id="rId5181" ref="P695"/>
    <hyperlink r:id="rId5182" ref="BJ695"/>
    <hyperlink r:id="rId5183" ref="BK695"/>
    <hyperlink r:id="rId5184" ref="BL695"/>
    <hyperlink r:id="rId5185" ref="BM695"/>
    <hyperlink r:id="rId5186" ref="BO695"/>
    <hyperlink r:id="rId5187" ref="BP695"/>
    <hyperlink r:id="rId5188" ref="P696"/>
    <hyperlink r:id="rId5189" ref="BJ696"/>
    <hyperlink r:id="rId5190" ref="BK696"/>
    <hyperlink r:id="rId5191" ref="BO696"/>
    <hyperlink r:id="rId5192" ref="P697"/>
    <hyperlink r:id="rId5193" ref="BJ697"/>
    <hyperlink r:id="rId5194" ref="BK697"/>
    <hyperlink r:id="rId5195" ref="BO697"/>
    <hyperlink r:id="rId5196" ref="P698"/>
    <hyperlink r:id="rId5197" ref="BJ698"/>
    <hyperlink r:id="rId5198" ref="BK698"/>
    <hyperlink r:id="rId5199" ref="BN698"/>
    <hyperlink r:id="rId5200" ref="BO698"/>
    <hyperlink r:id="rId5201" ref="P699"/>
    <hyperlink r:id="rId5202" ref="BJ699"/>
    <hyperlink r:id="rId5203" ref="BK699"/>
    <hyperlink r:id="rId5204" ref="BL699"/>
    <hyperlink r:id="rId5205" ref="BM699"/>
    <hyperlink r:id="rId5206" ref="BN699"/>
    <hyperlink r:id="rId5207" ref="BO699"/>
    <hyperlink r:id="rId5208" ref="BP699"/>
    <hyperlink r:id="rId5209" ref="P700"/>
    <hyperlink r:id="rId5210" ref="BJ700"/>
    <hyperlink r:id="rId5211" ref="BK700"/>
    <hyperlink r:id="rId5212" ref="BO700"/>
    <hyperlink r:id="rId5213" ref="P701"/>
    <hyperlink r:id="rId5214" ref="BJ701"/>
    <hyperlink r:id="rId5215" ref="BK701"/>
    <hyperlink r:id="rId5216" ref="BM701"/>
    <hyperlink r:id="rId5217" ref="BN701"/>
    <hyperlink r:id="rId5218" ref="BO701"/>
    <hyperlink r:id="rId5219" ref="BP701"/>
    <hyperlink r:id="rId5220" ref="P702"/>
    <hyperlink r:id="rId5221" ref="BJ702"/>
    <hyperlink r:id="rId5222" ref="BK702"/>
    <hyperlink r:id="rId5223" ref="BL702"/>
    <hyperlink r:id="rId5224" ref="BM702"/>
    <hyperlink r:id="rId5225" ref="BO702"/>
    <hyperlink r:id="rId5226" ref="BP702"/>
    <hyperlink r:id="rId5227" ref="P703"/>
    <hyperlink r:id="rId5228" ref="BJ703"/>
    <hyperlink r:id="rId5229" ref="BK703"/>
    <hyperlink r:id="rId5230" ref="BN703"/>
    <hyperlink r:id="rId5231" ref="BO703"/>
    <hyperlink r:id="rId5232" ref="BP703"/>
    <hyperlink r:id="rId5233" ref="P704"/>
    <hyperlink r:id="rId5234" ref="BJ704"/>
    <hyperlink r:id="rId5235" ref="BK704"/>
    <hyperlink r:id="rId5236" ref="BO704"/>
    <hyperlink r:id="rId5237" ref="P705"/>
    <hyperlink r:id="rId5238" ref="BJ705"/>
    <hyperlink r:id="rId5239" ref="BK705"/>
    <hyperlink r:id="rId5240" ref="BN705"/>
    <hyperlink r:id="rId5241" ref="BO705"/>
    <hyperlink r:id="rId5242" ref="BP705"/>
    <hyperlink r:id="rId5243" ref="P706"/>
    <hyperlink r:id="rId5244" ref="BJ706"/>
    <hyperlink r:id="rId5245" ref="BK706"/>
    <hyperlink r:id="rId5246" ref="BO706"/>
    <hyperlink r:id="rId5247" ref="P707"/>
    <hyperlink r:id="rId5248" ref="BJ707"/>
    <hyperlink r:id="rId5249" ref="BK707"/>
    <hyperlink r:id="rId5250" ref="BN707"/>
    <hyperlink r:id="rId5251" ref="BO707"/>
    <hyperlink r:id="rId5252" ref="BP707"/>
    <hyperlink r:id="rId5253" ref="P708"/>
    <hyperlink r:id="rId5254" ref="BJ708"/>
    <hyperlink r:id="rId5255" ref="BK708"/>
    <hyperlink r:id="rId5256" ref="BN708"/>
    <hyperlink r:id="rId5257" ref="BO708"/>
    <hyperlink r:id="rId5258" ref="BP708"/>
    <hyperlink r:id="rId5259" ref="P709"/>
    <hyperlink r:id="rId5260" ref="BJ709"/>
    <hyperlink r:id="rId5261" ref="BK709"/>
    <hyperlink r:id="rId5262" ref="BL709"/>
    <hyperlink r:id="rId5263" ref="BM709"/>
    <hyperlink r:id="rId5264" ref="BN709"/>
    <hyperlink r:id="rId5265" ref="BO709"/>
    <hyperlink r:id="rId5266" ref="BP709"/>
    <hyperlink r:id="rId5267" ref="P710"/>
    <hyperlink r:id="rId5268" ref="BJ710"/>
    <hyperlink r:id="rId5269" ref="BK710"/>
    <hyperlink r:id="rId5270" ref="BO710"/>
    <hyperlink r:id="rId5271" ref="BP710"/>
    <hyperlink r:id="rId5272" ref="P711"/>
    <hyperlink r:id="rId5273" ref="BJ711"/>
    <hyperlink r:id="rId5274" ref="BK711"/>
    <hyperlink r:id="rId5275" ref="BO711"/>
    <hyperlink r:id="rId5276" ref="P712"/>
    <hyperlink r:id="rId5277" ref="BJ712"/>
    <hyperlink r:id="rId5278" ref="BK712"/>
    <hyperlink r:id="rId5279" ref="BN712"/>
    <hyperlink r:id="rId5280" ref="BO712"/>
    <hyperlink r:id="rId5281" ref="P713"/>
    <hyperlink r:id="rId5282" ref="BJ713"/>
    <hyperlink r:id="rId5283" ref="BK713"/>
    <hyperlink r:id="rId5284" ref="BN713"/>
    <hyperlink r:id="rId5285" ref="BO713"/>
    <hyperlink r:id="rId5286" ref="BP713"/>
    <hyperlink r:id="rId5287" ref="P714"/>
    <hyperlink r:id="rId5288" ref="BJ714"/>
    <hyperlink r:id="rId5289" ref="BK714"/>
    <hyperlink r:id="rId5290" ref="BN714"/>
    <hyperlink r:id="rId5291" ref="BO714"/>
    <hyperlink r:id="rId5292" ref="BP714"/>
    <hyperlink r:id="rId5293" ref="P715"/>
    <hyperlink r:id="rId5294" ref="BJ715"/>
    <hyperlink r:id="rId5295" ref="BK715"/>
    <hyperlink r:id="rId5296" ref="BO715"/>
    <hyperlink r:id="rId5297" ref="BP715"/>
    <hyperlink r:id="rId5298" ref="P716"/>
    <hyperlink r:id="rId5299" ref="BJ716"/>
    <hyperlink r:id="rId5300" ref="BK716"/>
    <hyperlink r:id="rId5301" ref="BL716"/>
    <hyperlink r:id="rId5302" ref="BM716"/>
    <hyperlink r:id="rId5303" ref="BO716"/>
    <hyperlink r:id="rId5304" ref="P717"/>
    <hyperlink r:id="rId5305" ref="BJ717"/>
    <hyperlink r:id="rId5306" ref="BK717"/>
    <hyperlink r:id="rId5307" ref="BN717"/>
    <hyperlink r:id="rId5308" ref="BO717"/>
    <hyperlink r:id="rId5309" ref="BP717"/>
    <hyperlink r:id="rId5310" ref="P718"/>
    <hyperlink r:id="rId5311" ref="BJ718"/>
    <hyperlink r:id="rId5312" ref="BK718"/>
    <hyperlink r:id="rId5313" ref="BL718"/>
    <hyperlink r:id="rId5314" ref="BM718"/>
    <hyperlink r:id="rId5315" ref="BN718"/>
    <hyperlink r:id="rId5316" ref="BO718"/>
    <hyperlink r:id="rId5317" ref="BP718"/>
    <hyperlink r:id="rId5318" ref="P719"/>
    <hyperlink r:id="rId5319" ref="BJ719"/>
    <hyperlink r:id="rId5320" ref="BK719"/>
    <hyperlink r:id="rId5321" ref="BO719"/>
    <hyperlink r:id="rId5322" ref="P720"/>
    <hyperlink r:id="rId5323" ref="BJ720"/>
    <hyperlink r:id="rId5324" ref="BK720"/>
    <hyperlink r:id="rId5325" ref="BO720"/>
    <hyperlink r:id="rId5326" ref="P721"/>
    <hyperlink r:id="rId5327" ref="BJ721"/>
    <hyperlink r:id="rId5328" ref="BK721"/>
    <hyperlink r:id="rId5329" ref="BL721"/>
    <hyperlink r:id="rId5330" ref="BM721"/>
    <hyperlink r:id="rId5331" ref="BN721"/>
    <hyperlink r:id="rId5332" ref="BO721"/>
    <hyperlink r:id="rId5333" ref="BP721"/>
    <hyperlink r:id="rId5334" ref="P722"/>
    <hyperlink r:id="rId5335" ref="BJ722"/>
    <hyperlink r:id="rId5336" ref="BK722"/>
    <hyperlink r:id="rId5337" ref="BO722"/>
    <hyperlink r:id="rId5338" ref="P723"/>
    <hyperlink r:id="rId5339" ref="BJ723"/>
    <hyperlink r:id="rId5340" ref="BK723"/>
    <hyperlink r:id="rId5341" ref="BO723"/>
    <hyperlink r:id="rId5342" ref="P724"/>
    <hyperlink r:id="rId5343" ref="BJ724"/>
    <hyperlink r:id="rId5344" ref="BK724"/>
    <hyperlink r:id="rId5345" ref="BN724"/>
    <hyperlink r:id="rId5346" ref="BO724"/>
    <hyperlink r:id="rId5347" ref="BP724"/>
    <hyperlink r:id="rId5348" ref="P725"/>
    <hyperlink r:id="rId5349" ref="BJ725"/>
    <hyperlink r:id="rId5350" ref="BK725"/>
    <hyperlink r:id="rId5351" ref="BM725"/>
    <hyperlink r:id="rId5352" ref="BN725"/>
    <hyperlink r:id="rId5353" ref="BO725"/>
    <hyperlink r:id="rId5354" ref="BP725"/>
    <hyperlink r:id="rId5355" ref="P726"/>
    <hyperlink r:id="rId5356" ref="BJ726"/>
    <hyperlink r:id="rId5357" ref="BK726"/>
    <hyperlink r:id="rId5358" ref="BL726"/>
    <hyperlink r:id="rId5359" ref="BM726"/>
    <hyperlink r:id="rId5360" ref="BN726"/>
    <hyperlink r:id="rId5361" ref="BO726"/>
    <hyperlink r:id="rId5362" ref="BP726"/>
    <hyperlink r:id="rId5363" ref="P727"/>
    <hyperlink r:id="rId5364" ref="BJ727"/>
    <hyperlink r:id="rId5365" ref="BK727"/>
    <hyperlink r:id="rId5366" ref="BL727"/>
    <hyperlink r:id="rId5367" ref="BM727"/>
    <hyperlink r:id="rId5368" ref="BN727"/>
    <hyperlink r:id="rId5369" ref="BO727"/>
    <hyperlink r:id="rId5370" ref="BP727"/>
    <hyperlink r:id="rId5371" ref="P728"/>
    <hyperlink r:id="rId5372" ref="BJ728"/>
    <hyperlink r:id="rId5373" ref="BK728"/>
    <hyperlink r:id="rId5374" ref="BO728"/>
    <hyperlink r:id="rId5375" ref="P730"/>
    <hyperlink r:id="rId5376" ref="BK730"/>
    <hyperlink r:id="rId5377" ref="BN730"/>
    <hyperlink r:id="rId5378" ref="BO730"/>
    <hyperlink r:id="rId5379" ref="P731"/>
    <hyperlink r:id="rId5380" ref="BJ731"/>
    <hyperlink r:id="rId5381" ref="BK731"/>
    <hyperlink r:id="rId5382" ref="BO731"/>
    <hyperlink r:id="rId5383" ref="P732"/>
    <hyperlink r:id="rId5384" ref="BJ732"/>
    <hyperlink r:id="rId5385" ref="BK732"/>
    <hyperlink r:id="rId5386" ref="BL732"/>
    <hyperlink r:id="rId5387" ref="BO732"/>
    <hyperlink r:id="rId5388" ref="P733"/>
    <hyperlink r:id="rId5389" ref="BJ733"/>
    <hyperlink r:id="rId5390" ref="BK733"/>
    <hyperlink r:id="rId5391" ref="BO733"/>
    <hyperlink r:id="rId5392" ref="P734"/>
    <hyperlink r:id="rId5393" ref="BJ734"/>
    <hyperlink r:id="rId5394" ref="BK734"/>
    <hyperlink r:id="rId5395" ref="BO734"/>
  </hyperlinks>
  <drawing r:id="rId5396"/>
  <legacyDrawing r:id="rId539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5.43"/>
  </cols>
  <sheetData>
    <row r="1">
      <c r="A1" s="6" t="str">
        <f>IFERROR(__xludf.DUMMYFUNCTION("QUERY('Form Responses 1'!A1:CF734, ""select B, CB, CC, BZ, CA"", 1)"),"Email Address")</f>
        <v>Email Address</v>
      </c>
      <c r="B1" s="6" t="str">
        <f>IFERROR(__xludf.DUMMYFUNCTION("""COMPUTED_VALUE"""),"AMCAT-1  YES/NO")</f>
        <v>AMCAT-1  YES/NO</v>
      </c>
      <c r="C1" s="6" t="str">
        <f>IFERROR(__xludf.DUMMYFUNCTION("""COMPUTED_VALUE"""),"AMCAT-2 YES/NO")</f>
        <v>AMCAT-2 YES/NO</v>
      </c>
      <c r="D1" s="6" t="str">
        <f>IFERROR(__xludf.DUMMYFUNCTION("""COMPUTED_VALUE"""),"Final AMCAT (SY)")</f>
        <v>Final AMCAT (SY)</v>
      </c>
      <c r="E1" s="6" t="str">
        <f>IFERROR(__xludf.DUMMYFUNCTION("""COMPUTED_VALUE"""),"Final AMCAT (TY)")</f>
        <v>Final AMCAT (TY)</v>
      </c>
    </row>
    <row r="2">
      <c r="A2" s="6" t="str">
        <f>IFERROR(__xludf.DUMMYFUNCTION("""COMPUTED_VALUE"""),"sanketkale@mitaoe.ac.in")</f>
        <v>sanketkale@mitaoe.ac.in</v>
      </c>
      <c r="B2" s="6" t="str">
        <f>IFERROR(__xludf.DUMMYFUNCTION("""COMPUTED_VALUE"""),"YES")</f>
        <v>YES</v>
      </c>
      <c r="C2" s="6" t="str">
        <f>IFERROR(__xludf.DUMMYFUNCTION("""COMPUTED_VALUE"""),"YES")</f>
        <v>YES</v>
      </c>
      <c r="D2" s="49" t="str">
        <f>IFERROR(__xludf.DUMMYFUNCTION("""COMPUTED_VALUE"""),"https://drive.google.com/open?id=1bG6ZDiif4hIZIAM8JvFphmay3f2SS3u5")</f>
        <v>https://drive.google.com/open?id=1bG6ZDiif4hIZIAM8JvFphmay3f2SS3u5</v>
      </c>
      <c r="E2" s="49" t="str">
        <f>IFERROR(__xludf.DUMMYFUNCTION("""COMPUTED_VALUE"""),"https://drive.google.com/open?id=1XbKQlxHzwUYrF6-8ZsVSn_sooaNW5BiU")</f>
        <v>https://drive.google.com/open?id=1XbKQlxHzwUYrF6-8ZsVSn_sooaNW5BiU</v>
      </c>
    </row>
    <row r="3" ht="14.25" customHeight="1">
      <c r="A3" s="50" t="str">
        <f>IFERROR(__xludf.DUMMYFUNCTION("""COMPUTED_VALUE"""),"mmbharadia@mitaoe.ac.in")</f>
        <v>mmbharadia@mitaoe.ac.in</v>
      </c>
      <c r="B3" s="6" t="str">
        <f>IFERROR(__xludf.DUMMYFUNCTION("""COMPUTED_VALUE"""),"YES")</f>
        <v>YES</v>
      </c>
      <c r="C3" s="6" t="str">
        <f>IFERROR(__xludf.DUMMYFUNCTION("""COMPUTED_VALUE"""),"YES")</f>
        <v>YES</v>
      </c>
      <c r="D3" s="49" t="str">
        <f>IFERROR(__xludf.DUMMYFUNCTION("""COMPUTED_VALUE"""),"https://drive.google.com/open?id=1D38XNgPF4207HfSWul6vK-exbKx49zxN")</f>
        <v>https://drive.google.com/open?id=1D38XNgPF4207HfSWul6vK-exbKx49zxN</v>
      </c>
      <c r="E3" s="49" t="str">
        <f>IFERROR(__xludf.DUMMYFUNCTION("""COMPUTED_VALUE"""),"https://drive.google.com/open?id=1IFnpHwUMaP55EWtf6gh-7qsa6vGSqWDZ")</f>
        <v>https://drive.google.com/open?id=1IFnpHwUMaP55EWtf6gh-7qsa6vGSqWDZ</v>
      </c>
    </row>
    <row r="4">
      <c r="A4" s="6" t="str">
        <f>IFERROR(__xludf.DUMMYFUNCTION("""COMPUTED_VALUE"""),"sadafshaikh@mitaoe.ac.in")</f>
        <v>sadafshaikh@mitaoe.ac.in</v>
      </c>
      <c r="B4" s="6" t="str">
        <f>IFERROR(__xludf.DUMMYFUNCTION("""COMPUTED_VALUE"""),"YES")</f>
        <v>YES</v>
      </c>
      <c r="C4" s="6" t="str">
        <f>IFERROR(__xludf.DUMMYFUNCTION("""COMPUTED_VALUE"""),"YES")</f>
        <v>YES</v>
      </c>
      <c r="D4" s="49" t="str">
        <f>IFERROR(__xludf.DUMMYFUNCTION("""COMPUTED_VALUE"""),"https://drive.google.com/open?id=1y1UuHz84RkFGAFl6bxrD4spvJaoLMmvr")</f>
        <v>https://drive.google.com/open?id=1y1UuHz84RkFGAFl6bxrD4spvJaoLMmvr</v>
      </c>
      <c r="E4" s="49" t="str">
        <f>IFERROR(__xludf.DUMMYFUNCTION("""COMPUTED_VALUE"""),"https://drive.google.com/open?id=1kqAYWZJ-0gSB_QytXttIN7eXRDF5RV2g")</f>
        <v>https://drive.google.com/open?id=1kqAYWZJ-0gSB_QytXttIN7eXRDF5RV2g</v>
      </c>
    </row>
    <row r="5">
      <c r="A5" s="6" t="str">
        <f>IFERROR(__xludf.DUMMYFUNCTION("""COMPUTED_VALUE"""),"ubpadole@mitaoe.ac.in")</f>
        <v>ubpadole@mitaoe.ac.in</v>
      </c>
      <c r="B5" s="6" t="str">
        <f>IFERROR(__xludf.DUMMYFUNCTION("""COMPUTED_VALUE"""),"NO")</f>
        <v>NO</v>
      </c>
      <c r="C5" s="6" t="str">
        <f>IFERROR(__xludf.DUMMYFUNCTION("""COMPUTED_VALUE"""),"NO")</f>
        <v>NO</v>
      </c>
      <c r="D5" s="6"/>
      <c r="E5" s="6"/>
    </row>
    <row r="6">
      <c r="A6" s="6" t="str">
        <f>IFERROR(__xludf.DUMMYFUNCTION("""COMPUTED_VALUE"""),"kdlokhande@mitaoe.ac.in")</f>
        <v>kdlokhande@mitaoe.ac.in</v>
      </c>
      <c r="B6" s="6" t="str">
        <f>IFERROR(__xludf.DUMMYFUNCTION("""COMPUTED_VALUE"""),"NO")</f>
        <v>NO</v>
      </c>
      <c r="C6" s="6" t="str">
        <f>IFERROR(__xludf.DUMMYFUNCTION("""COMPUTED_VALUE"""),"NO")</f>
        <v>NO</v>
      </c>
      <c r="D6" s="49" t="str">
        <f>IFERROR(__xludf.DUMMYFUNCTION("""COMPUTED_VALUE"""),"https://drive.google.com/open?id=1KxUZrRfTKuPxHnpas_4R8kG226FCMfK9")</f>
        <v>https://drive.google.com/open?id=1KxUZrRfTKuPxHnpas_4R8kG226FCMfK9</v>
      </c>
      <c r="E6" s="49" t="str">
        <f>IFERROR(__xludf.DUMMYFUNCTION("""COMPUTED_VALUE"""),"https://drive.google.com/open?id=1tmTPqwStAq8mxF28JO2CSgwo0YDr2FN1")</f>
        <v>https://drive.google.com/open?id=1tmTPqwStAq8mxF28JO2CSgwo0YDr2FN1</v>
      </c>
    </row>
    <row r="7">
      <c r="A7" s="6" t="str">
        <f>IFERROR(__xludf.DUMMYFUNCTION("""COMPUTED_VALUE"""),"chaitanya.umbarkar@mitaoe.ac.in")</f>
        <v>chaitanya.umbarkar@mitaoe.ac.in</v>
      </c>
      <c r="B7" s="6" t="str">
        <f>IFERROR(__xludf.DUMMYFUNCTION("""COMPUTED_VALUE"""),"YES")</f>
        <v>YES</v>
      </c>
      <c r="C7" s="6" t="str">
        <f>IFERROR(__xludf.DUMMYFUNCTION("""COMPUTED_VALUE"""),"YES")</f>
        <v>YES</v>
      </c>
      <c r="D7" s="49" t="str">
        <f>IFERROR(__xludf.DUMMYFUNCTION("""COMPUTED_VALUE"""),"https://drive.google.com/open?id=18dzCKu4r8ilKCOmCETNuKIOXHubEjlXm")</f>
        <v>https://drive.google.com/open?id=18dzCKu4r8ilKCOmCETNuKIOXHubEjlXm</v>
      </c>
      <c r="E7" s="49" t="str">
        <f>IFERROR(__xludf.DUMMYFUNCTION("""COMPUTED_VALUE"""),"https://drive.google.com/open?id=15Ig3Y9hHmqNB8pKxQgSJ6iye1QESUeTI")</f>
        <v>https://drive.google.com/open?id=15Ig3Y9hHmqNB8pKxQgSJ6iye1QESUeTI</v>
      </c>
    </row>
    <row r="8">
      <c r="A8" s="6" t="str">
        <f>IFERROR(__xludf.DUMMYFUNCTION("""COMPUTED_VALUE"""),"siddharth.patil@mitaoe.ac.in")</f>
        <v>siddharth.patil@mitaoe.ac.in</v>
      </c>
      <c r="B8" s="6" t="str">
        <f>IFERROR(__xludf.DUMMYFUNCTION("""COMPUTED_VALUE"""),"NO")</f>
        <v>NO</v>
      </c>
      <c r="C8" s="6" t="str">
        <f>IFERROR(__xludf.DUMMYFUNCTION("""COMPUTED_VALUE"""),"NO")</f>
        <v>NO</v>
      </c>
      <c r="D8" s="6"/>
      <c r="E8" s="6"/>
    </row>
    <row r="9">
      <c r="A9" s="6" t="str">
        <f>IFERROR(__xludf.DUMMYFUNCTION("""COMPUTED_VALUE"""),"palash.borkar@mitaoe.ac.in")</f>
        <v>palash.borkar@mitaoe.ac.in</v>
      </c>
      <c r="B9" s="6" t="str">
        <f>IFERROR(__xludf.DUMMYFUNCTION("""COMPUTED_VALUE"""),"NO")</f>
        <v>NO</v>
      </c>
      <c r="C9" s="6" t="str">
        <f>IFERROR(__xludf.DUMMYFUNCTION("""COMPUTED_VALUE"""),"NO")</f>
        <v>NO</v>
      </c>
      <c r="D9" s="6"/>
      <c r="E9" s="6"/>
    </row>
    <row r="10">
      <c r="A10" s="6" t="str">
        <f>IFERROR(__xludf.DUMMYFUNCTION("""COMPUTED_VALUE"""),"vinit.satale@mitaoe.ac.in")</f>
        <v>vinit.satale@mitaoe.ac.in</v>
      </c>
      <c r="B10" s="6" t="str">
        <f>IFERROR(__xludf.DUMMYFUNCTION("""COMPUTED_VALUE"""),"YES")</f>
        <v>YES</v>
      </c>
      <c r="C10" s="6" t="str">
        <f>IFERROR(__xludf.DUMMYFUNCTION("""COMPUTED_VALUE"""),"YES")</f>
        <v>YES</v>
      </c>
      <c r="D10" s="49" t="str">
        <f>IFERROR(__xludf.DUMMYFUNCTION("""COMPUTED_VALUE"""),"https://drive.google.com/open?id=1vz9yWXEUDRS3xAqZlWvXV4bGmIvqhoNw")</f>
        <v>https://drive.google.com/open?id=1vz9yWXEUDRS3xAqZlWvXV4bGmIvqhoNw</v>
      </c>
      <c r="E10" s="49" t="str">
        <f>IFERROR(__xludf.DUMMYFUNCTION("""COMPUTED_VALUE"""),"https://drive.google.com/open?id=1T6t5rYg3vbxwMBMM_l-qeiLWQ89cD7E1")</f>
        <v>https://drive.google.com/open?id=1T6t5rYg3vbxwMBMM_l-qeiLWQ89cD7E1</v>
      </c>
    </row>
    <row r="11">
      <c r="A11" s="6" t="str">
        <f>IFERROR(__xludf.DUMMYFUNCTION("""COMPUTED_VALUE"""),"naim.fakir@mitaoe.ac.in")</f>
        <v>naim.fakir@mitaoe.ac.in</v>
      </c>
      <c r="B11" s="6" t="str">
        <f>IFERROR(__xludf.DUMMYFUNCTION("""COMPUTED_VALUE"""),"NO")</f>
        <v>NO</v>
      </c>
      <c r="C11" s="6" t="str">
        <f>IFERROR(__xludf.DUMMYFUNCTION("""COMPUTED_VALUE"""),"NO")</f>
        <v>NO</v>
      </c>
      <c r="D11" s="6"/>
      <c r="E11" s="6"/>
    </row>
    <row r="12">
      <c r="A12" s="6" t="str">
        <f>IFERROR(__xludf.DUMMYFUNCTION("""COMPUTED_VALUE"""),"onkar.mohite@mitaoe.ac.in")</f>
        <v>onkar.mohite@mitaoe.ac.in</v>
      </c>
      <c r="B12" s="6" t="str">
        <f>IFERROR(__xludf.DUMMYFUNCTION("""COMPUTED_VALUE"""),"NO")</f>
        <v>NO</v>
      </c>
      <c r="C12" s="6" t="str">
        <f>IFERROR(__xludf.DUMMYFUNCTION("""COMPUTED_VALUE"""),"NO")</f>
        <v>NO</v>
      </c>
      <c r="D12" s="6"/>
      <c r="E12" s="6"/>
    </row>
    <row r="13">
      <c r="A13" s="6" t="str">
        <f>IFERROR(__xludf.DUMMYFUNCTION("""COMPUTED_VALUE"""),"tbkhapne@mitaoe.ac.in")</f>
        <v>tbkhapne@mitaoe.ac.in</v>
      </c>
      <c r="B13" s="6" t="str">
        <f>IFERROR(__xludf.DUMMYFUNCTION("""COMPUTED_VALUE"""),"YES")</f>
        <v>YES</v>
      </c>
      <c r="C13" s="6" t="str">
        <f>IFERROR(__xludf.DUMMYFUNCTION("""COMPUTED_VALUE"""),"YES")</f>
        <v>YES</v>
      </c>
      <c r="D13" s="49" t="str">
        <f>IFERROR(__xludf.DUMMYFUNCTION("""COMPUTED_VALUE"""),"https://drive.google.com/open?id=1Fc7ScvjNcn1wLhOSmslzhmMK13TnvjRp")</f>
        <v>https://drive.google.com/open?id=1Fc7ScvjNcn1wLhOSmslzhmMK13TnvjRp</v>
      </c>
      <c r="E13" s="49" t="str">
        <f>IFERROR(__xludf.DUMMYFUNCTION("""COMPUTED_VALUE"""),"https://drive.google.com/open?id=1P7XyhErceNpdKpfFsoIr1LKevkCY40Hu")</f>
        <v>https://drive.google.com/open?id=1P7XyhErceNpdKpfFsoIr1LKevkCY40Hu</v>
      </c>
    </row>
    <row r="14">
      <c r="A14" s="6" t="str">
        <f>IFERROR(__xludf.DUMMYFUNCTION("""COMPUTED_VALUE"""),"vvshambharkar@mitaoe.ac.in")</f>
        <v>vvshambharkar@mitaoe.ac.in</v>
      </c>
      <c r="B14" s="6" t="str">
        <f>IFERROR(__xludf.DUMMYFUNCTION("""COMPUTED_VALUE"""),"NO")</f>
        <v>NO</v>
      </c>
      <c r="C14" s="6" t="str">
        <f>IFERROR(__xludf.DUMMYFUNCTION("""COMPUTED_VALUE"""),"NO")</f>
        <v>NO</v>
      </c>
      <c r="D14" s="6"/>
      <c r="E14" s="6"/>
    </row>
    <row r="15">
      <c r="A15" s="6" t="str">
        <f>IFERROR(__xludf.DUMMYFUNCTION("""COMPUTED_VALUE"""),"kirti.borghare@mitaoe.ac.in")</f>
        <v>kirti.borghare@mitaoe.ac.in</v>
      </c>
      <c r="B15" s="6" t="str">
        <f>IFERROR(__xludf.DUMMYFUNCTION("""COMPUTED_VALUE"""),"YES")</f>
        <v>YES</v>
      </c>
      <c r="C15" s="6" t="str">
        <f>IFERROR(__xludf.DUMMYFUNCTION("""COMPUTED_VALUE"""),"NO")</f>
        <v>NO</v>
      </c>
      <c r="D15" s="49" t="str">
        <f>IFERROR(__xludf.DUMMYFUNCTION("""COMPUTED_VALUE"""),"https://drive.google.com/open?id=1Mnd1CLht39bf9DpJDCGSP34HQNYKZZ3a")</f>
        <v>https://drive.google.com/open?id=1Mnd1CLht39bf9DpJDCGSP34HQNYKZZ3a</v>
      </c>
      <c r="E15" s="49" t="str">
        <f>IFERROR(__xludf.DUMMYFUNCTION("""COMPUTED_VALUE"""),"https://drive.google.com/open?id=1MbNuN1N2ZPwCjcXNmgPRrMZLjf4bMbbS")</f>
        <v>https://drive.google.com/open?id=1MbNuN1N2ZPwCjcXNmgPRrMZLjf4bMbbS</v>
      </c>
    </row>
    <row r="16">
      <c r="A16" s="6" t="str">
        <f>IFERROR(__xludf.DUMMYFUNCTION("""COMPUTED_VALUE"""),"gadas@mitaoe.ac.in")</f>
        <v>gadas@mitaoe.ac.in</v>
      </c>
      <c r="B16" s="6" t="str">
        <f>IFERROR(__xludf.DUMMYFUNCTION("""COMPUTED_VALUE"""),"YES")</f>
        <v>YES</v>
      </c>
      <c r="C16" s="6" t="str">
        <f>IFERROR(__xludf.DUMMYFUNCTION("""COMPUTED_VALUE"""),"YES")</f>
        <v>YES</v>
      </c>
      <c r="D16" s="49" t="str">
        <f>IFERROR(__xludf.DUMMYFUNCTION("""COMPUTED_VALUE"""),"https://drive.google.com/open?id=1dkjXD-sVGOKaSSmiwEPhYUx11vKZDmtQ")</f>
        <v>https://drive.google.com/open?id=1dkjXD-sVGOKaSSmiwEPhYUx11vKZDmtQ</v>
      </c>
      <c r="E16" s="49" t="str">
        <f>IFERROR(__xludf.DUMMYFUNCTION("""COMPUTED_VALUE"""),"https://drive.google.com/open?id=103pgvfoNJs2ZlmaLmyBezcePa-ag6VM-")</f>
        <v>https://drive.google.com/open?id=103pgvfoNJs2ZlmaLmyBezcePa-ag6VM-</v>
      </c>
    </row>
    <row r="17">
      <c r="A17" s="6" t="str">
        <f>IFERROR(__xludf.DUMMYFUNCTION("""COMPUTED_VALUE"""),"obtambe@mitaoe.ac.in")</f>
        <v>obtambe@mitaoe.ac.in</v>
      </c>
      <c r="B17" s="6" t="str">
        <f>IFERROR(__xludf.DUMMYFUNCTION("""COMPUTED_VALUE"""),"YES")</f>
        <v>YES</v>
      </c>
      <c r="C17" s="6" t="str">
        <f>IFERROR(__xludf.DUMMYFUNCTION("""COMPUTED_VALUE"""),"NO")</f>
        <v>NO</v>
      </c>
      <c r="D17" s="49" t="str">
        <f>IFERROR(__xludf.DUMMYFUNCTION("""COMPUTED_VALUE"""),"https://drive.google.com/open?id=12TbaA5bN97wUAmnRwPy6KTj3sFoxi91Y")</f>
        <v>https://drive.google.com/open?id=12TbaA5bN97wUAmnRwPy6KTj3sFoxi91Y</v>
      </c>
      <c r="E17" s="6"/>
    </row>
    <row r="18">
      <c r="A18" s="6" t="str">
        <f>IFERROR(__xludf.DUMMYFUNCTION("""COMPUTED_VALUE"""),"svkurai@mitaoe.ac.in")</f>
        <v>svkurai@mitaoe.ac.in</v>
      </c>
      <c r="B18" s="6" t="str">
        <f>IFERROR(__xludf.DUMMYFUNCTION("""COMPUTED_VALUE"""),"NO")</f>
        <v>NO</v>
      </c>
      <c r="C18" s="6" t="str">
        <f>IFERROR(__xludf.DUMMYFUNCTION("""COMPUTED_VALUE"""),"YES")</f>
        <v>YES</v>
      </c>
      <c r="D18" s="6"/>
      <c r="E18" s="49" t="str">
        <f>IFERROR(__xludf.DUMMYFUNCTION("""COMPUTED_VALUE"""),"https://drive.google.com/open?id=1lfIHDGjeb4M6_jc6OvsrpBkNTKhzXDKj")</f>
        <v>https://drive.google.com/open?id=1lfIHDGjeb4M6_jc6OvsrpBkNTKhzXDKj</v>
      </c>
    </row>
    <row r="19">
      <c r="A19" s="6" t="str">
        <f>IFERROR(__xludf.DUMMYFUNCTION("""COMPUTED_VALUE"""),"sskolarkar@mitaoe.ac.in")</f>
        <v>sskolarkar@mitaoe.ac.in</v>
      </c>
      <c r="B19" s="6" t="str">
        <f>IFERROR(__xludf.DUMMYFUNCTION("""COMPUTED_VALUE"""),"NO")</f>
        <v>NO</v>
      </c>
      <c r="C19" s="6" t="str">
        <f>IFERROR(__xludf.DUMMYFUNCTION("""COMPUTED_VALUE"""),"NO")</f>
        <v>NO</v>
      </c>
      <c r="D19" s="6"/>
      <c r="E19" s="6"/>
    </row>
    <row r="20">
      <c r="A20" s="6" t="str">
        <f>IFERROR(__xludf.DUMMYFUNCTION("""COMPUTED_VALUE"""),"sjnawale@mitaoe.ac.in")</f>
        <v>sjnawale@mitaoe.ac.in</v>
      </c>
      <c r="B20" s="6" t="str">
        <f>IFERROR(__xludf.DUMMYFUNCTION("""COMPUTED_VALUE"""),"YES")</f>
        <v>YES</v>
      </c>
      <c r="C20" s="6" t="str">
        <f>IFERROR(__xludf.DUMMYFUNCTION("""COMPUTED_VALUE"""),"YES")</f>
        <v>YES</v>
      </c>
      <c r="D20" s="49" t="str">
        <f>IFERROR(__xludf.DUMMYFUNCTION("""COMPUTED_VALUE"""),"https://drive.google.com/open?id=1GghKr_fCQNo6ehevfucExehBBgXeiHNj")</f>
        <v>https://drive.google.com/open?id=1GghKr_fCQNo6ehevfucExehBBgXeiHNj</v>
      </c>
      <c r="E20" s="49" t="str">
        <f>IFERROR(__xludf.DUMMYFUNCTION("""COMPUTED_VALUE"""),"https://drive.google.com/open?id=1QYyO-mrt7jA_YMPiWXLjmeGwY9veMT2o")</f>
        <v>https://drive.google.com/open?id=1QYyO-mrt7jA_YMPiWXLjmeGwY9veMT2o</v>
      </c>
    </row>
    <row r="21">
      <c r="A21" s="6" t="str">
        <f>IFERROR(__xludf.DUMMYFUNCTION("""COMPUTED_VALUE"""),"snchavhan@mitaoe.ac.in")</f>
        <v>snchavhan@mitaoe.ac.in</v>
      </c>
      <c r="B21" s="6" t="str">
        <f>IFERROR(__xludf.DUMMYFUNCTION("""COMPUTED_VALUE"""),"YES")</f>
        <v>YES</v>
      </c>
      <c r="C21" s="6" t="str">
        <f>IFERROR(__xludf.DUMMYFUNCTION("""COMPUTED_VALUE"""),"YES")</f>
        <v>YES</v>
      </c>
      <c r="D21" s="49" t="str">
        <f>IFERROR(__xludf.DUMMYFUNCTION("""COMPUTED_VALUE"""),"https://drive.google.com/open?id=1CHEG0iN2hPcek_8b5J44llfDQmj5UZFE")</f>
        <v>https://drive.google.com/open?id=1CHEG0iN2hPcek_8b5J44llfDQmj5UZFE</v>
      </c>
      <c r="E21" s="49" t="str">
        <f>IFERROR(__xludf.DUMMYFUNCTION("""COMPUTED_VALUE"""),"https://drive.google.com/open?id=1ggj80GUjr6boO1RLgvpGigSsCUYqB-D1")</f>
        <v>https://drive.google.com/open?id=1ggj80GUjr6boO1RLgvpGigSsCUYqB-D1</v>
      </c>
    </row>
    <row r="22">
      <c r="A22" s="6" t="str">
        <f>IFERROR(__xludf.DUMMYFUNCTION("""COMPUTED_VALUE"""),"atbatule@mitaoe.ac.in")</f>
        <v>atbatule@mitaoe.ac.in</v>
      </c>
      <c r="B22" s="6" t="str">
        <f>IFERROR(__xludf.DUMMYFUNCTION("""COMPUTED_VALUE"""),"YES")</f>
        <v>YES</v>
      </c>
      <c r="C22" s="6" t="str">
        <f>IFERROR(__xludf.DUMMYFUNCTION("""COMPUTED_VALUE"""),"YES")</f>
        <v>YES</v>
      </c>
      <c r="D22" s="49" t="str">
        <f>IFERROR(__xludf.DUMMYFUNCTION("""COMPUTED_VALUE"""),"https://drive.google.com/open?id=1gRs4EydM8SsMCjhDtn07IhZVbVK8K5fP")</f>
        <v>https://drive.google.com/open?id=1gRs4EydM8SsMCjhDtn07IhZVbVK8K5fP</v>
      </c>
      <c r="E22" s="49" t="str">
        <f>IFERROR(__xludf.DUMMYFUNCTION("""COMPUTED_VALUE"""),"https://drive.google.com/open?id=1Wu5T8jRB53w_Ap66NrQh-0fRh9LrXsYz")</f>
        <v>https://drive.google.com/open?id=1Wu5T8jRB53w_Ap66NrQh-0fRh9LrXsYz</v>
      </c>
    </row>
    <row r="23">
      <c r="A23" s="6" t="str">
        <f>IFERROR(__xludf.DUMMYFUNCTION("""COMPUTED_VALUE"""),"atharv.uttarwar@mitaoe.ac.in")</f>
        <v>atharv.uttarwar@mitaoe.ac.in</v>
      </c>
      <c r="B23" s="6" t="str">
        <f>IFERROR(__xludf.DUMMYFUNCTION("""COMPUTED_VALUE"""),"NO")</f>
        <v>NO</v>
      </c>
      <c r="C23" s="6" t="str">
        <f>IFERROR(__xludf.DUMMYFUNCTION("""COMPUTED_VALUE"""),"NO")</f>
        <v>NO</v>
      </c>
      <c r="D23" s="6"/>
      <c r="E23" s="6"/>
    </row>
    <row r="24">
      <c r="A24" s="6" t="str">
        <f>IFERROR(__xludf.DUMMYFUNCTION("""COMPUTED_VALUE"""),"tsbobe@mitaoe.ac.in")</f>
        <v>tsbobe@mitaoe.ac.in</v>
      </c>
      <c r="B24" s="6" t="str">
        <f>IFERROR(__xludf.DUMMYFUNCTION("""COMPUTED_VALUE"""),"NO")</f>
        <v>NO</v>
      </c>
      <c r="C24" s="6" t="str">
        <f>IFERROR(__xludf.DUMMYFUNCTION("""COMPUTED_VALUE"""),"NO")</f>
        <v>NO</v>
      </c>
      <c r="D24" s="6"/>
      <c r="E24" s="6"/>
    </row>
    <row r="25">
      <c r="A25" s="6" t="str">
        <f>IFERROR(__xludf.DUMMYFUNCTION("""COMPUTED_VALUE"""),"rushikesh.anandgaokar@mitaoe.ac.in")</f>
        <v>rushikesh.anandgaokar@mitaoe.ac.in</v>
      </c>
      <c r="B25" s="6" t="str">
        <f>IFERROR(__xludf.DUMMYFUNCTION("""COMPUTED_VALUE"""),"NO")</f>
        <v>NO</v>
      </c>
      <c r="C25" s="6" t="str">
        <f>IFERROR(__xludf.DUMMYFUNCTION("""COMPUTED_VALUE"""),"NO")</f>
        <v>NO</v>
      </c>
      <c r="D25" s="6"/>
      <c r="E25" s="6"/>
    </row>
    <row r="26">
      <c r="A26" s="6" t="str">
        <f>IFERROR(__xludf.DUMMYFUNCTION("""COMPUTED_VALUE"""),"vlshelake@mitaoe.ac.in")</f>
        <v>vlshelake@mitaoe.ac.in</v>
      </c>
      <c r="B26" s="6" t="str">
        <f>IFERROR(__xludf.DUMMYFUNCTION("""COMPUTED_VALUE"""),"NO")</f>
        <v>NO</v>
      </c>
      <c r="C26" s="6" t="str">
        <f>IFERROR(__xludf.DUMMYFUNCTION("""COMPUTED_VALUE"""),"YES")</f>
        <v>YES</v>
      </c>
      <c r="D26" s="6"/>
      <c r="E26" s="49" t="str">
        <f>IFERROR(__xludf.DUMMYFUNCTION("""COMPUTED_VALUE"""),"https://drive.google.com/open?id=1kXLZ4UI-_G-9GvQQRpqZMI7A9or_fqpb")</f>
        <v>https://drive.google.com/open?id=1kXLZ4UI-_G-9GvQQRpqZMI7A9or_fqpb</v>
      </c>
    </row>
    <row r="27">
      <c r="A27" s="6" t="str">
        <f>IFERROR(__xludf.DUMMYFUNCTION("""COMPUTED_VALUE"""),"sushant.urane@mitaoe.ac.in")</f>
        <v>sushant.urane@mitaoe.ac.in</v>
      </c>
      <c r="B27" s="6" t="str">
        <f>IFERROR(__xludf.DUMMYFUNCTION("""COMPUTED_VALUE"""),"NO")</f>
        <v>NO</v>
      </c>
      <c r="C27" s="6" t="str">
        <f>IFERROR(__xludf.DUMMYFUNCTION("""COMPUTED_VALUE"""),"NO")</f>
        <v>NO</v>
      </c>
      <c r="D27" s="49" t="str">
        <f>IFERROR(__xludf.DUMMYFUNCTION("""COMPUTED_VALUE"""),"https://drive.google.com/open?id=1bBSXmvUAxE3YB8ZGI0c65AWHo2ghIyDY")</f>
        <v>https://drive.google.com/open?id=1bBSXmvUAxE3YB8ZGI0c65AWHo2ghIyDY</v>
      </c>
      <c r="E27" s="49" t="str">
        <f>IFERROR(__xludf.DUMMYFUNCTION("""COMPUTED_VALUE"""),"https://drive.google.com/open?id=1L_9j2rDLF5IVjBOuK25Zq7RdEci50Qpi")</f>
        <v>https://drive.google.com/open?id=1L_9j2rDLF5IVjBOuK25Zq7RdEci50Qpi</v>
      </c>
    </row>
    <row r="28">
      <c r="A28" s="6" t="str">
        <f>IFERROR(__xludf.DUMMYFUNCTION("""COMPUTED_VALUE"""),"nsgarudkar@mitaoe.ac.in")</f>
        <v>nsgarudkar@mitaoe.ac.in</v>
      </c>
      <c r="B28" s="6" t="str">
        <f>IFERROR(__xludf.DUMMYFUNCTION("""COMPUTED_VALUE"""),"NO")</f>
        <v>NO</v>
      </c>
      <c r="C28" s="6" t="str">
        <f>IFERROR(__xludf.DUMMYFUNCTION("""COMPUTED_VALUE"""),"NO")</f>
        <v>NO</v>
      </c>
      <c r="D28" s="49" t="str">
        <f>IFERROR(__xludf.DUMMYFUNCTION("""COMPUTED_VALUE"""),"https://drive.google.com/open?id=1TMytd4Fz3CWyTn_lcBLM0MFopZbRwWGw")</f>
        <v>https://drive.google.com/open?id=1TMytd4Fz3CWyTn_lcBLM0MFopZbRwWGw</v>
      </c>
      <c r="E28" s="49" t="str">
        <f>IFERROR(__xludf.DUMMYFUNCTION("""COMPUTED_VALUE"""),"https://drive.google.com/open?id=1zgf7m8lIhme9L5aAndWuUCcpJILvVVw3")</f>
        <v>https://drive.google.com/open?id=1zgf7m8lIhme9L5aAndWuUCcpJILvVVw3</v>
      </c>
    </row>
    <row r="29">
      <c r="A29" s="6" t="str">
        <f>IFERROR(__xludf.DUMMYFUNCTION("""COMPUTED_VALUE"""),"osmahale@mitaoe.ac.in")</f>
        <v>osmahale@mitaoe.ac.in</v>
      </c>
      <c r="B29" s="6" t="str">
        <f>IFERROR(__xludf.DUMMYFUNCTION("""COMPUTED_VALUE"""),"YES")</f>
        <v>YES</v>
      </c>
      <c r="C29" s="6" t="str">
        <f>IFERROR(__xludf.DUMMYFUNCTION("""COMPUTED_VALUE"""),"NO")</f>
        <v>NO</v>
      </c>
      <c r="D29" s="49" t="str">
        <f>IFERROR(__xludf.DUMMYFUNCTION("""COMPUTED_VALUE"""),"https://drive.google.com/open?id=1owPTUNZGwJh4uyyJQc9BpXi6givWw2cC")</f>
        <v>https://drive.google.com/open?id=1owPTUNZGwJh4uyyJQc9BpXi6givWw2cC</v>
      </c>
      <c r="E29" s="6"/>
    </row>
    <row r="30">
      <c r="A30" s="6" t="str">
        <f>IFERROR(__xludf.DUMMYFUNCTION("""COMPUTED_VALUE"""),"sharad.chavhan@mitaoe.ac.in")</f>
        <v>sharad.chavhan@mitaoe.ac.in</v>
      </c>
      <c r="B30" s="6" t="str">
        <f>IFERROR(__xludf.DUMMYFUNCTION("""COMPUTED_VALUE"""),"YES")</f>
        <v>YES</v>
      </c>
      <c r="C30" s="6" t="str">
        <f>IFERROR(__xludf.DUMMYFUNCTION("""COMPUTED_VALUE"""),"YES")</f>
        <v>YES</v>
      </c>
      <c r="D30" s="49" t="str">
        <f>IFERROR(__xludf.DUMMYFUNCTION("""COMPUTED_VALUE"""),"https://drive.google.com/open?id=184qPuMDaH-0jHLtqZOtk7eDkzoat-IZU")</f>
        <v>https://drive.google.com/open?id=184qPuMDaH-0jHLtqZOtk7eDkzoat-IZU</v>
      </c>
      <c r="E30" s="49" t="str">
        <f>IFERROR(__xludf.DUMMYFUNCTION("""COMPUTED_VALUE"""),"https://drive.google.com/open?id=1fADerOnXlHgmEqlZuHTDhOKbmrSdUasE")</f>
        <v>https://drive.google.com/open?id=1fADerOnXlHgmEqlZuHTDhOKbmrSdUasE</v>
      </c>
    </row>
    <row r="31">
      <c r="A31" s="6" t="str">
        <f>IFERROR(__xludf.DUMMYFUNCTION("""COMPUTED_VALUE"""),"adbobade@mitaoe.ac.in")</f>
        <v>adbobade@mitaoe.ac.in</v>
      </c>
      <c r="B31" s="6" t="str">
        <f>IFERROR(__xludf.DUMMYFUNCTION("""COMPUTED_VALUE"""),"YES")</f>
        <v>YES</v>
      </c>
      <c r="C31" s="6" t="str">
        <f>IFERROR(__xludf.DUMMYFUNCTION("""COMPUTED_VALUE"""),"YES")</f>
        <v>YES</v>
      </c>
      <c r="D31" s="49" t="str">
        <f>IFERROR(__xludf.DUMMYFUNCTION("""COMPUTED_VALUE"""),"https://drive.google.com/open?id=1DCJ-JcXvaz6pqmKfBKXOGFGTgsNj5CCg")</f>
        <v>https://drive.google.com/open?id=1DCJ-JcXvaz6pqmKfBKXOGFGTgsNj5CCg</v>
      </c>
      <c r="E31" s="49" t="str">
        <f>IFERROR(__xludf.DUMMYFUNCTION("""COMPUTED_VALUE"""),"https://drive.google.com/open?id=1dsqOlwE1VKwNkKGhha14nxysjjWIdEYL")</f>
        <v>https://drive.google.com/open?id=1dsqOlwE1VKwNkKGhha14nxysjjWIdEYL</v>
      </c>
    </row>
    <row r="32">
      <c r="A32" s="6" t="str">
        <f>IFERROR(__xludf.DUMMYFUNCTION("""COMPUTED_VALUE"""),"tejaswini.wadhave@mitaoe.ac.in")</f>
        <v>tejaswini.wadhave@mitaoe.ac.in</v>
      </c>
      <c r="B32" s="6" t="str">
        <f>IFERROR(__xludf.DUMMYFUNCTION("""COMPUTED_VALUE"""),"YES ")</f>
        <v>YES </v>
      </c>
      <c r="C32" s="6" t="str">
        <f>IFERROR(__xludf.DUMMYFUNCTION("""COMPUTED_VALUE"""),"NO")</f>
        <v>NO</v>
      </c>
      <c r="D32" s="49" t="str">
        <f>IFERROR(__xludf.DUMMYFUNCTION("""COMPUTED_VALUE"""),"https://drive.google.com/open?id=1Oixbv-2MskggiY9auU-I9Punxuv4iKK0")</f>
        <v>https://drive.google.com/open?id=1Oixbv-2MskggiY9auU-I9Punxuv4iKK0</v>
      </c>
      <c r="E32" s="6"/>
    </row>
    <row r="33">
      <c r="A33" s="6" t="str">
        <f>IFERROR(__xludf.DUMMYFUNCTION("""COMPUTED_VALUE"""),"mamansuri@mitaoe.ac.in")</f>
        <v>mamansuri@mitaoe.ac.in</v>
      </c>
      <c r="B33" s="6" t="str">
        <f>IFERROR(__xludf.DUMMYFUNCTION("""COMPUTED_VALUE"""),"YES")</f>
        <v>YES</v>
      </c>
      <c r="C33" s="6" t="str">
        <f>IFERROR(__xludf.DUMMYFUNCTION("""COMPUTED_VALUE"""),"YES")</f>
        <v>YES</v>
      </c>
      <c r="D33" s="49" t="str">
        <f>IFERROR(__xludf.DUMMYFUNCTION("""COMPUTED_VALUE"""),"https://drive.google.com/open?id=1pDxDPXzfbTU5MGK1l3E2-FsoqGjyy3p1")</f>
        <v>https://drive.google.com/open?id=1pDxDPXzfbTU5MGK1l3E2-FsoqGjyy3p1</v>
      </c>
      <c r="E33" s="49" t="str">
        <f>IFERROR(__xludf.DUMMYFUNCTION("""COMPUTED_VALUE"""),"https://drive.google.com/open?id=1zO6cvezL7S99QxyQMtTqONMlKYfkeiK7")</f>
        <v>https://drive.google.com/open?id=1zO6cvezL7S99QxyQMtTqONMlKYfkeiK7</v>
      </c>
    </row>
    <row r="34">
      <c r="A34" s="6" t="str">
        <f>IFERROR(__xludf.DUMMYFUNCTION("""COMPUTED_VALUE"""),"nrdudhal@mitaoe.ac.in")</f>
        <v>nrdudhal@mitaoe.ac.in</v>
      </c>
      <c r="B34" s="6" t="str">
        <f>IFERROR(__xludf.DUMMYFUNCTION("""COMPUTED_VALUE"""),"NO")</f>
        <v>NO</v>
      </c>
      <c r="C34" s="6" t="str">
        <f>IFERROR(__xludf.DUMMYFUNCTION("""COMPUTED_VALUE"""),"NO")</f>
        <v>NO</v>
      </c>
      <c r="D34" s="6"/>
      <c r="E34" s="6"/>
    </row>
    <row r="35">
      <c r="A35" s="6" t="str">
        <f>IFERROR(__xludf.DUMMYFUNCTION("""COMPUTED_VALUE"""),"sakshi.chakkarwar@mitaoe.ac.in")</f>
        <v>sakshi.chakkarwar@mitaoe.ac.in</v>
      </c>
      <c r="B35" s="6" t="str">
        <f>IFERROR(__xludf.DUMMYFUNCTION("""COMPUTED_VALUE"""),"NO")</f>
        <v>NO</v>
      </c>
      <c r="C35" s="6" t="str">
        <f>IFERROR(__xludf.DUMMYFUNCTION("""COMPUTED_VALUE"""),"NO")</f>
        <v>NO</v>
      </c>
      <c r="D35" s="6"/>
      <c r="E35" s="6"/>
    </row>
    <row r="36">
      <c r="A36" s="6" t="str">
        <f>IFERROR(__xludf.DUMMYFUNCTION("""COMPUTED_VALUE"""),"swingawale@mitaoe.ac.in")</f>
        <v>swingawale@mitaoe.ac.in</v>
      </c>
      <c r="B36" s="6" t="str">
        <f>IFERROR(__xludf.DUMMYFUNCTION("""COMPUTED_VALUE"""),"NO")</f>
        <v>NO</v>
      </c>
      <c r="C36" s="6" t="str">
        <f>IFERROR(__xludf.DUMMYFUNCTION("""COMPUTED_VALUE"""),"YES")</f>
        <v>YES</v>
      </c>
      <c r="D36" s="6"/>
      <c r="E36" s="49" t="str">
        <f>IFERROR(__xludf.DUMMYFUNCTION("""COMPUTED_VALUE"""),"https://drive.google.com/open?id=19fEJ5Qjn3a1z0D-_a47XSct2pgL63DiN")</f>
        <v>https://drive.google.com/open?id=19fEJ5Qjn3a1z0D-_a47XSct2pgL63DiN</v>
      </c>
    </row>
    <row r="37">
      <c r="A37" s="6" t="str">
        <f>IFERROR(__xludf.DUMMYFUNCTION("""COMPUTED_VALUE"""),"rknadar@mitaoe.ac.in")</f>
        <v>rknadar@mitaoe.ac.in</v>
      </c>
      <c r="B37" s="6" t="str">
        <f>IFERROR(__xludf.DUMMYFUNCTION("""COMPUTED_VALUE"""),"YES")</f>
        <v>YES</v>
      </c>
      <c r="C37" s="6" t="str">
        <f>IFERROR(__xludf.DUMMYFUNCTION("""COMPUTED_VALUE"""),"YES")</f>
        <v>YES</v>
      </c>
      <c r="D37" s="49" t="str">
        <f>IFERROR(__xludf.DUMMYFUNCTION("""COMPUTED_VALUE"""),"https://drive.google.com/open?id=1vRCR6HGRX9j2zpyVhRT7M6hRv5W_ua0s")</f>
        <v>https://drive.google.com/open?id=1vRCR6HGRX9j2zpyVhRT7M6hRv5W_ua0s</v>
      </c>
      <c r="E37" s="49" t="str">
        <f>IFERROR(__xludf.DUMMYFUNCTION("""COMPUTED_VALUE"""),"https://drive.google.com/open?id=1Q3cVBfGHdQVKClP9-yIrd9fYucWQgrTE")</f>
        <v>https://drive.google.com/open?id=1Q3cVBfGHdQVKClP9-yIrd9fYucWQgrTE</v>
      </c>
    </row>
    <row r="38">
      <c r="A38" s="6" t="str">
        <f>IFERROR(__xludf.DUMMYFUNCTION("""COMPUTED_VALUE"""),"srpachkhande@mitaoe.ac.in")</f>
        <v>srpachkhande@mitaoe.ac.in</v>
      </c>
      <c r="B38" s="6" t="str">
        <f>IFERROR(__xludf.DUMMYFUNCTION("""COMPUTED_VALUE"""),"NO")</f>
        <v>NO</v>
      </c>
      <c r="C38" s="6" t="str">
        <f>IFERROR(__xludf.DUMMYFUNCTION("""COMPUTED_VALUE"""),"NO")</f>
        <v>NO</v>
      </c>
      <c r="D38" s="6"/>
      <c r="E38" s="6"/>
    </row>
    <row r="39">
      <c r="A39" s="6" t="str">
        <f>IFERROR(__xludf.DUMMYFUNCTION("""COMPUTED_VALUE"""),"sbdhanvijay@mitaoe.ac.in")</f>
        <v>sbdhanvijay@mitaoe.ac.in</v>
      </c>
      <c r="B39" s="6" t="str">
        <f>IFERROR(__xludf.DUMMYFUNCTION("""COMPUTED_VALUE"""),"NO")</f>
        <v>NO</v>
      </c>
      <c r="C39" s="6" t="str">
        <f>IFERROR(__xludf.DUMMYFUNCTION("""COMPUTED_VALUE"""),"NO")</f>
        <v>NO</v>
      </c>
      <c r="D39" s="6"/>
      <c r="E39" s="6"/>
    </row>
    <row r="40">
      <c r="A40" s="6" t="str">
        <f>IFERROR(__xludf.DUMMYFUNCTION("""COMPUTED_VALUE"""),"suraj.khartode@mitaoe.ac.in")</f>
        <v>suraj.khartode@mitaoe.ac.in</v>
      </c>
      <c r="B40" s="6" t="str">
        <f>IFERROR(__xludf.DUMMYFUNCTION("""COMPUTED_VALUE"""),"NO")</f>
        <v>NO</v>
      </c>
      <c r="C40" s="6" t="str">
        <f>IFERROR(__xludf.DUMMYFUNCTION("""COMPUTED_VALUE"""),"NO")</f>
        <v>NO</v>
      </c>
      <c r="D40" s="6"/>
      <c r="E40" s="6"/>
    </row>
    <row r="41">
      <c r="A41" s="6" t="str">
        <f>IFERROR(__xludf.DUMMYFUNCTION("""COMPUTED_VALUE"""),"satyam.dange@mitaoe.ac.in")</f>
        <v>satyam.dange@mitaoe.ac.in</v>
      </c>
      <c r="B41" s="6" t="str">
        <f>IFERROR(__xludf.DUMMYFUNCTION("""COMPUTED_VALUE"""),"YES")</f>
        <v>YES</v>
      </c>
      <c r="C41" s="6" t="str">
        <f>IFERROR(__xludf.DUMMYFUNCTION("""COMPUTED_VALUE"""),"YES")</f>
        <v>YES</v>
      </c>
      <c r="D41" s="49" t="str">
        <f>IFERROR(__xludf.DUMMYFUNCTION("""COMPUTED_VALUE"""),"https://drive.google.com/open?id=1aLgxcsIKya47mQY3uaHMJVNCRvLA7vzu")</f>
        <v>https://drive.google.com/open?id=1aLgxcsIKya47mQY3uaHMJVNCRvLA7vzu</v>
      </c>
      <c r="E41" s="49" t="str">
        <f>IFERROR(__xludf.DUMMYFUNCTION("""COMPUTED_VALUE"""),"https://drive.google.com/open?id=10Q6dv4FRnYDG6eBWztRYM964J5hJClGj")</f>
        <v>https://drive.google.com/open?id=10Q6dv4FRnYDG6eBWztRYM964J5hJClGj</v>
      </c>
    </row>
    <row r="42">
      <c r="A42" s="6" t="str">
        <f>IFERROR(__xludf.DUMMYFUNCTION("""COMPUTED_VALUE"""),"dnyaneshwar.ingale@mitaoe.ac.in")</f>
        <v>dnyaneshwar.ingale@mitaoe.ac.in</v>
      </c>
      <c r="B42" s="6" t="str">
        <f>IFERROR(__xludf.DUMMYFUNCTION("""COMPUTED_VALUE"""),"NO")</f>
        <v>NO</v>
      </c>
      <c r="C42" s="6" t="str">
        <f>IFERROR(__xludf.DUMMYFUNCTION("""COMPUTED_VALUE"""),"YES")</f>
        <v>YES</v>
      </c>
      <c r="D42" s="6"/>
      <c r="E42" s="49" t="str">
        <f>IFERROR(__xludf.DUMMYFUNCTION("""COMPUTED_VALUE"""),"https://drive.google.com/open?id=1GeiNFiNXEEuYTh7h4Xqt9jd1Hhm6ztzM")</f>
        <v>https://drive.google.com/open?id=1GeiNFiNXEEuYTh7h4Xqt9jd1Hhm6ztzM</v>
      </c>
    </row>
    <row r="43">
      <c r="A43" s="6" t="str">
        <f>IFERROR(__xludf.DUMMYFUNCTION("""COMPUTED_VALUE"""),"deepak.kulkarni@mitaoe.ac.in")</f>
        <v>deepak.kulkarni@mitaoe.ac.in</v>
      </c>
      <c r="B43" s="6" t="str">
        <f>IFERROR(__xludf.DUMMYFUNCTION("""COMPUTED_VALUE"""),"NO")</f>
        <v>NO</v>
      </c>
      <c r="C43" s="6" t="str">
        <f>IFERROR(__xludf.DUMMYFUNCTION("""COMPUTED_VALUE"""),"YES")</f>
        <v>YES</v>
      </c>
      <c r="D43" s="6"/>
      <c r="E43" s="49" t="str">
        <f>IFERROR(__xludf.DUMMYFUNCTION("""COMPUTED_VALUE"""),"https://drive.google.com/open?id=1tTF8S1XX3zrq3ws_O-4fstQO9VWC4wBG")</f>
        <v>https://drive.google.com/open?id=1tTF8S1XX3zrq3ws_O-4fstQO9VWC4wBG</v>
      </c>
    </row>
    <row r="44">
      <c r="A44" s="6" t="str">
        <f>IFERROR(__xludf.DUMMYFUNCTION("""COMPUTED_VALUE"""),"pratiksha.shinde@mitaoe.ac.in")</f>
        <v>pratiksha.shinde@mitaoe.ac.in</v>
      </c>
      <c r="B44" s="6" t="str">
        <f>IFERROR(__xludf.DUMMYFUNCTION("""COMPUTED_VALUE"""),"YES")</f>
        <v>YES</v>
      </c>
      <c r="C44" s="6" t="str">
        <f>IFERROR(__xludf.DUMMYFUNCTION("""COMPUTED_VALUE"""),"YES")</f>
        <v>YES</v>
      </c>
      <c r="D44" s="49" t="str">
        <f>IFERROR(__xludf.DUMMYFUNCTION("""COMPUTED_VALUE"""),"https://drive.google.com/open?id=1VszIljcAZZQX5C3XdCVv-Ywk6oyZwxjz")</f>
        <v>https://drive.google.com/open?id=1VszIljcAZZQX5C3XdCVv-Ywk6oyZwxjz</v>
      </c>
      <c r="E44" s="49" t="str">
        <f>IFERROR(__xludf.DUMMYFUNCTION("""COMPUTED_VALUE"""),"https://drive.google.com/open?id=1TbhUDdowE7dsGYSQSfYKsiQzfScUDjiU")</f>
        <v>https://drive.google.com/open?id=1TbhUDdowE7dsGYSQSfYKsiQzfScUDjiU</v>
      </c>
    </row>
    <row r="45">
      <c r="A45" s="6" t="str">
        <f>IFERROR(__xludf.DUMMYFUNCTION("""COMPUTED_VALUE"""),"vaibhav.tambare@mitaoe.ac.in")</f>
        <v>vaibhav.tambare@mitaoe.ac.in</v>
      </c>
      <c r="B45" s="6" t="str">
        <f>IFERROR(__xludf.DUMMYFUNCTION("""COMPUTED_VALUE"""),"YES")</f>
        <v>YES</v>
      </c>
      <c r="C45" s="6" t="str">
        <f>IFERROR(__xludf.DUMMYFUNCTION("""COMPUTED_VALUE"""),"YES")</f>
        <v>YES</v>
      </c>
      <c r="D45" s="49" t="str">
        <f>IFERROR(__xludf.DUMMYFUNCTION("""COMPUTED_VALUE"""),"https://drive.google.com/open?id=1oL-5g06g78vZiQnH4ZDC3-A5oJBGblr-")</f>
        <v>https://drive.google.com/open?id=1oL-5g06g78vZiQnH4ZDC3-A5oJBGblr-</v>
      </c>
      <c r="E45" s="49" t="str">
        <f>IFERROR(__xludf.DUMMYFUNCTION("""COMPUTED_VALUE"""),"https://drive.google.com/open?id=1FJpAUz-Bfd0HGCQ9w_SDJ5E3WwdEAGAd")</f>
        <v>https://drive.google.com/open?id=1FJpAUz-Bfd0HGCQ9w_SDJ5E3WwdEAGAd</v>
      </c>
    </row>
    <row r="46">
      <c r="A46" s="6" t="str">
        <f>IFERROR(__xludf.DUMMYFUNCTION("""COMPUTED_VALUE"""),"mansi.surve@mitaoe.ac.in")</f>
        <v>mansi.surve@mitaoe.ac.in</v>
      </c>
      <c r="B46" s="6" t="str">
        <f>IFERROR(__xludf.DUMMYFUNCTION("""COMPUTED_VALUE"""),"NO")</f>
        <v>NO</v>
      </c>
      <c r="C46" s="6" t="str">
        <f>IFERROR(__xludf.DUMMYFUNCTION("""COMPUTED_VALUE"""),"NO")</f>
        <v>NO</v>
      </c>
      <c r="D46" s="6"/>
      <c r="E46" s="6"/>
    </row>
    <row r="47">
      <c r="A47" s="6" t="str">
        <f>IFERROR(__xludf.DUMMYFUNCTION("""COMPUTED_VALUE"""),"ganesh.mali@mitaoe.ac.in")</f>
        <v>ganesh.mali@mitaoe.ac.in</v>
      </c>
      <c r="B47" s="6" t="str">
        <f>IFERROR(__xludf.DUMMYFUNCTION("""COMPUTED_VALUE"""),"NO")</f>
        <v>NO</v>
      </c>
      <c r="C47" s="6" t="str">
        <f>IFERROR(__xludf.DUMMYFUNCTION("""COMPUTED_VALUE"""),"YES")</f>
        <v>YES</v>
      </c>
      <c r="D47" s="6"/>
      <c r="E47" s="49" t="str">
        <f>IFERROR(__xludf.DUMMYFUNCTION("""COMPUTED_VALUE"""),"https://drive.google.com/open?id=1f-f7U541vbYJy5pIlPTbGCyf77tziADq")</f>
        <v>https://drive.google.com/open?id=1f-f7U541vbYJy5pIlPTbGCyf77tziADq</v>
      </c>
    </row>
    <row r="48">
      <c r="A48" s="6" t="str">
        <f>IFERROR(__xludf.DUMMYFUNCTION("""COMPUTED_VALUE"""),"anshendkar@mitaoe.ac.in")</f>
        <v>anshendkar@mitaoe.ac.in</v>
      </c>
      <c r="B48" s="6" t="str">
        <f>IFERROR(__xludf.DUMMYFUNCTION("""COMPUTED_VALUE"""),"NO")</f>
        <v>NO</v>
      </c>
      <c r="C48" s="6" t="str">
        <f>IFERROR(__xludf.DUMMYFUNCTION("""COMPUTED_VALUE"""),"NO")</f>
        <v>NO</v>
      </c>
      <c r="D48" s="6"/>
      <c r="E48" s="6"/>
    </row>
    <row r="49">
      <c r="A49" s="6" t="str">
        <f>IFERROR(__xludf.DUMMYFUNCTION("""COMPUTED_VALUE"""),"tejal.khandalkar@mitaoe.ac.in")</f>
        <v>tejal.khandalkar@mitaoe.ac.in</v>
      </c>
      <c r="B49" s="6" t="str">
        <f>IFERROR(__xludf.DUMMYFUNCTION("""COMPUTED_VALUE"""),"YES")</f>
        <v>YES</v>
      </c>
      <c r="C49" s="6" t="str">
        <f>IFERROR(__xludf.DUMMYFUNCTION("""COMPUTED_VALUE"""),"YES")</f>
        <v>YES</v>
      </c>
      <c r="D49" s="49" t="str">
        <f>IFERROR(__xludf.DUMMYFUNCTION("""COMPUTED_VALUE"""),"https://drive.google.com/open?id=1P82rGiW0qnpiYC-xZYGIQbjMb2BY3qDK")</f>
        <v>https://drive.google.com/open?id=1P82rGiW0qnpiYC-xZYGIQbjMb2BY3qDK</v>
      </c>
      <c r="E49" s="49" t="str">
        <f>IFERROR(__xludf.DUMMYFUNCTION("""COMPUTED_VALUE"""),"https://drive.google.com/open?id=1Wjkh6JuEWxNw4BpI16O90GB9H2wlskv7")</f>
        <v>https://drive.google.com/open?id=1Wjkh6JuEWxNw4BpI16O90GB9H2wlskv7</v>
      </c>
    </row>
    <row r="50">
      <c r="A50" s="6" t="str">
        <f>IFERROR(__xludf.DUMMYFUNCTION("""COMPUTED_VALUE"""),"harshada.giradkar@mitaoe.ac.in")</f>
        <v>harshada.giradkar@mitaoe.ac.in</v>
      </c>
      <c r="B50" s="6" t="str">
        <f>IFERROR(__xludf.DUMMYFUNCTION("""COMPUTED_VALUE"""),"NO ")</f>
        <v>NO </v>
      </c>
      <c r="C50" s="6" t="str">
        <f>IFERROR(__xludf.DUMMYFUNCTION("""COMPUTED_VALUE"""),"YES")</f>
        <v>YES</v>
      </c>
      <c r="D50" s="6"/>
      <c r="E50" s="49" t="str">
        <f>IFERROR(__xludf.DUMMYFUNCTION("""COMPUTED_VALUE"""),"https://drive.google.com/open?id=1jGuvfOv_H5sQaFF4QTHXEEKxfWtiNE-U")</f>
        <v>https://drive.google.com/open?id=1jGuvfOv_H5sQaFF4QTHXEEKxfWtiNE-U</v>
      </c>
    </row>
    <row r="51">
      <c r="A51" s="6" t="str">
        <f>IFERROR(__xludf.DUMMYFUNCTION("""COMPUTED_VALUE"""),"sujata.dekate@mitaoe.ac.in")</f>
        <v>sujata.dekate@mitaoe.ac.in</v>
      </c>
      <c r="B51" s="6" t="str">
        <f>IFERROR(__xludf.DUMMYFUNCTION("""COMPUTED_VALUE"""),"NO")</f>
        <v>NO</v>
      </c>
      <c r="C51" s="6" t="str">
        <f>IFERROR(__xludf.DUMMYFUNCTION("""COMPUTED_VALUE"""),"NO")</f>
        <v>NO</v>
      </c>
      <c r="D51" s="6"/>
      <c r="E51" s="6"/>
    </row>
    <row r="52">
      <c r="A52" s="6" t="str">
        <f>IFERROR(__xludf.DUMMYFUNCTION("""COMPUTED_VALUE"""),"nitin.dorale@mitaoe.ac.in")</f>
        <v>nitin.dorale@mitaoe.ac.in</v>
      </c>
      <c r="B52" s="6" t="str">
        <f>IFERROR(__xludf.DUMMYFUNCTION("""COMPUTED_VALUE"""),"NO")</f>
        <v>NO</v>
      </c>
      <c r="C52" s="6" t="str">
        <f>IFERROR(__xludf.DUMMYFUNCTION("""COMPUTED_VALUE"""),"NO")</f>
        <v>NO</v>
      </c>
      <c r="D52" s="6"/>
      <c r="E52" s="6"/>
    </row>
    <row r="53">
      <c r="A53" s="6" t="str">
        <f>IFERROR(__xludf.DUMMYFUNCTION("""COMPUTED_VALUE"""),"rutik.kadukar@mitaoe.ac.in")</f>
        <v>rutik.kadukar@mitaoe.ac.in</v>
      </c>
      <c r="B53" s="6" t="str">
        <f>IFERROR(__xludf.DUMMYFUNCTION("""COMPUTED_VALUE"""),"NO")</f>
        <v>NO</v>
      </c>
      <c r="C53" s="6" t="str">
        <f>IFERROR(__xludf.DUMMYFUNCTION("""COMPUTED_VALUE"""),"NO")</f>
        <v>NO</v>
      </c>
      <c r="D53" s="6"/>
      <c r="E53" s="6"/>
    </row>
    <row r="54">
      <c r="A54" s="6" t="str">
        <f>IFERROR(__xludf.DUMMYFUNCTION("""COMPUTED_VALUE"""),"prabodh.lamsoge@mitaoe.ac.in")</f>
        <v>prabodh.lamsoge@mitaoe.ac.in</v>
      </c>
      <c r="B54" s="6" t="str">
        <f>IFERROR(__xludf.DUMMYFUNCTION("""COMPUTED_VALUE"""),"YES")</f>
        <v>YES</v>
      </c>
      <c r="C54" s="6" t="str">
        <f>IFERROR(__xludf.DUMMYFUNCTION("""COMPUTED_VALUE"""),"YES")</f>
        <v>YES</v>
      </c>
      <c r="D54" s="49" t="str">
        <f>IFERROR(__xludf.DUMMYFUNCTION("""COMPUTED_VALUE"""),"https://drive.google.com/open?id=1crxyVcYayQ9NIVRq9Pufn20_ak3gX1Md")</f>
        <v>https://drive.google.com/open?id=1crxyVcYayQ9NIVRq9Pufn20_ak3gX1Md</v>
      </c>
      <c r="E54" s="49" t="str">
        <f>IFERROR(__xludf.DUMMYFUNCTION("""COMPUTED_VALUE"""),"https://drive.google.com/open?id=1a1kraQ66uDHxGOEwbPeHZgebVXJXw5KV")</f>
        <v>https://drive.google.com/open?id=1a1kraQ66uDHxGOEwbPeHZgebVXJXw5KV</v>
      </c>
    </row>
    <row r="55">
      <c r="A55" s="6" t="str">
        <f>IFERROR(__xludf.DUMMYFUNCTION("""COMPUTED_VALUE"""),"tejaswini.gaikwad@mitaoe.ac.in")</f>
        <v>tejaswini.gaikwad@mitaoe.ac.in</v>
      </c>
      <c r="B55" s="6" t="str">
        <f>IFERROR(__xludf.DUMMYFUNCTION("""COMPUTED_VALUE"""),"NO")</f>
        <v>NO</v>
      </c>
      <c r="C55" s="6" t="str">
        <f>IFERROR(__xludf.DUMMYFUNCTION("""COMPUTED_VALUE"""),"NO")</f>
        <v>NO</v>
      </c>
      <c r="D55" s="6"/>
      <c r="E55" s="6"/>
    </row>
    <row r="56">
      <c r="A56" s="6" t="str">
        <f>IFERROR(__xludf.DUMMYFUNCTION("""COMPUTED_VALUE"""),"rajesh.lotekar@mitaoe.ac.in")</f>
        <v>rajesh.lotekar@mitaoe.ac.in</v>
      </c>
      <c r="B56" s="6" t="str">
        <f>IFERROR(__xludf.DUMMYFUNCTION("""COMPUTED_VALUE"""),"NO")</f>
        <v>NO</v>
      </c>
      <c r="C56" s="6" t="str">
        <f>IFERROR(__xludf.DUMMYFUNCTION("""COMPUTED_VALUE"""),"NO")</f>
        <v>NO</v>
      </c>
      <c r="D56" s="6"/>
      <c r="E56" s="6"/>
    </row>
    <row r="57">
      <c r="A57" s="6" t="str">
        <f>IFERROR(__xludf.DUMMYFUNCTION("""COMPUTED_VALUE"""),"agthakre@mitaoe.ac.in")</f>
        <v>agthakre@mitaoe.ac.in</v>
      </c>
      <c r="B57" s="6" t="str">
        <f>IFERROR(__xludf.DUMMYFUNCTION("""COMPUTED_VALUE"""),"YES")</f>
        <v>YES</v>
      </c>
      <c r="C57" s="6" t="str">
        <f>IFERROR(__xludf.DUMMYFUNCTION("""COMPUTED_VALUE"""),"YES")</f>
        <v>YES</v>
      </c>
      <c r="D57" s="49" t="str">
        <f>IFERROR(__xludf.DUMMYFUNCTION("""COMPUTED_VALUE"""),"https://drive.google.com/open?id=1vZMWoPVhd3i5ah1kSDH3rrVV_Hmuv4EP")</f>
        <v>https://drive.google.com/open?id=1vZMWoPVhd3i5ah1kSDH3rrVV_Hmuv4EP</v>
      </c>
      <c r="E57" s="49" t="str">
        <f>IFERROR(__xludf.DUMMYFUNCTION("""COMPUTED_VALUE"""),"https://drive.google.com/open?id=1ko1ejfu0d4e2L1eFVmh5pi5MODGCBm4s")</f>
        <v>https://drive.google.com/open?id=1ko1ejfu0d4e2L1eFVmh5pi5MODGCBm4s</v>
      </c>
    </row>
    <row r="58">
      <c r="A58" s="6" t="str">
        <f>IFERROR(__xludf.DUMMYFUNCTION("""COMPUTED_VALUE"""),"sgramteke@mitaoe.ac.in")</f>
        <v>sgramteke@mitaoe.ac.in</v>
      </c>
      <c r="B58" s="6" t="str">
        <f>IFERROR(__xludf.DUMMYFUNCTION("""COMPUTED_VALUE"""),"NO")</f>
        <v>NO</v>
      </c>
      <c r="C58" s="6" t="str">
        <f>IFERROR(__xludf.DUMMYFUNCTION("""COMPUTED_VALUE"""),"YES")</f>
        <v>YES</v>
      </c>
      <c r="D58" s="6"/>
      <c r="E58" s="49" t="str">
        <f>IFERROR(__xludf.DUMMYFUNCTION("""COMPUTED_VALUE"""),"https://drive.google.com/open?id=177VAik1HHj4CQ-zjYFWVqO17ZSNAIYD3")</f>
        <v>https://drive.google.com/open?id=177VAik1HHj4CQ-zjYFWVqO17ZSNAIYD3</v>
      </c>
    </row>
    <row r="59">
      <c r="A59" s="6" t="str">
        <f>IFERROR(__xludf.DUMMYFUNCTION("""COMPUTED_VALUE"""),"chinmay.katruwar@mitaoe.ac.in")</f>
        <v>chinmay.katruwar@mitaoe.ac.in</v>
      </c>
      <c r="B59" s="6" t="str">
        <f>IFERROR(__xludf.DUMMYFUNCTION("""COMPUTED_VALUE"""),"YES ")</f>
        <v>YES </v>
      </c>
      <c r="C59" s="6" t="str">
        <f>IFERROR(__xludf.DUMMYFUNCTION("""COMPUTED_VALUE"""),"YES")</f>
        <v>YES</v>
      </c>
      <c r="D59" s="49" t="str">
        <f>IFERROR(__xludf.DUMMYFUNCTION("""COMPUTED_VALUE"""),"https://drive.google.com/open?id=1zhm6OWKg2JZC2cFKcL6UpEbqpTdcUkMd")</f>
        <v>https://drive.google.com/open?id=1zhm6OWKg2JZC2cFKcL6UpEbqpTdcUkMd</v>
      </c>
      <c r="E59" s="49" t="str">
        <f>IFERROR(__xludf.DUMMYFUNCTION("""COMPUTED_VALUE"""),"https://drive.google.com/open?id=1Ef5I96eQ1wZhNFP-TNSznq-wDlR5fe_Y")</f>
        <v>https://drive.google.com/open?id=1Ef5I96eQ1wZhNFP-TNSznq-wDlR5fe_Y</v>
      </c>
    </row>
    <row r="60">
      <c r="A60" s="6" t="str">
        <f>IFERROR(__xludf.DUMMYFUNCTION("""COMPUTED_VALUE"""),"milind.ujgare@mitaoe.ac.in")</f>
        <v>milind.ujgare@mitaoe.ac.in</v>
      </c>
      <c r="B60" s="6" t="str">
        <f>IFERROR(__xludf.DUMMYFUNCTION("""COMPUTED_VALUE"""),"NO")</f>
        <v>NO</v>
      </c>
      <c r="C60" s="6" t="str">
        <f>IFERROR(__xludf.DUMMYFUNCTION("""COMPUTED_VALUE"""),"YES")</f>
        <v>YES</v>
      </c>
      <c r="D60" s="49" t="str">
        <f>IFERROR(__xludf.DUMMYFUNCTION("""COMPUTED_VALUE"""),"https://drive.google.com/open?id=1CJzDE8hCsn8de-qwf9X3mgaIAwNr4PR1")</f>
        <v>https://drive.google.com/open?id=1CJzDE8hCsn8de-qwf9X3mgaIAwNr4PR1</v>
      </c>
      <c r="E60" s="49" t="str">
        <f>IFERROR(__xludf.DUMMYFUNCTION("""COMPUTED_VALUE"""),"https://drive.google.com/open?id=19H5yE9lYgj26CNIWFgCU1Omc9Yi8sjSM")</f>
        <v>https://drive.google.com/open?id=19H5yE9lYgj26CNIWFgCU1Omc9Yi8sjSM</v>
      </c>
    </row>
    <row r="61">
      <c r="A61" s="6" t="str">
        <f>IFERROR(__xludf.DUMMYFUNCTION("""COMPUTED_VALUE"""),"abdullatif.saudagar@mitaoe.ac.in")</f>
        <v>abdullatif.saudagar@mitaoe.ac.in</v>
      </c>
      <c r="B61" s="6" t="str">
        <f>IFERROR(__xludf.DUMMYFUNCTION("""COMPUTED_VALUE"""),"YES")</f>
        <v>YES</v>
      </c>
      <c r="C61" s="6" t="str">
        <f>IFERROR(__xludf.DUMMYFUNCTION("""COMPUTED_VALUE"""),"NO")</f>
        <v>NO</v>
      </c>
      <c r="D61" s="49" t="str">
        <f>IFERROR(__xludf.DUMMYFUNCTION("""COMPUTED_VALUE"""),"https://drive.google.com/open?id=1WaVqkQpki_wjAZflOLMpZ9fUY2olqYri")</f>
        <v>https://drive.google.com/open?id=1WaVqkQpki_wjAZflOLMpZ9fUY2olqYri</v>
      </c>
      <c r="E61" s="49" t="str">
        <f>IFERROR(__xludf.DUMMYFUNCTION("""COMPUTED_VALUE"""),"https://drive.google.com/open?id=1MyPNBd-_4d95QZ7rCBiCPG8T7XAy5SQV")</f>
        <v>https://drive.google.com/open?id=1MyPNBd-_4d95QZ7rCBiCPG8T7XAy5SQV</v>
      </c>
    </row>
    <row r="62">
      <c r="A62" s="6" t="str">
        <f>IFERROR(__xludf.DUMMYFUNCTION("""COMPUTED_VALUE"""),"shailesh.budharam@mitaoe.ac.in")</f>
        <v>shailesh.budharam@mitaoe.ac.in</v>
      </c>
      <c r="B62" s="6" t="str">
        <f>IFERROR(__xludf.DUMMYFUNCTION("""COMPUTED_VALUE"""),"YES")</f>
        <v>YES</v>
      </c>
      <c r="C62" s="6" t="str">
        <f>IFERROR(__xludf.DUMMYFUNCTION("""COMPUTED_VALUE"""),"YES")</f>
        <v>YES</v>
      </c>
      <c r="D62" s="49" t="str">
        <f>IFERROR(__xludf.DUMMYFUNCTION("""COMPUTED_VALUE"""),"https://drive.google.com/open?id=18RGAk-VN_x8L5Tkixh4LdJac6JuqsaxQ")</f>
        <v>https://drive.google.com/open?id=18RGAk-VN_x8L5Tkixh4LdJac6JuqsaxQ</v>
      </c>
      <c r="E62" s="49" t="str">
        <f>IFERROR(__xludf.DUMMYFUNCTION("""COMPUTED_VALUE"""),"https://drive.google.com/open?id=1qcFPgTazC_9OpRcEWDCJEAP30feaj-UB")</f>
        <v>https://drive.google.com/open?id=1qcFPgTazC_9OpRcEWDCJEAP30feaj-UB</v>
      </c>
    </row>
    <row r="63">
      <c r="A63" s="6" t="str">
        <f>IFERROR(__xludf.DUMMYFUNCTION("""COMPUTED_VALUE"""),"prathamesh.patil@mitaoe.ac.in")</f>
        <v>prathamesh.patil@mitaoe.ac.in</v>
      </c>
      <c r="B63" s="6" t="str">
        <f>IFERROR(__xludf.DUMMYFUNCTION("""COMPUTED_VALUE"""),"NO")</f>
        <v>NO</v>
      </c>
      <c r="C63" s="6" t="str">
        <f>IFERROR(__xludf.DUMMYFUNCTION("""COMPUTED_VALUE"""),"YES")</f>
        <v>YES</v>
      </c>
      <c r="D63" s="6"/>
      <c r="E63" s="49" t="str">
        <f>IFERROR(__xludf.DUMMYFUNCTION("""COMPUTED_VALUE"""),"https://drive.google.com/open?id=1Yheoy-7OSpIqfH6ew2hqb_Q7y5Skn9-G")</f>
        <v>https://drive.google.com/open?id=1Yheoy-7OSpIqfH6ew2hqb_Q7y5Skn9-G</v>
      </c>
    </row>
    <row r="64">
      <c r="A64" s="6" t="str">
        <f>IFERROR(__xludf.DUMMYFUNCTION("""COMPUTED_VALUE"""),"pvgawali@mitaoe.ac.in")</f>
        <v>pvgawali@mitaoe.ac.in</v>
      </c>
      <c r="B64" s="6" t="str">
        <f>IFERROR(__xludf.DUMMYFUNCTION("""COMPUTED_VALUE"""),"YES")</f>
        <v>YES</v>
      </c>
      <c r="C64" s="6" t="str">
        <f>IFERROR(__xludf.DUMMYFUNCTION("""COMPUTED_VALUE"""),"YES")</f>
        <v>YES</v>
      </c>
      <c r="D64" s="49" t="str">
        <f>IFERROR(__xludf.DUMMYFUNCTION("""COMPUTED_VALUE"""),"https://drive.google.com/open?id=1PNl2VMFHw0tefBZwU39wza4beXG8K9Pt")</f>
        <v>https://drive.google.com/open?id=1PNl2VMFHw0tefBZwU39wza4beXG8K9Pt</v>
      </c>
      <c r="E64" s="49" t="str">
        <f>IFERROR(__xludf.DUMMYFUNCTION("""COMPUTED_VALUE"""),"https://drive.google.com/open?id=19vMIPZZ_RSyTGFS5aDZKawdDrKmAfoDf")</f>
        <v>https://drive.google.com/open?id=19vMIPZZ_RSyTGFS5aDZKawdDrKmAfoDf</v>
      </c>
    </row>
    <row r="65">
      <c r="A65" s="6" t="str">
        <f>IFERROR(__xludf.DUMMYFUNCTION("""COMPUTED_VALUE"""),"vpchopade@mitaoe.ac.in")</f>
        <v>vpchopade@mitaoe.ac.in</v>
      </c>
      <c r="B65" s="6" t="str">
        <f>IFERROR(__xludf.DUMMYFUNCTION("""COMPUTED_VALUE"""),"YES")</f>
        <v>YES</v>
      </c>
      <c r="C65" s="6" t="str">
        <f>IFERROR(__xludf.DUMMYFUNCTION("""COMPUTED_VALUE"""),"YES")</f>
        <v>YES</v>
      </c>
      <c r="D65" s="49" t="str">
        <f>IFERROR(__xludf.DUMMYFUNCTION("""COMPUTED_VALUE"""),"https://drive.google.com/open?id=1vKGXx7ogn71b8C02PiyoniCQE60k60zi")</f>
        <v>https://drive.google.com/open?id=1vKGXx7ogn71b8C02PiyoniCQE60k60zi</v>
      </c>
      <c r="E65" s="49" t="str">
        <f>IFERROR(__xludf.DUMMYFUNCTION("""COMPUTED_VALUE"""),"https://drive.google.com/open?id=1SB5cowl9JJm59XhjrXvC6xbKN6VIoO5D")</f>
        <v>https://drive.google.com/open?id=1SB5cowl9JJm59XhjrXvC6xbKN6VIoO5D</v>
      </c>
    </row>
    <row r="66">
      <c r="A66" s="6" t="str">
        <f>IFERROR(__xludf.DUMMYFUNCTION("""COMPUTED_VALUE"""),"hemant.bhore@mitaoe.ac.in")</f>
        <v>hemant.bhore@mitaoe.ac.in</v>
      </c>
      <c r="B66" s="6" t="str">
        <f>IFERROR(__xludf.DUMMYFUNCTION("""COMPUTED_VALUE"""),"YES")</f>
        <v>YES</v>
      </c>
      <c r="C66" s="6" t="str">
        <f>IFERROR(__xludf.DUMMYFUNCTION("""COMPUTED_VALUE"""),"YES")</f>
        <v>YES</v>
      </c>
      <c r="D66" s="49" t="str">
        <f>IFERROR(__xludf.DUMMYFUNCTION("""COMPUTED_VALUE"""),"https://drive.google.com/open?id=1aZ15cH_3RefuJk3wjcTUwhUjDo3XcKLv")</f>
        <v>https://drive.google.com/open?id=1aZ15cH_3RefuJk3wjcTUwhUjDo3XcKLv</v>
      </c>
      <c r="E66" s="49" t="str">
        <f>IFERROR(__xludf.DUMMYFUNCTION("""COMPUTED_VALUE"""),"https://drive.google.com/open?id=1RDRjlUg78CjkTMqYKPFlYkIwulFB7y5Z")</f>
        <v>https://drive.google.com/open?id=1RDRjlUg78CjkTMqYKPFlYkIwulFB7y5Z</v>
      </c>
    </row>
    <row r="67">
      <c r="A67" s="6" t="str">
        <f>IFERROR(__xludf.DUMMYFUNCTION("""COMPUTED_VALUE"""),"sumit.chhatre@mitaoe.ac.in")</f>
        <v>sumit.chhatre@mitaoe.ac.in</v>
      </c>
      <c r="B67" s="6" t="str">
        <f>IFERROR(__xludf.DUMMYFUNCTION("""COMPUTED_VALUE"""),"YES")</f>
        <v>YES</v>
      </c>
      <c r="C67" s="6" t="str">
        <f>IFERROR(__xludf.DUMMYFUNCTION("""COMPUTED_VALUE"""),"YES")</f>
        <v>YES</v>
      </c>
      <c r="D67" s="49" t="str">
        <f>IFERROR(__xludf.DUMMYFUNCTION("""COMPUTED_VALUE"""),"https://drive.google.com/open?id=1USQTT99eRhYCIrLpzz5qD-qxkyDhmBv0")</f>
        <v>https://drive.google.com/open?id=1USQTT99eRhYCIrLpzz5qD-qxkyDhmBv0</v>
      </c>
      <c r="E67" s="49" t="str">
        <f>IFERROR(__xludf.DUMMYFUNCTION("""COMPUTED_VALUE"""),"https://drive.google.com/open?id=1PvIdBfFykibVxIOJzK0-gwPylnBTyoSE")</f>
        <v>https://drive.google.com/open?id=1PvIdBfFykibVxIOJzK0-gwPylnBTyoSE</v>
      </c>
    </row>
    <row r="68">
      <c r="A68" s="6" t="str">
        <f>IFERROR(__xludf.DUMMYFUNCTION("""COMPUTED_VALUE"""),"smritisingh@mitaoe.ac.in")</f>
        <v>smritisingh@mitaoe.ac.in</v>
      </c>
      <c r="B68" s="6" t="str">
        <f>IFERROR(__xludf.DUMMYFUNCTION("""COMPUTED_VALUE"""),"YES")</f>
        <v>YES</v>
      </c>
      <c r="C68" s="6" t="str">
        <f>IFERROR(__xludf.DUMMYFUNCTION("""COMPUTED_VALUE"""),"YES")</f>
        <v>YES</v>
      </c>
      <c r="D68" s="49" t="str">
        <f>IFERROR(__xludf.DUMMYFUNCTION("""COMPUTED_VALUE"""),"https://drive.google.com/open?id=1XySCkZrCdXwZd7x5HgMWhKgPuYqH5vFI")</f>
        <v>https://drive.google.com/open?id=1XySCkZrCdXwZd7x5HgMWhKgPuYqH5vFI</v>
      </c>
      <c r="E68" s="49" t="str">
        <f>IFERROR(__xludf.DUMMYFUNCTION("""COMPUTED_VALUE"""),"https://drive.google.com/open?id=1oqiauIsRWgMLv-F6DZyxrnai2siQw17S")</f>
        <v>https://drive.google.com/open?id=1oqiauIsRWgMLv-F6DZyxrnai2siQw17S</v>
      </c>
    </row>
    <row r="69">
      <c r="A69" s="6" t="str">
        <f>IFERROR(__xludf.DUMMYFUNCTION("""COMPUTED_VALUE"""),"pmvibhute@mitaoe.ac.in")</f>
        <v>pmvibhute@mitaoe.ac.in</v>
      </c>
      <c r="B69" s="6" t="str">
        <f>IFERROR(__xludf.DUMMYFUNCTION("""COMPUTED_VALUE"""),"NO")</f>
        <v>NO</v>
      </c>
      <c r="C69" s="6" t="str">
        <f>IFERROR(__xludf.DUMMYFUNCTION("""COMPUTED_VALUE"""),"NO")</f>
        <v>NO</v>
      </c>
      <c r="D69" s="6"/>
      <c r="E69" s="6"/>
    </row>
    <row r="70">
      <c r="A70" s="6" t="str">
        <f>IFERROR(__xludf.DUMMYFUNCTION("""COMPUTED_VALUE"""),"nspawar@mitaoe.ac.in")</f>
        <v>nspawar@mitaoe.ac.in</v>
      </c>
      <c r="B70" s="6" t="str">
        <f>IFERROR(__xludf.DUMMYFUNCTION("""COMPUTED_VALUE"""),"NO")</f>
        <v>NO</v>
      </c>
      <c r="C70" s="6" t="str">
        <f>IFERROR(__xludf.DUMMYFUNCTION("""COMPUTED_VALUE"""),"NO")</f>
        <v>NO</v>
      </c>
      <c r="D70" s="6"/>
      <c r="E70" s="6"/>
    </row>
    <row r="71">
      <c r="A71" s="6" t="str">
        <f>IFERROR(__xludf.DUMMYFUNCTION("""COMPUTED_VALUE"""),"aabalowria@mitaoe.ac.in")</f>
        <v>aabalowria@mitaoe.ac.in</v>
      </c>
      <c r="B71" s="6" t="str">
        <f>IFERROR(__xludf.DUMMYFUNCTION("""COMPUTED_VALUE"""),"NO ")</f>
        <v>NO </v>
      </c>
      <c r="C71" s="6" t="str">
        <f>IFERROR(__xludf.DUMMYFUNCTION("""COMPUTED_VALUE"""),"NO")</f>
        <v>NO</v>
      </c>
      <c r="D71" s="6"/>
      <c r="E71" s="6"/>
    </row>
    <row r="72">
      <c r="A72" s="6" t="str">
        <f>IFERROR(__xludf.DUMMYFUNCTION("""COMPUTED_VALUE"""),"dipak.tayade@mitaoe.ac.in")</f>
        <v>dipak.tayade@mitaoe.ac.in</v>
      </c>
      <c r="B72" s="6" t="str">
        <f>IFERROR(__xludf.DUMMYFUNCTION("""COMPUTED_VALUE"""),"YES")</f>
        <v>YES</v>
      </c>
      <c r="C72" s="6" t="str">
        <f>IFERROR(__xludf.DUMMYFUNCTION("""COMPUTED_VALUE"""),"YES")</f>
        <v>YES</v>
      </c>
      <c r="D72" s="49" t="str">
        <f>IFERROR(__xludf.DUMMYFUNCTION("""COMPUTED_VALUE"""),"https://drive.google.com/open?id=1gdgXvckDpi3tFS2ujdKLJzw3lGwje3-7")</f>
        <v>https://drive.google.com/open?id=1gdgXvckDpi3tFS2ujdKLJzw3lGwje3-7</v>
      </c>
      <c r="E72" s="49" t="str">
        <f>IFERROR(__xludf.DUMMYFUNCTION("""COMPUTED_VALUE"""),"https://drive.google.com/open?id=1rrLzV-rrIzFllOSAsxQweyiEwwMKiDdx")</f>
        <v>https://drive.google.com/open?id=1rrLzV-rrIzFllOSAsxQweyiEwwMKiDdx</v>
      </c>
    </row>
    <row r="73">
      <c r="A73" s="6" t="str">
        <f>IFERROR(__xludf.DUMMYFUNCTION("""COMPUTED_VALUE"""),"ssharma@mitaoe.ac.in")</f>
        <v>ssharma@mitaoe.ac.in</v>
      </c>
      <c r="B73" s="6" t="str">
        <f>IFERROR(__xludf.DUMMYFUNCTION("""COMPUTED_VALUE"""),"NO")</f>
        <v>NO</v>
      </c>
      <c r="C73" s="6" t="str">
        <f>IFERROR(__xludf.DUMMYFUNCTION("""COMPUTED_VALUE"""),"NO")</f>
        <v>NO</v>
      </c>
      <c r="D73" s="6"/>
      <c r="E73" s="6"/>
    </row>
    <row r="74">
      <c r="A74" s="6" t="str">
        <f>IFERROR(__xludf.DUMMYFUNCTION("""COMPUTED_VALUE"""),"sandip.butepwad@mitaoe.ac.in")</f>
        <v>sandip.butepwad@mitaoe.ac.in</v>
      </c>
      <c r="B74" s="6" t="str">
        <f>IFERROR(__xludf.DUMMYFUNCTION("""COMPUTED_VALUE"""),"YES")</f>
        <v>YES</v>
      </c>
      <c r="C74" s="6" t="str">
        <f>IFERROR(__xludf.DUMMYFUNCTION("""COMPUTED_VALUE"""),"YES")</f>
        <v>YES</v>
      </c>
      <c r="D74" s="49" t="str">
        <f>IFERROR(__xludf.DUMMYFUNCTION("""COMPUTED_VALUE"""),"https://drive.google.com/open?id=1j5tZeqAjRg3B0NRgfOhC3WtaWvxB8-nU")</f>
        <v>https://drive.google.com/open?id=1j5tZeqAjRg3B0NRgfOhC3WtaWvxB8-nU</v>
      </c>
      <c r="E74" s="49" t="str">
        <f>IFERROR(__xludf.DUMMYFUNCTION("""COMPUTED_VALUE"""),"https://drive.google.com/open?id=17XOfSOinXUUJp2DKCD5t-XE-vaWF-RNf")</f>
        <v>https://drive.google.com/open?id=17XOfSOinXUUJp2DKCD5t-XE-vaWF-RNf</v>
      </c>
    </row>
    <row r="75">
      <c r="A75" s="6" t="str">
        <f>IFERROR(__xludf.DUMMYFUNCTION("""COMPUTED_VALUE"""),"spkolekar@mitaoe.ac.in")</f>
        <v>spkolekar@mitaoe.ac.in</v>
      </c>
      <c r="B75" s="6" t="str">
        <f>IFERROR(__xludf.DUMMYFUNCTION("""COMPUTED_VALUE"""),"NO")</f>
        <v>NO</v>
      </c>
      <c r="C75" s="6" t="str">
        <f>IFERROR(__xludf.DUMMYFUNCTION("""COMPUTED_VALUE"""),"NO")</f>
        <v>NO</v>
      </c>
      <c r="D75" s="6"/>
      <c r="E75" s="6"/>
    </row>
    <row r="76">
      <c r="A76" s="6" t="str">
        <f>IFERROR(__xludf.DUMMYFUNCTION("""COMPUTED_VALUE"""),"sspujari@mitaoe.ac.in")</f>
        <v>sspujari@mitaoe.ac.in</v>
      </c>
      <c r="B76" s="6" t="str">
        <f>IFERROR(__xludf.DUMMYFUNCTION("""COMPUTED_VALUE"""),"NO")</f>
        <v>NO</v>
      </c>
      <c r="C76" s="6" t="str">
        <f>IFERROR(__xludf.DUMMYFUNCTION("""COMPUTED_VALUE"""),"NO")</f>
        <v>NO</v>
      </c>
      <c r="D76" s="6"/>
      <c r="E76" s="6"/>
    </row>
    <row r="77">
      <c r="A77" s="6" t="str">
        <f>IFERROR(__xludf.DUMMYFUNCTION("""COMPUTED_VALUE"""),"mrshinde@mitaoe.ac.in")</f>
        <v>mrshinde@mitaoe.ac.in</v>
      </c>
      <c r="B77" s="6" t="str">
        <f>IFERROR(__xludf.DUMMYFUNCTION("""COMPUTED_VALUE"""),"YES")</f>
        <v>YES</v>
      </c>
      <c r="C77" s="6" t="str">
        <f>IFERROR(__xludf.DUMMYFUNCTION("""COMPUTED_VALUE"""),"YES")</f>
        <v>YES</v>
      </c>
      <c r="D77" s="49" t="str">
        <f>IFERROR(__xludf.DUMMYFUNCTION("""COMPUTED_VALUE"""),"https://drive.google.com/open?id=13BL7rMV-GJPlaRN6PBf2UrwcVO8FSBa6")</f>
        <v>https://drive.google.com/open?id=13BL7rMV-GJPlaRN6PBf2UrwcVO8FSBa6</v>
      </c>
      <c r="E77" s="49" t="str">
        <f>IFERROR(__xludf.DUMMYFUNCTION("""COMPUTED_VALUE"""),"https://drive.google.com/open?id=1DZYA-vWarvjrsq5ubVWQ02EEsyp4uPUk")</f>
        <v>https://drive.google.com/open?id=1DZYA-vWarvjrsq5ubVWQ02EEsyp4uPUk</v>
      </c>
    </row>
    <row r="78">
      <c r="A78" s="6" t="str">
        <f>IFERROR(__xludf.DUMMYFUNCTION("""COMPUTED_VALUE"""),"nakadam@mitaoe.ac.in")</f>
        <v>nakadam@mitaoe.ac.in</v>
      </c>
      <c r="B78" s="6" t="str">
        <f>IFERROR(__xludf.DUMMYFUNCTION("""COMPUTED_VALUE"""),"YES")</f>
        <v>YES</v>
      </c>
      <c r="C78" s="6" t="str">
        <f>IFERROR(__xludf.DUMMYFUNCTION("""COMPUTED_VALUE"""),"YES")</f>
        <v>YES</v>
      </c>
      <c r="D78" s="49" t="str">
        <f>IFERROR(__xludf.DUMMYFUNCTION("""COMPUTED_VALUE"""),"https://drive.google.com/open?id=1bdU5XyGJsUR_VbVysgXue6I4bkd7xjEK")</f>
        <v>https://drive.google.com/open?id=1bdU5XyGJsUR_VbVysgXue6I4bkd7xjEK</v>
      </c>
      <c r="E78" s="49" t="str">
        <f>IFERROR(__xludf.DUMMYFUNCTION("""COMPUTED_VALUE"""),"https://drive.google.com/open?id=13fRV0IUE1au2v6RJ5FxrtNO1a7PeJtt6")</f>
        <v>https://drive.google.com/open?id=13fRV0IUE1au2v6RJ5FxrtNO1a7PeJtt6</v>
      </c>
    </row>
    <row r="79">
      <c r="A79" s="6" t="str">
        <f>IFERROR(__xludf.DUMMYFUNCTION("""COMPUTED_VALUE"""),"slkarmankar@mitaoe.ac.in")</f>
        <v>slkarmankar@mitaoe.ac.in</v>
      </c>
      <c r="B79" s="6" t="str">
        <f>IFERROR(__xludf.DUMMYFUNCTION("""COMPUTED_VALUE"""),"NO")</f>
        <v>NO</v>
      </c>
      <c r="C79" s="6" t="str">
        <f>IFERROR(__xludf.DUMMYFUNCTION("""COMPUTED_VALUE"""),"NO")</f>
        <v>NO</v>
      </c>
      <c r="D79" s="6"/>
      <c r="E79" s="6"/>
    </row>
    <row r="80">
      <c r="A80" s="6" t="str">
        <f>IFERROR(__xludf.DUMMYFUNCTION("""COMPUTED_VALUE"""),"rtnarhare@mitaoe.ac.in")</f>
        <v>rtnarhare@mitaoe.ac.in</v>
      </c>
      <c r="B80" s="6" t="str">
        <f>IFERROR(__xludf.DUMMYFUNCTION("""COMPUTED_VALUE"""),"NO")</f>
        <v>NO</v>
      </c>
      <c r="C80" s="6" t="str">
        <f>IFERROR(__xludf.DUMMYFUNCTION("""COMPUTED_VALUE"""),"NO")</f>
        <v>NO</v>
      </c>
      <c r="D80" s="6"/>
      <c r="E80" s="6"/>
    </row>
    <row r="81">
      <c r="A81" s="6" t="str">
        <f>IFERROR(__xludf.DUMMYFUNCTION("""COMPUTED_VALUE"""),"gbbhojane@mitaoe.ac.in")</f>
        <v>gbbhojane@mitaoe.ac.in</v>
      </c>
      <c r="B81" s="6" t="str">
        <f>IFERROR(__xludf.DUMMYFUNCTION("""COMPUTED_VALUE"""),"NO")</f>
        <v>NO</v>
      </c>
      <c r="C81" s="6" t="str">
        <f>IFERROR(__xludf.DUMMYFUNCTION("""COMPUTED_VALUE"""),"NO")</f>
        <v>NO</v>
      </c>
      <c r="D81" s="49" t="str">
        <f>IFERROR(__xludf.DUMMYFUNCTION("""COMPUTED_VALUE"""),"https://drive.google.com/open?id=1lc4rj5JrZPyUskl-a7k94N9NBqosP-Zc")</f>
        <v>https://drive.google.com/open?id=1lc4rj5JrZPyUskl-a7k94N9NBqosP-Zc</v>
      </c>
      <c r="E81" s="49" t="str">
        <f>IFERROR(__xludf.DUMMYFUNCTION("""COMPUTED_VALUE"""),"https://drive.google.com/open?id=1GQbd7w35xfYDZtIt_NXPaXsZF9GZftR9")</f>
        <v>https://drive.google.com/open?id=1GQbd7w35xfYDZtIt_NXPaXsZF9GZftR9</v>
      </c>
    </row>
    <row r="82">
      <c r="A82" s="6" t="str">
        <f>IFERROR(__xludf.DUMMYFUNCTION("""COMPUTED_VALUE"""),"ganesh.boyane@mitaoe.ac.in")</f>
        <v>ganesh.boyane@mitaoe.ac.in</v>
      </c>
      <c r="B82" s="6" t="str">
        <f>IFERROR(__xludf.DUMMYFUNCTION("""COMPUTED_VALUE"""),"NO")</f>
        <v>NO</v>
      </c>
      <c r="C82" s="6" t="str">
        <f>IFERROR(__xludf.DUMMYFUNCTION("""COMPUTED_VALUE"""),"NO")</f>
        <v>NO</v>
      </c>
      <c r="D82" s="6"/>
      <c r="E82" s="6"/>
    </row>
    <row r="83">
      <c r="A83" s="6" t="str">
        <f>IFERROR(__xludf.DUMMYFUNCTION("""COMPUTED_VALUE"""),"samir.maske@mitaoe.ac.in")</f>
        <v>samir.maske@mitaoe.ac.in</v>
      </c>
      <c r="B83" s="6" t="str">
        <f>IFERROR(__xludf.DUMMYFUNCTION("""COMPUTED_VALUE"""),"NO")</f>
        <v>NO</v>
      </c>
      <c r="C83" s="6" t="str">
        <f>IFERROR(__xludf.DUMMYFUNCTION("""COMPUTED_VALUE"""),"YES")</f>
        <v>YES</v>
      </c>
      <c r="D83" s="49" t="str">
        <f>IFERROR(__xludf.DUMMYFUNCTION("""COMPUTED_VALUE"""),"https://drive.google.com/open?id=1MmaoRtSP_OlOpQYS9z0t04N0FRxM-5w4")</f>
        <v>https://drive.google.com/open?id=1MmaoRtSP_OlOpQYS9z0t04N0FRxM-5w4</v>
      </c>
      <c r="E83" s="49" t="str">
        <f>IFERROR(__xludf.DUMMYFUNCTION("""COMPUTED_VALUE"""),"https://drive.google.com/open?id=1-V0QqRuaYao2dt5wdDuawoRUAFQV3-oa")</f>
        <v>https://drive.google.com/open?id=1-V0QqRuaYao2dt5wdDuawoRUAFQV3-oa</v>
      </c>
    </row>
    <row r="84">
      <c r="A84" s="6" t="str">
        <f>IFERROR(__xludf.DUMMYFUNCTION("""COMPUTED_VALUE"""),"keshraj.tonage@mitaoe.ac.in")</f>
        <v>keshraj.tonage@mitaoe.ac.in</v>
      </c>
      <c r="B84" s="6" t="str">
        <f>IFERROR(__xludf.DUMMYFUNCTION("""COMPUTED_VALUE"""),"YES")</f>
        <v>YES</v>
      </c>
      <c r="C84" s="6" t="str">
        <f>IFERROR(__xludf.DUMMYFUNCTION("""COMPUTED_VALUE"""),"YES")</f>
        <v>YES</v>
      </c>
      <c r="D84" s="49" t="str">
        <f>IFERROR(__xludf.DUMMYFUNCTION("""COMPUTED_VALUE"""),"https://drive.google.com/open?id=1EiOI6qeYt9ljQL0AbvV5a-BCJb3w-YQK")</f>
        <v>https://drive.google.com/open?id=1EiOI6qeYt9ljQL0AbvV5a-BCJb3w-YQK</v>
      </c>
      <c r="E84" s="49" t="str">
        <f>IFERROR(__xludf.DUMMYFUNCTION("""COMPUTED_VALUE"""),"https://drive.google.com/open?id=1KhYO1Nshg_YqEYMT0g0V83GCqB5dN6-M")</f>
        <v>https://drive.google.com/open?id=1KhYO1Nshg_YqEYMT0g0V83GCqB5dN6-M</v>
      </c>
    </row>
    <row r="85">
      <c r="A85" s="6" t="str">
        <f>IFERROR(__xludf.DUMMYFUNCTION("""COMPUTED_VALUE"""),"rutuja.ghule@mitaoe.ac.in")</f>
        <v>rutuja.ghule@mitaoe.ac.in</v>
      </c>
      <c r="B85" s="6" t="str">
        <f>IFERROR(__xludf.DUMMYFUNCTION("""COMPUTED_VALUE"""),"NO")</f>
        <v>NO</v>
      </c>
      <c r="C85" s="6" t="str">
        <f>IFERROR(__xludf.DUMMYFUNCTION("""COMPUTED_VALUE"""),"NO")</f>
        <v>NO</v>
      </c>
      <c r="D85" s="6"/>
      <c r="E85" s="6"/>
    </row>
    <row r="86">
      <c r="A86" s="6" t="str">
        <f>IFERROR(__xludf.DUMMYFUNCTION("""COMPUTED_VALUE"""),"hmbhat@mitaoe.ac.in")</f>
        <v>hmbhat@mitaoe.ac.in</v>
      </c>
      <c r="B86" s="6" t="str">
        <f>IFERROR(__xludf.DUMMYFUNCTION("""COMPUTED_VALUE"""),"NO")</f>
        <v>NO</v>
      </c>
      <c r="C86" s="6" t="str">
        <f>IFERROR(__xludf.DUMMYFUNCTION("""COMPUTED_VALUE"""),"YES")</f>
        <v>YES</v>
      </c>
      <c r="D86" s="49" t="str">
        <f>IFERROR(__xludf.DUMMYFUNCTION("""COMPUTED_VALUE"""),"https://drive.google.com/open?id=1tL7pU8JH8twAr3OaFfaLCs7YahQbMuPh")</f>
        <v>https://drive.google.com/open?id=1tL7pU8JH8twAr3OaFfaLCs7YahQbMuPh</v>
      </c>
      <c r="E86" s="49" t="str">
        <f>IFERROR(__xludf.DUMMYFUNCTION("""COMPUTED_VALUE"""),"https://drive.google.com/open?id=1o4Zu9lirZtQoBxnh99Xk1b2A3LYaWle5")</f>
        <v>https://drive.google.com/open?id=1o4Zu9lirZtQoBxnh99Xk1b2A3LYaWle5</v>
      </c>
    </row>
    <row r="87">
      <c r="A87" s="6" t="str">
        <f>IFERROR(__xludf.DUMMYFUNCTION("""COMPUTED_VALUE"""),"payal.chaugule@mitaoe.ac.in")</f>
        <v>payal.chaugule@mitaoe.ac.in</v>
      </c>
      <c r="B87" s="6" t="str">
        <f>IFERROR(__xludf.DUMMYFUNCTION("""COMPUTED_VALUE"""),"YES")</f>
        <v>YES</v>
      </c>
      <c r="C87" s="6" t="str">
        <f>IFERROR(__xludf.DUMMYFUNCTION("""COMPUTED_VALUE"""),"YES")</f>
        <v>YES</v>
      </c>
      <c r="D87" s="49" t="str">
        <f>IFERROR(__xludf.DUMMYFUNCTION("""COMPUTED_VALUE"""),"https://drive.google.com/open?id=1ehOcmwQG0u9XSANpQFRKHj6qFmlf8Eug")</f>
        <v>https://drive.google.com/open?id=1ehOcmwQG0u9XSANpQFRKHj6qFmlf8Eug</v>
      </c>
      <c r="E87" s="49" t="str">
        <f>IFERROR(__xludf.DUMMYFUNCTION("""COMPUTED_VALUE"""),"https://drive.google.com/open?id=17U1SbiZXYA9i9kQavg4_rMuuZ-TUy0WW")</f>
        <v>https://drive.google.com/open?id=17U1SbiZXYA9i9kQavg4_rMuuZ-TUy0WW</v>
      </c>
    </row>
    <row r="88">
      <c r="A88" s="6" t="str">
        <f>IFERROR(__xludf.DUMMYFUNCTION("""COMPUTED_VALUE"""),"komal.kakde@mitaoe.ac.in")</f>
        <v>komal.kakde@mitaoe.ac.in</v>
      </c>
      <c r="B88" s="6" t="str">
        <f>IFERROR(__xludf.DUMMYFUNCTION("""COMPUTED_VALUE"""),"NO")</f>
        <v>NO</v>
      </c>
      <c r="C88" s="6" t="str">
        <f>IFERROR(__xludf.DUMMYFUNCTION("""COMPUTED_VALUE"""),"YES")</f>
        <v>YES</v>
      </c>
      <c r="D88" s="49" t="str">
        <f>IFERROR(__xludf.DUMMYFUNCTION("""COMPUTED_VALUE"""),"https://drive.google.com/open?id=11iFcd4ULmjj0IVBBcMPQzY_WGYS0ZRUU")</f>
        <v>https://drive.google.com/open?id=11iFcd4ULmjj0IVBBcMPQzY_WGYS0ZRUU</v>
      </c>
      <c r="E88" s="49" t="str">
        <f>IFERROR(__xludf.DUMMYFUNCTION("""COMPUTED_VALUE"""),"https://drive.google.com/open?id=1lYJuM49PgOWoVgEdSgH7M3HyqURVpmKa")</f>
        <v>https://drive.google.com/open?id=1lYJuM49PgOWoVgEdSgH7M3HyqURVpmKa</v>
      </c>
    </row>
    <row r="89">
      <c r="A89" s="6" t="str">
        <f>IFERROR(__xludf.DUMMYFUNCTION("""COMPUTED_VALUE"""),"shweta.jagtap@mitaoe.ac.in")</f>
        <v>shweta.jagtap@mitaoe.ac.in</v>
      </c>
      <c r="B89" s="6" t="str">
        <f>IFERROR(__xludf.DUMMYFUNCTION("""COMPUTED_VALUE"""),"NO")</f>
        <v>NO</v>
      </c>
      <c r="C89" s="6" t="str">
        <f>IFERROR(__xludf.DUMMYFUNCTION("""COMPUTED_VALUE"""),"NO")</f>
        <v>NO</v>
      </c>
      <c r="D89" s="6"/>
      <c r="E89" s="6"/>
    </row>
    <row r="90">
      <c r="A90" s="6" t="str">
        <f>IFERROR(__xludf.DUMMYFUNCTION("""COMPUTED_VALUE"""),"jatin.burde@mitaoe.ac.in")</f>
        <v>jatin.burde@mitaoe.ac.in</v>
      </c>
      <c r="B90" s="6" t="str">
        <f>IFERROR(__xludf.DUMMYFUNCTION("""COMPUTED_VALUE"""),"YES")</f>
        <v>YES</v>
      </c>
      <c r="C90" s="6" t="str">
        <f>IFERROR(__xludf.DUMMYFUNCTION("""COMPUTED_VALUE"""),"YES")</f>
        <v>YES</v>
      </c>
      <c r="D90" s="49" t="str">
        <f>IFERROR(__xludf.DUMMYFUNCTION("""COMPUTED_VALUE"""),"https://drive.google.com/open?id=1fenwo-8nM_IPAEJo5Fk-UJA0zX5EH4VM")</f>
        <v>https://drive.google.com/open?id=1fenwo-8nM_IPAEJo5Fk-UJA0zX5EH4VM</v>
      </c>
      <c r="E90" s="49" t="str">
        <f>IFERROR(__xludf.DUMMYFUNCTION("""COMPUTED_VALUE"""),"https://drive.google.com/open?id=1R6nnvrzfGiN1CdbTk-iDrrAXeljes_qi")</f>
        <v>https://drive.google.com/open?id=1R6nnvrzfGiN1CdbTk-iDrrAXeljes_qi</v>
      </c>
    </row>
    <row r="91">
      <c r="A91" s="6" t="str">
        <f>IFERROR(__xludf.DUMMYFUNCTION("""COMPUTED_VALUE"""),"umesh.khillare@mitaoe.ac.in")</f>
        <v>umesh.khillare@mitaoe.ac.in</v>
      </c>
      <c r="B91" s="6" t="str">
        <f>IFERROR(__xludf.DUMMYFUNCTION("""COMPUTED_VALUE"""),"NO")</f>
        <v>NO</v>
      </c>
      <c r="C91" s="6" t="str">
        <f>IFERROR(__xludf.DUMMYFUNCTION("""COMPUTED_VALUE"""),"NO")</f>
        <v>NO</v>
      </c>
      <c r="D91" s="6"/>
      <c r="E91" s="6"/>
    </row>
    <row r="92">
      <c r="A92" s="6" t="str">
        <f>IFERROR(__xludf.DUMMYFUNCTION("""COMPUTED_VALUE"""),"touphik.shaikh@mitaoe.ac.in")</f>
        <v>touphik.shaikh@mitaoe.ac.in</v>
      </c>
      <c r="B92" s="6" t="str">
        <f>IFERROR(__xludf.DUMMYFUNCTION("""COMPUTED_VALUE"""),"YES")</f>
        <v>YES</v>
      </c>
      <c r="C92" s="6" t="str">
        <f>IFERROR(__xludf.DUMMYFUNCTION("""COMPUTED_VALUE"""),"YES")</f>
        <v>YES</v>
      </c>
      <c r="D92" s="49" t="str">
        <f>IFERROR(__xludf.DUMMYFUNCTION("""COMPUTED_VALUE"""),"https://drive.google.com/open?id=1pw424WE4d5xiEavcwrl6G-LpWqdViaqj")</f>
        <v>https://drive.google.com/open?id=1pw424WE4d5xiEavcwrl6G-LpWqdViaqj</v>
      </c>
      <c r="E92" s="49" t="str">
        <f>IFERROR(__xludf.DUMMYFUNCTION("""COMPUTED_VALUE"""),"https://drive.google.com/open?id=1FO2a9z8OjFKU7i3MKFuMcw3_bKj-_UMb")</f>
        <v>https://drive.google.com/open?id=1FO2a9z8OjFKU7i3MKFuMcw3_bKj-_UMb</v>
      </c>
    </row>
    <row r="93">
      <c r="A93" s="6" t="str">
        <f>IFERROR(__xludf.DUMMYFUNCTION("""COMPUTED_VALUE"""),"varad.khandekar@mitaoe.ac.in")</f>
        <v>varad.khandekar@mitaoe.ac.in</v>
      </c>
      <c r="B93" s="6" t="str">
        <f>IFERROR(__xludf.DUMMYFUNCTION("""COMPUTED_VALUE"""),"YES")</f>
        <v>YES</v>
      </c>
      <c r="C93" s="6" t="str">
        <f>IFERROR(__xludf.DUMMYFUNCTION("""COMPUTED_VALUE"""),"YES")</f>
        <v>YES</v>
      </c>
      <c r="D93" s="49" t="str">
        <f>IFERROR(__xludf.DUMMYFUNCTION("""COMPUTED_VALUE"""),"https://drive.google.com/open?id=1sJ8hoqcCO1xvscuSVDTyFUDiby4KuJbD")</f>
        <v>https://drive.google.com/open?id=1sJ8hoqcCO1xvscuSVDTyFUDiby4KuJbD</v>
      </c>
      <c r="E93" s="49" t="str">
        <f>IFERROR(__xludf.DUMMYFUNCTION("""COMPUTED_VALUE"""),"https://drive.google.com/open?id=16AH4FAnTW-67zBWMomd_zErYBCT1dwpN")</f>
        <v>https://drive.google.com/open?id=16AH4FAnTW-67zBWMomd_zErYBCT1dwpN</v>
      </c>
    </row>
    <row r="94">
      <c r="A94" s="6" t="str">
        <f>IFERROR(__xludf.DUMMYFUNCTION("""COMPUTED_VALUE"""),"ajinkya.kad@mitaoe.ac.in")</f>
        <v>ajinkya.kad@mitaoe.ac.in</v>
      </c>
      <c r="B94" s="6" t="str">
        <f>IFERROR(__xludf.DUMMYFUNCTION("""COMPUTED_VALUE"""),"YES")</f>
        <v>YES</v>
      </c>
      <c r="C94" s="6" t="str">
        <f>IFERROR(__xludf.DUMMYFUNCTION("""COMPUTED_VALUE"""),"NO")</f>
        <v>NO</v>
      </c>
      <c r="D94" s="49" t="str">
        <f>IFERROR(__xludf.DUMMYFUNCTION("""COMPUTED_VALUE"""),"https://drive.google.com/open?id=1dIU0ISIR5OM6OQ3GNlkBnVyErPky1zqA")</f>
        <v>https://drive.google.com/open?id=1dIU0ISIR5OM6OQ3GNlkBnVyErPky1zqA</v>
      </c>
      <c r="E94" s="6"/>
    </row>
    <row r="95">
      <c r="A95" s="6" t="str">
        <f>IFERROR(__xludf.DUMMYFUNCTION("""COMPUTED_VALUE"""),"aakash.rathod@mitaoe.ac.in")</f>
        <v>aakash.rathod@mitaoe.ac.in</v>
      </c>
      <c r="B95" s="6" t="str">
        <f>IFERROR(__xludf.DUMMYFUNCTION("""COMPUTED_VALUE"""),"YES")</f>
        <v>YES</v>
      </c>
      <c r="C95" s="6" t="str">
        <f>IFERROR(__xludf.DUMMYFUNCTION("""COMPUTED_VALUE"""),"YES")</f>
        <v>YES</v>
      </c>
      <c r="D95" s="49" t="str">
        <f>IFERROR(__xludf.DUMMYFUNCTION("""COMPUTED_VALUE"""),"https://drive.google.com/open?id=12ZoVeWImG4TyyPZR-WCADCsaMiAGquYV")</f>
        <v>https://drive.google.com/open?id=12ZoVeWImG4TyyPZR-WCADCsaMiAGquYV</v>
      </c>
      <c r="E95" s="49" t="str">
        <f>IFERROR(__xludf.DUMMYFUNCTION("""COMPUTED_VALUE"""),"https://drive.google.com/open?id=1sJoaYa1xBwB_aep8vOvO3SC7ZZrtkgge")</f>
        <v>https://drive.google.com/open?id=1sJoaYa1xBwB_aep8vOvO3SC7ZZrtkgge</v>
      </c>
    </row>
    <row r="96">
      <c r="A96" s="6" t="str">
        <f>IFERROR(__xludf.DUMMYFUNCTION("""COMPUTED_VALUE"""),"madhura.irlaaplle@mitaoe.ac.in")</f>
        <v>madhura.irlaaplle@mitaoe.ac.in</v>
      </c>
      <c r="B96" s="6" t="str">
        <f>IFERROR(__xludf.DUMMYFUNCTION("""COMPUTED_VALUE"""),"YES")</f>
        <v>YES</v>
      </c>
      <c r="C96" s="6" t="str">
        <f>IFERROR(__xludf.DUMMYFUNCTION("""COMPUTED_VALUE"""),"YES")</f>
        <v>YES</v>
      </c>
      <c r="D96" s="49" t="str">
        <f>IFERROR(__xludf.DUMMYFUNCTION("""COMPUTED_VALUE"""),"https://drive.google.com/open?id=17XfgOy6SMuLQ_AIekQXy7dwqrfqjhtPr")</f>
        <v>https://drive.google.com/open?id=17XfgOy6SMuLQ_AIekQXy7dwqrfqjhtPr</v>
      </c>
      <c r="E96" s="49" t="str">
        <f>IFERROR(__xludf.DUMMYFUNCTION("""COMPUTED_VALUE"""),"https://drive.google.com/open?id=179qx6c56CU5oNpFsE4scVsI_JGvXar60")</f>
        <v>https://drive.google.com/open?id=179qx6c56CU5oNpFsE4scVsI_JGvXar60</v>
      </c>
    </row>
    <row r="97">
      <c r="A97" s="6" t="str">
        <f>IFERROR(__xludf.DUMMYFUNCTION("""COMPUTED_VALUE"""),"sssakharwade@mitaoe.ac.in")</f>
        <v>sssakharwade@mitaoe.ac.in</v>
      </c>
      <c r="B97" s="6" t="str">
        <f>IFERROR(__xludf.DUMMYFUNCTION("""COMPUTED_VALUE"""),"YES")</f>
        <v>YES</v>
      </c>
      <c r="C97" s="6" t="str">
        <f>IFERROR(__xludf.DUMMYFUNCTION("""COMPUTED_VALUE"""),"YES")</f>
        <v>YES</v>
      </c>
      <c r="D97" s="49" t="str">
        <f>IFERROR(__xludf.DUMMYFUNCTION("""COMPUTED_VALUE"""),"https://drive.google.com/open?id=15W8HsNrMMNTmkwsk8fRB_DOHZbJSff2n")</f>
        <v>https://drive.google.com/open?id=15W8HsNrMMNTmkwsk8fRB_DOHZbJSff2n</v>
      </c>
      <c r="E97" s="49" t="str">
        <f>IFERROR(__xludf.DUMMYFUNCTION("""COMPUTED_VALUE"""),"https://drive.google.com/open?id=1MjXe5I7U1ZVWMTNol6Yx1wRFspCbfC-P")</f>
        <v>https://drive.google.com/open?id=1MjXe5I7U1ZVWMTNol6Yx1wRFspCbfC-P</v>
      </c>
    </row>
    <row r="98">
      <c r="A98" s="6" t="str">
        <f>IFERROR(__xludf.DUMMYFUNCTION("""COMPUTED_VALUE"""),"ymdekate@mitaoe.ac.in")</f>
        <v>ymdekate@mitaoe.ac.in</v>
      </c>
      <c r="B98" s="6" t="str">
        <f>IFERROR(__xludf.DUMMYFUNCTION("""COMPUTED_VALUE"""),"YES")</f>
        <v>YES</v>
      </c>
      <c r="C98" s="6" t="str">
        <f>IFERROR(__xludf.DUMMYFUNCTION("""COMPUTED_VALUE"""),"YES")</f>
        <v>YES</v>
      </c>
      <c r="D98" s="49" t="str">
        <f>IFERROR(__xludf.DUMMYFUNCTION("""COMPUTED_VALUE"""),"https://drive.google.com/open?id=1vMfA3dA822Rfz4hSIpTh1VOx41-ucJjh")</f>
        <v>https://drive.google.com/open?id=1vMfA3dA822Rfz4hSIpTh1VOx41-ucJjh</v>
      </c>
      <c r="E98" s="49" t="str">
        <f>IFERROR(__xludf.DUMMYFUNCTION("""COMPUTED_VALUE"""),"https://drive.google.com/open?id=1yTYaoxPZZlj9d5Sue19S3P6A22sl2mNS")</f>
        <v>https://drive.google.com/open?id=1yTYaoxPZZlj9d5Sue19S3P6A22sl2mNS</v>
      </c>
    </row>
    <row r="99">
      <c r="A99" s="6" t="str">
        <f>IFERROR(__xludf.DUMMYFUNCTION("""COMPUTED_VALUE"""),"vbraut@mitaoe.ac.in")</f>
        <v>vbraut@mitaoe.ac.in</v>
      </c>
      <c r="B99" s="6" t="str">
        <f>IFERROR(__xludf.DUMMYFUNCTION("""COMPUTED_VALUE"""),"YES")</f>
        <v>YES</v>
      </c>
      <c r="C99" s="6" t="str">
        <f>IFERROR(__xludf.DUMMYFUNCTION("""COMPUTED_VALUE"""),"NO")</f>
        <v>NO</v>
      </c>
      <c r="D99" s="49" t="str">
        <f>IFERROR(__xludf.DUMMYFUNCTION("""COMPUTED_VALUE"""),"https://drive.google.com/open?id=1wDPfNaIIMelrVxjatoigZhQmigKXuPGX")</f>
        <v>https://drive.google.com/open?id=1wDPfNaIIMelrVxjatoigZhQmigKXuPGX</v>
      </c>
      <c r="E99" s="6"/>
    </row>
    <row r="100">
      <c r="A100" s="6" t="str">
        <f>IFERROR(__xludf.DUMMYFUNCTION("""COMPUTED_VALUE"""),"spmane@mitaoe.ac.in")</f>
        <v>spmane@mitaoe.ac.in</v>
      </c>
      <c r="B100" s="6" t="str">
        <f>IFERROR(__xludf.DUMMYFUNCTION("""COMPUTED_VALUE"""),"YES")</f>
        <v>YES</v>
      </c>
      <c r="C100" s="6" t="str">
        <f>IFERROR(__xludf.DUMMYFUNCTION("""COMPUTED_VALUE"""),"NO")</f>
        <v>NO</v>
      </c>
      <c r="D100" s="49" t="str">
        <f>IFERROR(__xludf.DUMMYFUNCTION("""COMPUTED_VALUE"""),"https://drive.google.com/open?id=1mmR4K1-SWNHCdwfSsLQn-SZmseD1xaJi")</f>
        <v>https://drive.google.com/open?id=1mmR4K1-SWNHCdwfSsLQn-SZmseD1xaJi</v>
      </c>
      <c r="E100" s="6"/>
    </row>
    <row r="101">
      <c r="A101" s="6" t="str">
        <f>IFERROR(__xludf.DUMMYFUNCTION("""COMPUTED_VALUE"""),"ttjagtap@mitaoe.ac.in")</f>
        <v>ttjagtap@mitaoe.ac.in</v>
      </c>
      <c r="B101" s="6" t="str">
        <f>IFERROR(__xludf.DUMMYFUNCTION("""COMPUTED_VALUE"""),"NO")</f>
        <v>NO</v>
      </c>
      <c r="C101" s="6" t="str">
        <f>IFERROR(__xludf.DUMMYFUNCTION("""COMPUTED_VALUE"""),"NO")</f>
        <v>NO</v>
      </c>
      <c r="D101" s="6"/>
      <c r="E101" s="6"/>
    </row>
    <row r="102">
      <c r="A102" s="6" t="str">
        <f>IFERROR(__xludf.DUMMYFUNCTION("""COMPUTED_VALUE"""),"ybbhise@mitaoe.ac.in")</f>
        <v>ybbhise@mitaoe.ac.in</v>
      </c>
      <c r="B102" s="6" t="str">
        <f>IFERROR(__xludf.DUMMYFUNCTION("""COMPUTED_VALUE"""),"YES")</f>
        <v>YES</v>
      </c>
      <c r="C102" s="6" t="str">
        <f>IFERROR(__xludf.DUMMYFUNCTION("""COMPUTED_VALUE"""),"YES")</f>
        <v>YES</v>
      </c>
      <c r="D102" s="49" t="str">
        <f>IFERROR(__xludf.DUMMYFUNCTION("""COMPUTED_VALUE"""),"https://drive.google.com/open?id=1Cypk2XeEwCtL-XQCyGVAGiwgBh6DmgPd")</f>
        <v>https://drive.google.com/open?id=1Cypk2XeEwCtL-XQCyGVAGiwgBh6DmgPd</v>
      </c>
      <c r="E102" s="49" t="str">
        <f>IFERROR(__xludf.DUMMYFUNCTION("""COMPUTED_VALUE"""),"https://drive.google.com/open?id=1QtSeKHUL10VeeKngd62cR1jC2iXFSF0T")</f>
        <v>https://drive.google.com/open?id=1QtSeKHUL10VeeKngd62cR1jC2iXFSF0T</v>
      </c>
    </row>
    <row r="103">
      <c r="A103" s="6" t="str">
        <f>IFERROR(__xludf.DUMMYFUNCTION("""COMPUTED_VALUE"""),"kgmankar@mitaoe.ac.in")</f>
        <v>kgmankar@mitaoe.ac.in</v>
      </c>
      <c r="B103" s="6" t="str">
        <f>IFERROR(__xludf.DUMMYFUNCTION("""COMPUTED_VALUE"""),"YES")</f>
        <v>YES</v>
      </c>
      <c r="C103" s="6" t="str">
        <f>IFERROR(__xludf.DUMMYFUNCTION("""COMPUTED_VALUE"""),"YES")</f>
        <v>YES</v>
      </c>
      <c r="D103" s="49" t="str">
        <f>IFERROR(__xludf.DUMMYFUNCTION("""COMPUTED_VALUE"""),"https://drive.google.com/open?id=1FNTCMvxeI8zC8EV52YqGBukE0aiSTkcV")</f>
        <v>https://drive.google.com/open?id=1FNTCMvxeI8zC8EV52YqGBukE0aiSTkcV</v>
      </c>
      <c r="E103" s="49" t="str">
        <f>IFERROR(__xludf.DUMMYFUNCTION("""COMPUTED_VALUE"""),"https://drive.google.com/open?id=16D8AbRHCh1-MU6JouEjwDbqAjCOj49vR")</f>
        <v>https://drive.google.com/open?id=16D8AbRHCh1-MU6JouEjwDbqAjCOj49vR</v>
      </c>
    </row>
    <row r="104">
      <c r="A104" s="6" t="str">
        <f>IFERROR(__xludf.DUMMYFUNCTION("""COMPUTED_VALUE"""),"ttnazare@mitaoe.ac.in")</f>
        <v>ttnazare@mitaoe.ac.in</v>
      </c>
      <c r="B104" s="6" t="str">
        <f>IFERROR(__xludf.DUMMYFUNCTION("""COMPUTED_VALUE"""),"YES")</f>
        <v>YES</v>
      </c>
      <c r="C104" s="6" t="str">
        <f>IFERROR(__xludf.DUMMYFUNCTION("""COMPUTED_VALUE"""),"YES")</f>
        <v>YES</v>
      </c>
      <c r="D104" s="49" t="str">
        <f>IFERROR(__xludf.DUMMYFUNCTION("""COMPUTED_VALUE"""),"https://drive.google.com/open?id=15jgJaJq-IFQysvjXy-Iu7Nk2AgoMrpkN")</f>
        <v>https://drive.google.com/open?id=15jgJaJq-IFQysvjXy-Iu7Nk2AgoMrpkN</v>
      </c>
      <c r="E104" s="49" t="str">
        <f>IFERROR(__xludf.DUMMYFUNCTION("""COMPUTED_VALUE"""),"https://drive.google.com/open?id=1w6mFhj5TsBvnsI1NzJbZmX1leD4juVHp")</f>
        <v>https://drive.google.com/open?id=1w6mFhj5TsBvnsI1NzJbZmX1leD4juVHp</v>
      </c>
    </row>
    <row r="105">
      <c r="A105" s="6" t="str">
        <f>IFERROR(__xludf.DUMMYFUNCTION("""COMPUTED_VALUE"""),"vaishnavi.jadhav@mitaoe.ac.in")</f>
        <v>vaishnavi.jadhav@mitaoe.ac.in</v>
      </c>
      <c r="B105" s="6" t="str">
        <f>IFERROR(__xludf.DUMMYFUNCTION("""COMPUTED_VALUE"""),"YES")</f>
        <v>YES</v>
      </c>
      <c r="C105" s="6" t="str">
        <f>IFERROR(__xludf.DUMMYFUNCTION("""COMPUTED_VALUE"""),"YES")</f>
        <v>YES</v>
      </c>
      <c r="D105" s="49" t="str">
        <f>IFERROR(__xludf.DUMMYFUNCTION("""COMPUTED_VALUE"""),"https://drive.google.com/open?id=1HN0Ft9BefDjcsySQUuu5sn3F00PWX72B")</f>
        <v>https://drive.google.com/open?id=1HN0Ft9BefDjcsySQUuu5sn3F00PWX72B</v>
      </c>
      <c r="E105" s="49" t="str">
        <f>IFERROR(__xludf.DUMMYFUNCTION("""COMPUTED_VALUE"""),"https://drive.google.com/open?id=1LRmNojzl8QEMqIQsh0OfMwS3X0KEr_vv")</f>
        <v>https://drive.google.com/open?id=1LRmNojzl8QEMqIQsh0OfMwS3X0KEr_vv</v>
      </c>
    </row>
    <row r="106">
      <c r="A106" s="6" t="str">
        <f>IFERROR(__xludf.DUMMYFUNCTION("""COMPUTED_VALUE"""),"vbpatil@mitaoe.ac.in")</f>
        <v>vbpatil@mitaoe.ac.in</v>
      </c>
      <c r="B106" s="6" t="str">
        <f>IFERROR(__xludf.DUMMYFUNCTION("""COMPUTED_VALUE"""),"YES")</f>
        <v>YES</v>
      </c>
      <c r="C106" s="6" t="str">
        <f>IFERROR(__xludf.DUMMYFUNCTION("""COMPUTED_VALUE"""),"NO")</f>
        <v>NO</v>
      </c>
      <c r="D106" s="49" t="str">
        <f>IFERROR(__xludf.DUMMYFUNCTION("""COMPUTED_VALUE"""),"https://drive.google.com/open?id=1Gn3nR1spnZw0Uy-GEIe6g2CX4Nn-fJ5n")</f>
        <v>https://drive.google.com/open?id=1Gn3nR1spnZw0Uy-GEIe6g2CX4Nn-fJ5n</v>
      </c>
      <c r="E106" s="6"/>
    </row>
    <row r="107">
      <c r="A107" s="6" t="str">
        <f>IFERROR(__xludf.DUMMYFUNCTION("""COMPUTED_VALUE"""),"sikendre@mitaoe.ac.in")</f>
        <v>sikendre@mitaoe.ac.in</v>
      </c>
      <c r="B107" s="6" t="str">
        <f>IFERROR(__xludf.DUMMYFUNCTION("""COMPUTED_VALUE"""),"YES")</f>
        <v>YES</v>
      </c>
      <c r="C107" s="6" t="str">
        <f>IFERROR(__xludf.DUMMYFUNCTION("""COMPUTED_VALUE"""),"NO")</f>
        <v>NO</v>
      </c>
      <c r="D107" s="49" t="str">
        <f>IFERROR(__xludf.DUMMYFUNCTION("""COMPUTED_VALUE"""),"https://drive.google.com/open?id=1juvZnt6uvxrgfGJYAEEzWSvkaa9jTPl9")</f>
        <v>https://drive.google.com/open?id=1juvZnt6uvxrgfGJYAEEzWSvkaa9jTPl9</v>
      </c>
      <c r="E107" s="6"/>
    </row>
    <row r="108">
      <c r="A108" s="6" t="str">
        <f>IFERROR(__xludf.DUMMYFUNCTION("""COMPUTED_VALUE"""),"vskaul@mitaoe.ac.in")</f>
        <v>vskaul@mitaoe.ac.in</v>
      </c>
      <c r="B108" s="6" t="str">
        <f>IFERROR(__xludf.DUMMYFUNCTION("""COMPUTED_VALUE"""),"YES")</f>
        <v>YES</v>
      </c>
      <c r="C108" s="6" t="str">
        <f>IFERROR(__xludf.DUMMYFUNCTION("""COMPUTED_VALUE"""),"YES")</f>
        <v>YES</v>
      </c>
      <c r="D108" s="49" t="str">
        <f>IFERROR(__xludf.DUMMYFUNCTION("""COMPUTED_VALUE"""),"https://drive.google.com/open?id=1LpTACr6XKLAugBDcI7QZf1qwO1Y9V1VJ")</f>
        <v>https://drive.google.com/open?id=1LpTACr6XKLAugBDcI7QZf1qwO1Y9V1VJ</v>
      </c>
      <c r="E108" s="49" t="str">
        <f>IFERROR(__xludf.DUMMYFUNCTION("""COMPUTED_VALUE"""),"https://drive.google.com/open?id=1EdRFDI7JuRQkOL1yb_xLsFaqRYMIX-0t")</f>
        <v>https://drive.google.com/open?id=1EdRFDI7JuRQkOL1yb_xLsFaqRYMIX-0t</v>
      </c>
    </row>
    <row r="109">
      <c r="A109" s="6" t="str">
        <f>IFERROR(__xludf.DUMMYFUNCTION("""COMPUTED_VALUE"""),"nbnirvikar@mitaoe.ac.in")</f>
        <v>nbnirvikar@mitaoe.ac.in</v>
      </c>
      <c r="B109" s="6" t="str">
        <f>IFERROR(__xludf.DUMMYFUNCTION("""COMPUTED_VALUE"""),"YES")</f>
        <v>YES</v>
      </c>
      <c r="C109" s="6" t="str">
        <f>IFERROR(__xludf.DUMMYFUNCTION("""COMPUTED_VALUE"""),"YES")</f>
        <v>YES</v>
      </c>
      <c r="D109" s="49" t="str">
        <f>IFERROR(__xludf.DUMMYFUNCTION("""COMPUTED_VALUE"""),"https://drive.google.com/open?id=1sHPqkDzcZ3DalQb4Ij8prbNCoVIQDLrG")</f>
        <v>https://drive.google.com/open?id=1sHPqkDzcZ3DalQb4Ij8prbNCoVIQDLrG</v>
      </c>
      <c r="E109" s="49" t="str">
        <f>IFERROR(__xludf.DUMMYFUNCTION("""COMPUTED_VALUE"""),"https://drive.google.com/open?id=1zMgZTT7hm0YiimdxnNA-M5lXk-egMV7q")</f>
        <v>https://drive.google.com/open?id=1zMgZTT7hm0YiimdxnNA-M5lXk-egMV7q</v>
      </c>
    </row>
    <row r="110">
      <c r="A110" s="6" t="str">
        <f>IFERROR(__xludf.DUMMYFUNCTION("""COMPUTED_VALUE"""),"mbbhosale@mitaoe.ac.in")</f>
        <v>mbbhosale@mitaoe.ac.in</v>
      </c>
      <c r="B110" s="6" t="str">
        <f>IFERROR(__xludf.DUMMYFUNCTION("""COMPUTED_VALUE"""),"YES")</f>
        <v>YES</v>
      </c>
      <c r="C110" s="6" t="str">
        <f>IFERROR(__xludf.DUMMYFUNCTION("""COMPUTED_VALUE"""),"YES")</f>
        <v>YES</v>
      </c>
      <c r="D110" s="49" t="str">
        <f>IFERROR(__xludf.DUMMYFUNCTION("""COMPUTED_VALUE"""),"https://drive.google.com/open?id=1QIQ885o21EaSe4XKDeqVs_2oa0fPGInj")</f>
        <v>https://drive.google.com/open?id=1QIQ885o21EaSe4XKDeqVs_2oa0fPGInj</v>
      </c>
      <c r="E110" s="49" t="str">
        <f>IFERROR(__xludf.DUMMYFUNCTION("""COMPUTED_VALUE"""),"https://drive.google.com/open?id=1mefuVrdHL9CKQCI3HlSQiMhosaVqVSar")</f>
        <v>https://drive.google.com/open?id=1mefuVrdHL9CKQCI3HlSQiMhosaVqVSar</v>
      </c>
    </row>
    <row r="111">
      <c r="A111" s="6" t="str">
        <f>IFERROR(__xludf.DUMMYFUNCTION("""COMPUTED_VALUE"""),"pmchanne@mitaoe.ac.in")</f>
        <v>pmchanne@mitaoe.ac.in</v>
      </c>
      <c r="B111" s="6" t="str">
        <f>IFERROR(__xludf.DUMMYFUNCTION("""COMPUTED_VALUE"""),"YES")</f>
        <v>YES</v>
      </c>
      <c r="C111" s="6" t="str">
        <f>IFERROR(__xludf.DUMMYFUNCTION("""COMPUTED_VALUE"""),"YES")</f>
        <v>YES</v>
      </c>
      <c r="D111" s="49" t="str">
        <f>IFERROR(__xludf.DUMMYFUNCTION("""COMPUTED_VALUE"""),"https://drive.google.com/open?id=1rot0R40OZ3INRFXs_IGgqiXcV9Cb-iCX")</f>
        <v>https://drive.google.com/open?id=1rot0R40OZ3INRFXs_IGgqiXcV9Cb-iCX</v>
      </c>
      <c r="E111" s="49" t="str">
        <f>IFERROR(__xludf.DUMMYFUNCTION("""COMPUTED_VALUE"""),"https://drive.google.com/open?id=1JkHM2hFrv1nZXxv5iLX03PbmMRqIp1_s")</f>
        <v>https://drive.google.com/open?id=1JkHM2hFrv1nZXxv5iLX03PbmMRqIp1_s</v>
      </c>
    </row>
    <row r="112">
      <c r="A112" s="6" t="str">
        <f>IFERROR(__xludf.DUMMYFUNCTION("""COMPUTED_VALUE"""),"pprale@mitaoe.ac.in")</f>
        <v>pprale@mitaoe.ac.in</v>
      </c>
      <c r="B112" s="6" t="str">
        <f>IFERROR(__xludf.DUMMYFUNCTION("""COMPUTED_VALUE"""),"YES")</f>
        <v>YES</v>
      </c>
      <c r="C112" s="6" t="str">
        <f>IFERROR(__xludf.DUMMYFUNCTION("""COMPUTED_VALUE"""),"YES")</f>
        <v>YES</v>
      </c>
      <c r="D112" s="49" t="str">
        <f>IFERROR(__xludf.DUMMYFUNCTION("""COMPUTED_VALUE"""),"https://drive.google.com/open?id=14Y_xABcobDT4ElfPTdcF6AxYMw09ETS_")</f>
        <v>https://drive.google.com/open?id=14Y_xABcobDT4ElfPTdcF6AxYMw09ETS_</v>
      </c>
      <c r="E112" s="49" t="str">
        <f>IFERROR(__xludf.DUMMYFUNCTION("""COMPUTED_VALUE"""),"https://drive.google.com/open?id=1QgESXqggKWeszR1-fJAYrGcbfY0gaJI_")</f>
        <v>https://drive.google.com/open?id=1QgESXqggKWeszR1-fJAYrGcbfY0gaJI_</v>
      </c>
    </row>
    <row r="113">
      <c r="A113" s="6" t="str">
        <f>IFERROR(__xludf.DUMMYFUNCTION("""COMPUTED_VALUE"""),"tbjoshi@mitaoe.ac.in")</f>
        <v>tbjoshi@mitaoe.ac.in</v>
      </c>
      <c r="B113" s="6" t="str">
        <f>IFERROR(__xludf.DUMMYFUNCTION("""COMPUTED_VALUE"""),"YES")</f>
        <v>YES</v>
      </c>
      <c r="C113" s="6" t="str">
        <f>IFERROR(__xludf.DUMMYFUNCTION("""COMPUTED_VALUE"""),"YES")</f>
        <v>YES</v>
      </c>
      <c r="D113" s="49" t="str">
        <f>IFERROR(__xludf.DUMMYFUNCTION("""COMPUTED_VALUE"""),"https://drive.google.com/open?id=1pU_IXiZ4gxptqaYnBDX2O_hzEusi-YBQ")</f>
        <v>https://drive.google.com/open?id=1pU_IXiZ4gxptqaYnBDX2O_hzEusi-YBQ</v>
      </c>
      <c r="E113" s="49" t="str">
        <f>IFERROR(__xludf.DUMMYFUNCTION("""COMPUTED_VALUE"""),"https://drive.google.com/open?id=1pyc99yas5rLrR1BhUvTB993lMOY0EIka")</f>
        <v>https://drive.google.com/open?id=1pyc99yas5rLrR1BhUvTB993lMOY0EIka</v>
      </c>
    </row>
    <row r="114">
      <c r="A114" s="6" t="str">
        <f>IFERROR(__xludf.DUMMYFUNCTION("""COMPUTED_VALUE"""),"smnaik@mitaoe.ac.in")</f>
        <v>smnaik@mitaoe.ac.in</v>
      </c>
      <c r="B114" s="6" t="str">
        <f>IFERROR(__xludf.DUMMYFUNCTION("""COMPUTED_VALUE"""),"NO")</f>
        <v>NO</v>
      </c>
      <c r="C114" s="6" t="str">
        <f>IFERROR(__xludf.DUMMYFUNCTION("""COMPUTED_VALUE"""),"NO")</f>
        <v>NO</v>
      </c>
      <c r="D114" s="49" t="str">
        <f>IFERROR(__xludf.DUMMYFUNCTION("""COMPUTED_VALUE"""),"https://drive.google.com/open?id=107ui2l3j1JYTtrWD_85PHvo89uUFwmw0")</f>
        <v>https://drive.google.com/open?id=107ui2l3j1JYTtrWD_85PHvo89uUFwmw0</v>
      </c>
      <c r="E114" s="49" t="str">
        <f>IFERROR(__xludf.DUMMYFUNCTION("""COMPUTED_VALUE"""),"https://drive.google.com/open?id=1utBt0q-_xiB6bWChH4n9o9Ah6OLwDF4w")</f>
        <v>https://drive.google.com/open?id=1utBt0q-_xiB6bWChH4n9o9Ah6OLwDF4w</v>
      </c>
    </row>
    <row r="115">
      <c r="A115" s="6" t="str">
        <f>IFERROR(__xludf.DUMMYFUNCTION("""COMPUTED_VALUE"""),"ovdhamdhere@mitaoe.ac.in")</f>
        <v>ovdhamdhere@mitaoe.ac.in</v>
      </c>
      <c r="B115" s="6" t="str">
        <f>IFERROR(__xludf.DUMMYFUNCTION("""COMPUTED_VALUE"""),"YES")</f>
        <v>YES</v>
      </c>
      <c r="C115" s="6" t="str">
        <f>IFERROR(__xludf.DUMMYFUNCTION("""COMPUTED_VALUE"""),"YES")</f>
        <v>YES</v>
      </c>
      <c r="D115" s="49" t="str">
        <f>IFERROR(__xludf.DUMMYFUNCTION("""COMPUTED_VALUE"""),"https://drive.google.com/open?id=1LCm9sK0faZe7q9P8B7tF8IKAIVLaa4aW")</f>
        <v>https://drive.google.com/open?id=1LCm9sK0faZe7q9P8B7tF8IKAIVLaa4aW</v>
      </c>
      <c r="E115" s="49" t="str">
        <f>IFERROR(__xludf.DUMMYFUNCTION("""COMPUTED_VALUE"""),"https://drive.google.com/open?id=1jE1uLJR5amc5oL2iU2cjrPJBGWYfSwpZ")</f>
        <v>https://drive.google.com/open?id=1jE1uLJR5amc5oL2iU2cjrPJBGWYfSwpZ</v>
      </c>
    </row>
    <row r="116">
      <c r="A116" s="6" t="str">
        <f>IFERROR(__xludf.DUMMYFUNCTION("""COMPUTED_VALUE"""),"avbhalme@mitaoe.ac.in")</f>
        <v>avbhalme@mitaoe.ac.in</v>
      </c>
      <c r="B116" s="6" t="str">
        <f>IFERROR(__xludf.DUMMYFUNCTION("""COMPUTED_VALUE"""),"NO")</f>
        <v>NO</v>
      </c>
      <c r="C116" s="6" t="str">
        <f>IFERROR(__xludf.DUMMYFUNCTION("""COMPUTED_VALUE"""),"YES")</f>
        <v>YES</v>
      </c>
      <c r="D116" s="6"/>
      <c r="E116" s="49" t="str">
        <f>IFERROR(__xludf.DUMMYFUNCTION("""COMPUTED_VALUE"""),"https://drive.google.com/open?id=1SP4rNKk6R0GVB9dsQE80tLr1cf1vgaLr")</f>
        <v>https://drive.google.com/open?id=1SP4rNKk6R0GVB9dsQE80tLr1cf1vgaLr</v>
      </c>
    </row>
    <row r="117">
      <c r="A117" s="6" t="str">
        <f>IFERROR(__xludf.DUMMYFUNCTION("""COMPUTED_VALUE"""),"rgmundhe@mitaoe.ac.in")</f>
        <v>rgmundhe@mitaoe.ac.in</v>
      </c>
      <c r="B117" s="6" t="str">
        <f>IFERROR(__xludf.DUMMYFUNCTION("""COMPUTED_VALUE"""),"YES")</f>
        <v>YES</v>
      </c>
      <c r="C117" s="6" t="str">
        <f>IFERROR(__xludf.DUMMYFUNCTION("""COMPUTED_VALUE"""),"YES")</f>
        <v>YES</v>
      </c>
      <c r="D117" s="49" t="str">
        <f>IFERROR(__xludf.DUMMYFUNCTION("""COMPUTED_VALUE"""),"https://drive.google.com/open?id=1SDnWXOg0tdIs1-_EKWgBX8qb-a7VB7_E")</f>
        <v>https://drive.google.com/open?id=1SDnWXOg0tdIs1-_EKWgBX8qb-a7VB7_E</v>
      </c>
      <c r="E117" s="49" t="str">
        <f>IFERROR(__xludf.DUMMYFUNCTION("""COMPUTED_VALUE"""),"https://drive.google.com/open?id=1CsRh7qni_C50jBvvUB7grigZKrDKTx4U")</f>
        <v>https://drive.google.com/open?id=1CsRh7qni_C50jBvvUB7grigZKrDKTx4U</v>
      </c>
    </row>
    <row r="118">
      <c r="A118" s="6" t="str">
        <f>IFERROR(__xludf.DUMMYFUNCTION("""COMPUTED_VALUE"""),"djchaudhari@mitaoe.ac.in")</f>
        <v>djchaudhari@mitaoe.ac.in</v>
      </c>
      <c r="B118" s="6" t="str">
        <f>IFERROR(__xludf.DUMMYFUNCTION("""COMPUTED_VALUE"""),"YES")</f>
        <v>YES</v>
      </c>
      <c r="C118" s="6" t="str">
        <f>IFERROR(__xludf.DUMMYFUNCTION("""COMPUTED_VALUE"""),"YES")</f>
        <v>YES</v>
      </c>
      <c r="D118" s="49" t="str">
        <f>IFERROR(__xludf.DUMMYFUNCTION("""COMPUTED_VALUE"""),"https://drive.google.com/open?id=1jBkXRC0D-UN9qb2Hqv-iZ3EsnTyeynQp")</f>
        <v>https://drive.google.com/open?id=1jBkXRC0D-UN9qb2Hqv-iZ3EsnTyeynQp</v>
      </c>
      <c r="E118" s="49" t="str">
        <f>IFERROR(__xludf.DUMMYFUNCTION("""COMPUTED_VALUE"""),"https://drive.google.com/open?id=1f0jkywTHV6HJTCx7GWrtRFRmlR7xzNgv")</f>
        <v>https://drive.google.com/open?id=1f0jkywTHV6HJTCx7GWrtRFRmlR7xzNgv</v>
      </c>
    </row>
    <row r="119">
      <c r="A119" s="6" t="str">
        <f>IFERROR(__xludf.DUMMYFUNCTION("""COMPUTED_VALUE"""),"sonaligaikwad@mitaoe.ac.in")</f>
        <v>sonaligaikwad@mitaoe.ac.in</v>
      </c>
      <c r="B119" s="6" t="str">
        <f>IFERROR(__xludf.DUMMYFUNCTION("""COMPUTED_VALUE"""),"NO")</f>
        <v>NO</v>
      </c>
      <c r="C119" s="6" t="str">
        <f>IFERROR(__xludf.DUMMYFUNCTION("""COMPUTED_VALUE"""),"NO")</f>
        <v>NO</v>
      </c>
      <c r="D119" s="49" t="str">
        <f>IFERROR(__xludf.DUMMYFUNCTION("""COMPUTED_VALUE"""),"https://drive.google.com/open?id=13-ljAqCzIFHV_3rERAFasO53scoZR9cX")</f>
        <v>https://drive.google.com/open?id=13-ljAqCzIFHV_3rERAFasO53scoZR9cX</v>
      </c>
      <c r="E119" s="49" t="str">
        <f>IFERROR(__xludf.DUMMYFUNCTION("""COMPUTED_VALUE"""),"https://drive.google.com/open?id=1i-KzmQg1ipuBSGKjezDSO0eVSV4xH65g")</f>
        <v>https://drive.google.com/open?id=1i-KzmQg1ipuBSGKjezDSO0eVSV4xH65g</v>
      </c>
    </row>
    <row r="120">
      <c r="A120" s="6" t="str">
        <f>IFERROR(__xludf.DUMMYFUNCTION("""COMPUTED_VALUE"""),"spkanikdale@mitaoe.ac.in")</f>
        <v>spkanikdale@mitaoe.ac.in</v>
      </c>
      <c r="B120" s="6" t="str">
        <f>IFERROR(__xludf.DUMMYFUNCTION("""COMPUTED_VALUE"""),"YES")</f>
        <v>YES</v>
      </c>
      <c r="C120" s="6" t="str">
        <f>IFERROR(__xludf.DUMMYFUNCTION("""COMPUTED_VALUE"""),"YES")</f>
        <v>YES</v>
      </c>
      <c r="D120" s="49" t="str">
        <f>IFERROR(__xludf.DUMMYFUNCTION("""COMPUTED_VALUE"""),"https://drive.google.com/open?id=1thacrqmdrLeApZnMNWVlIzanGoQWQe0S")</f>
        <v>https://drive.google.com/open?id=1thacrqmdrLeApZnMNWVlIzanGoQWQe0S</v>
      </c>
      <c r="E120" s="49" t="str">
        <f>IFERROR(__xludf.DUMMYFUNCTION("""COMPUTED_VALUE"""),"https://drive.google.com/open?id=1qB4UGgjuiqke0Qw1Hk1Xy_gh1UerWopY")</f>
        <v>https://drive.google.com/open?id=1qB4UGgjuiqke0Qw1Hk1Xy_gh1UerWopY</v>
      </c>
    </row>
    <row r="121">
      <c r="A121" s="6" t="str">
        <f>IFERROR(__xludf.DUMMYFUNCTION("""COMPUTED_VALUE"""),"hssengar@mitaoe.ac.in")</f>
        <v>hssengar@mitaoe.ac.in</v>
      </c>
      <c r="B121" s="6" t="str">
        <f>IFERROR(__xludf.DUMMYFUNCTION("""COMPUTED_VALUE"""),"YES")</f>
        <v>YES</v>
      </c>
      <c r="C121" s="6" t="str">
        <f>IFERROR(__xludf.DUMMYFUNCTION("""COMPUTED_VALUE"""),"YES")</f>
        <v>YES</v>
      </c>
      <c r="D121" s="49" t="str">
        <f>IFERROR(__xludf.DUMMYFUNCTION("""COMPUTED_VALUE"""),"https://drive.google.com/open?id=1yy2v70KXKfT7dtZvWROmbpe-nUhtVupl")</f>
        <v>https://drive.google.com/open?id=1yy2v70KXKfT7dtZvWROmbpe-nUhtVupl</v>
      </c>
      <c r="E121" s="49" t="str">
        <f>IFERROR(__xludf.DUMMYFUNCTION("""COMPUTED_VALUE"""),"https://drive.google.com/open?id=1pNeCXW5TeoMvRCdGEmUTUVH0cL3Y9Na8")</f>
        <v>https://drive.google.com/open?id=1pNeCXW5TeoMvRCdGEmUTUVH0cL3Y9Na8</v>
      </c>
    </row>
    <row r="122">
      <c r="A122" s="6" t="str">
        <f>IFERROR(__xludf.DUMMYFUNCTION("""COMPUTED_VALUE"""),"risinha@mitaoe.ac.in")</f>
        <v>risinha@mitaoe.ac.in</v>
      </c>
      <c r="B122" s="6" t="str">
        <f>IFERROR(__xludf.DUMMYFUNCTION("""COMPUTED_VALUE"""),"NO")</f>
        <v>NO</v>
      </c>
      <c r="C122" s="6" t="str">
        <f>IFERROR(__xludf.DUMMYFUNCTION("""COMPUTED_VALUE"""),"NO")</f>
        <v>NO</v>
      </c>
      <c r="D122" s="6"/>
      <c r="E122" s="49" t="str">
        <f>IFERROR(__xludf.DUMMYFUNCTION("""COMPUTED_VALUE"""),"https://drive.google.com/open?id=1TOhpOJx1KCdx0QfQ_TIOQvS-OOympu8H")</f>
        <v>https://drive.google.com/open?id=1TOhpOJx1KCdx0QfQ_TIOQvS-OOympu8H</v>
      </c>
    </row>
    <row r="123">
      <c r="A123" s="6" t="str">
        <f>IFERROR(__xludf.DUMMYFUNCTION("""COMPUTED_VALUE"""),"sekadam@mitaoe.ac.in")</f>
        <v>sekadam@mitaoe.ac.in</v>
      </c>
      <c r="B123" s="6" t="str">
        <f>IFERROR(__xludf.DUMMYFUNCTION("""COMPUTED_VALUE"""),"YES")</f>
        <v>YES</v>
      </c>
      <c r="C123" s="6" t="str">
        <f>IFERROR(__xludf.DUMMYFUNCTION("""COMPUTED_VALUE"""),"YES")</f>
        <v>YES</v>
      </c>
      <c r="D123" s="49" t="str">
        <f>IFERROR(__xludf.DUMMYFUNCTION("""COMPUTED_VALUE"""),"https://drive.google.com/open?id=1hnYe3H7Numz8l-7XOXgTjwtXKzM4Hmi5")</f>
        <v>https://drive.google.com/open?id=1hnYe3H7Numz8l-7XOXgTjwtXKzM4Hmi5</v>
      </c>
      <c r="E123" s="49" t="str">
        <f>IFERROR(__xludf.DUMMYFUNCTION("""COMPUTED_VALUE"""),"https://drive.google.com/open?id=1z89E_-EejxDGjo0KszIlGijOXBNz4Nlo")</f>
        <v>https://drive.google.com/open?id=1z89E_-EejxDGjo0KszIlGijOXBNz4Nlo</v>
      </c>
    </row>
    <row r="124">
      <c r="A124" s="6" t="str">
        <f>IFERROR(__xludf.DUMMYFUNCTION("""COMPUTED_VALUE"""),"srkumar@mitaoe.ac.in")</f>
        <v>srkumar@mitaoe.ac.in</v>
      </c>
      <c r="B124" s="6" t="str">
        <f>IFERROR(__xludf.DUMMYFUNCTION("""COMPUTED_VALUE"""),"NO")</f>
        <v>NO</v>
      </c>
      <c r="C124" s="6" t="str">
        <f>IFERROR(__xludf.DUMMYFUNCTION("""COMPUTED_VALUE"""),"NO")</f>
        <v>NO</v>
      </c>
      <c r="D124" s="6"/>
      <c r="E124" s="6"/>
    </row>
    <row r="125">
      <c r="A125" s="6" t="str">
        <f>IFERROR(__xludf.DUMMYFUNCTION("""COMPUTED_VALUE"""),"agbhat@mitaoe.ac.in")</f>
        <v>agbhat@mitaoe.ac.in</v>
      </c>
      <c r="B125" s="6" t="str">
        <f>IFERROR(__xludf.DUMMYFUNCTION("""COMPUTED_VALUE"""),"YES")</f>
        <v>YES</v>
      </c>
      <c r="C125" s="6" t="str">
        <f>IFERROR(__xludf.DUMMYFUNCTION("""COMPUTED_VALUE"""),"YES")</f>
        <v>YES</v>
      </c>
      <c r="D125" s="49" t="str">
        <f>IFERROR(__xludf.DUMMYFUNCTION("""COMPUTED_VALUE"""),"https://drive.google.com/open?id=1EpV5wGRt3W3WavG9h5JS4NcN1Xz1IThk")</f>
        <v>https://drive.google.com/open?id=1EpV5wGRt3W3WavG9h5JS4NcN1Xz1IThk</v>
      </c>
      <c r="E125" s="49" t="str">
        <f>IFERROR(__xludf.DUMMYFUNCTION("""COMPUTED_VALUE"""),"https://drive.google.com/open?id=1P2SGE-3POz63MX77ZX05ZcJqPpmPJx2f")</f>
        <v>https://drive.google.com/open?id=1P2SGE-3POz63MX77ZX05ZcJqPpmPJx2f</v>
      </c>
    </row>
    <row r="126">
      <c r="A126" s="6" t="str">
        <f>IFERROR(__xludf.DUMMYFUNCTION("""COMPUTED_VALUE"""),"dusingh@mitaoe.ac.in")</f>
        <v>dusingh@mitaoe.ac.in</v>
      </c>
      <c r="B126" s="6" t="str">
        <f>IFERROR(__xludf.DUMMYFUNCTION("""COMPUTED_VALUE"""),"YES")</f>
        <v>YES</v>
      </c>
      <c r="C126" s="6" t="str">
        <f>IFERROR(__xludf.DUMMYFUNCTION("""COMPUTED_VALUE"""),"YES")</f>
        <v>YES</v>
      </c>
      <c r="D126" s="49" t="str">
        <f>IFERROR(__xludf.DUMMYFUNCTION("""COMPUTED_VALUE"""),"https://drive.google.com/open?id=1wjjhPtFwxMYOMZrH1rlnepTITCfGbzao")</f>
        <v>https://drive.google.com/open?id=1wjjhPtFwxMYOMZrH1rlnepTITCfGbzao</v>
      </c>
      <c r="E126" s="49" t="str">
        <f>IFERROR(__xludf.DUMMYFUNCTION("""COMPUTED_VALUE"""),"https://drive.google.com/open?id=1IcL6zwDRsbwNExm7P1K8_KEVeNNulUav")</f>
        <v>https://drive.google.com/open?id=1IcL6zwDRsbwNExm7P1K8_KEVeNNulUav</v>
      </c>
    </row>
    <row r="127">
      <c r="A127" s="6" t="str">
        <f>IFERROR(__xludf.DUMMYFUNCTION("""COMPUTED_VALUE"""),"trneharkar@mitaoe.ac.in")</f>
        <v>trneharkar@mitaoe.ac.in</v>
      </c>
      <c r="B127" s="6" t="str">
        <f>IFERROR(__xludf.DUMMYFUNCTION("""COMPUTED_VALUE"""),"YES")</f>
        <v>YES</v>
      </c>
      <c r="C127" s="6" t="str">
        <f>IFERROR(__xludf.DUMMYFUNCTION("""COMPUTED_VALUE"""),"YES")</f>
        <v>YES</v>
      </c>
      <c r="D127" s="49" t="str">
        <f>IFERROR(__xludf.DUMMYFUNCTION("""COMPUTED_VALUE"""),"https://drive.google.com/open?id=17j6DkdaQU0DmX3Vv8NiuJoCKA_OfWW9K")</f>
        <v>https://drive.google.com/open?id=17j6DkdaQU0DmX3Vv8NiuJoCKA_OfWW9K</v>
      </c>
      <c r="E127" s="49" t="str">
        <f>IFERROR(__xludf.DUMMYFUNCTION("""COMPUTED_VALUE"""),"https://drive.google.com/open?id=1ZDGmsKDQtOXlxnD8_EsXVC3bN5x9yxH9")</f>
        <v>https://drive.google.com/open?id=1ZDGmsKDQtOXlxnD8_EsXVC3bN5x9yxH9</v>
      </c>
    </row>
    <row r="128">
      <c r="A128" s="6" t="str">
        <f>IFERROR(__xludf.DUMMYFUNCTION("""COMPUTED_VALUE"""),"masingh@mitaoe.ac.in")</f>
        <v>masingh@mitaoe.ac.in</v>
      </c>
      <c r="B128" s="6" t="str">
        <f>IFERROR(__xludf.DUMMYFUNCTION("""COMPUTED_VALUE"""),"NO")</f>
        <v>NO</v>
      </c>
      <c r="C128" s="6" t="str">
        <f>IFERROR(__xludf.DUMMYFUNCTION("""COMPUTED_VALUE"""),"NO")</f>
        <v>NO</v>
      </c>
      <c r="D128" s="6"/>
      <c r="E128" s="6"/>
    </row>
    <row r="129">
      <c r="A129" s="6" t="str">
        <f>IFERROR(__xludf.DUMMYFUNCTION("""COMPUTED_VALUE"""),"rssahoo@mitaoe.ac.in")</f>
        <v>rssahoo@mitaoe.ac.in</v>
      </c>
      <c r="B129" s="6" t="str">
        <f>IFERROR(__xludf.DUMMYFUNCTION("""COMPUTED_VALUE"""),"YES")</f>
        <v>YES</v>
      </c>
      <c r="C129" s="6" t="str">
        <f>IFERROR(__xludf.DUMMYFUNCTION("""COMPUTED_VALUE"""),"YES")</f>
        <v>YES</v>
      </c>
      <c r="D129" s="49" t="str">
        <f>IFERROR(__xludf.DUMMYFUNCTION("""COMPUTED_VALUE"""),"https://drive.google.com/open?id=10gm1EZCmzopMZPaZoD__Bt2BRYaageVc")</f>
        <v>https://drive.google.com/open?id=10gm1EZCmzopMZPaZoD__Bt2BRYaageVc</v>
      </c>
      <c r="E129" s="49" t="str">
        <f>IFERROR(__xludf.DUMMYFUNCTION("""COMPUTED_VALUE"""),"https://drive.google.com/open?id=1f71IA10rJGhpgB1oQHf0cSr8pT3J0PsL")</f>
        <v>https://drive.google.com/open?id=1f71IA10rJGhpgB1oQHf0cSr8pT3J0PsL</v>
      </c>
    </row>
    <row r="130">
      <c r="A130" s="6" t="str">
        <f>IFERROR(__xludf.DUMMYFUNCTION("""COMPUTED_VALUE"""),"dvkomb@mitaoe.ac.in")</f>
        <v>dvkomb@mitaoe.ac.in</v>
      </c>
      <c r="B130" s="6" t="str">
        <f>IFERROR(__xludf.DUMMYFUNCTION("""COMPUTED_VALUE"""),"YES")</f>
        <v>YES</v>
      </c>
      <c r="C130" s="6" t="str">
        <f>IFERROR(__xludf.DUMMYFUNCTION("""COMPUTED_VALUE"""),"YES")</f>
        <v>YES</v>
      </c>
      <c r="D130" s="49" t="str">
        <f>IFERROR(__xludf.DUMMYFUNCTION("""COMPUTED_VALUE"""),"https://drive.google.com/open?id=1OjPH2u5oE5C2IFTEaJGC2w124bdRhvY5")</f>
        <v>https://drive.google.com/open?id=1OjPH2u5oE5C2IFTEaJGC2w124bdRhvY5</v>
      </c>
      <c r="E130" s="49" t="str">
        <f>IFERROR(__xludf.DUMMYFUNCTION("""COMPUTED_VALUE"""),"https://drive.google.com/open?id=1XXXkMigQbrACFazAWXjLRG6VcsQnEYCu")</f>
        <v>https://drive.google.com/open?id=1XXXkMigQbrACFazAWXjLRG6VcsQnEYCu</v>
      </c>
    </row>
    <row r="131">
      <c r="A131" s="6" t="str">
        <f>IFERROR(__xludf.DUMMYFUNCTION("""COMPUTED_VALUE"""),"vajadhav@mitaoe.ac.in")</f>
        <v>vajadhav@mitaoe.ac.in</v>
      </c>
      <c r="B131" s="6" t="str">
        <f>IFERROR(__xludf.DUMMYFUNCTION("""COMPUTED_VALUE"""),"YES")</f>
        <v>YES</v>
      </c>
      <c r="C131" s="6" t="str">
        <f>IFERROR(__xludf.DUMMYFUNCTION("""COMPUTED_VALUE"""),"YES")</f>
        <v>YES</v>
      </c>
      <c r="D131" s="49" t="str">
        <f>IFERROR(__xludf.DUMMYFUNCTION("""COMPUTED_VALUE"""),"https://drive.google.com/open?id=1bOj3DiQD8aRC4ZBgoFepGTD3Yy08akJS")</f>
        <v>https://drive.google.com/open?id=1bOj3DiQD8aRC4ZBgoFepGTD3Yy08akJS</v>
      </c>
      <c r="E131" s="49" t="str">
        <f>IFERROR(__xludf.DUMMYFUNCTION("""COMPUTED_VALUE"""),"https://drive.google.com/open?id=1mj2icE06liuDFuXUOOPjanxvma49YNaG")</f>
        <v>https://drive.google.com/open?id=1mj2icE06liuDFuXUOOPjanxvma49YNaG</v>
      </c>
    </row>
    <row r="132">
      <c r="A132" s="6" t="str">
        <f>IFERROR(__xludf.DUMMYFUNCTION("""COMPUTED_VALUE"""),"krbhadane@mitaoe.ac.in")</f>
        <v>krbhadane@mitaoe.ac.in</v>
      </c>
      <c r="B132" s="6" t="str">
        <f>IFERROR(__xludf.DUMMYFUNCTION("""COMPUTED_VALUE"""),"YES")</f>
        <v>YES</v>
      </c>
      <c r="C132" s="6" t="str">
        <f>IFERROR(__xludf.DUMMYFUNCTION("""COMPUTED_VALUE"""),"YES")</f>
        <v>YES</v>
      </c>
      <c r="D132" s="49" t="str">
        <f>IFERROR(__xludf.DUMMYFUNCTION("""COMPUTED_VALUE"""),"https://drive.google.com/open?id=1Ir_b17PvmLVxfS7tLYUv4azSN3bYs5qP")</f>
        <v>https://drive.google.com/open?id=1Ir_b17PvmLVxfS7tLYUv4azSN3bYs5qP</v>
      </c>
      <c r="E132" s="49" t="str">
        <f>IFERROR(__xludf.DUMMYFUNCTION("""COMPUTED_VALUE"""),"https://drive.google.com/open?id=1_VWXXFP9ye31iqC3KmIe1t9kdslP5RYn")</f>
        <v>https://drive.google.com/open?id=1_VWXXFP9ye31iqC3KmIe1t9kdslP5RYn</v>
      </c>
    </row>
    <row r="133">
      <c r="A133" s="6" t="str">
        <f>IFERROR(__xludf.DUMMYFUNCTION("""COMPUTED_VALUE"""),"acbedre@mitaoe.ac.in")</f>
        <v>acbedre@mitaoe.ac.in</v>
      </c>
      <c r="B133" s="6" t="str">
        <f>IFERROR(__xludf.DUMMYFUNCTION("""COMPUTED_VALUE"""),"YES")</f>
        <v>YES</v>
      </c>
      <c r="C133" s="6" t="str">
        <f>IFERROR(__xludf.DUMMYFUNCTION("""COMPUTED_VALUE"""),"YES")</f>
        <v>YES</v>
      </c>
      <c r="D133" s="49" t="str">
        <f>IFERROR(__xludf.DUMMYFUNCTION("""COMPUTED_VALUE"""),"https://drive.google.com/open?id=1ntTcN5jNWA_5LOgaijWPXXA0kcJa0_I5")</f>
        <v>https://drive.google.com/open?id=1ntTcN5jNWA_5LOgaijWPXXA0kcJa0_I5</v>
      </c>
      <c r="E133" s="49" t="str">
        <f>IFERROR(__xludf.DUMMYFUNCTION("""COMPUTED_VALUE"""),"https://drive.google.com/open?id=1geudoPJCQRKIbF74z6wx6AFLRn31myRJ")</f>
        <v>https://drive.google.com/open?id=1geudoPJCQRKIbF74z6wx6AFLRn31myRJ</v>
      </c>
    </row>
    <row r="134">
      <c r="A134" s="6" t="str">
        <f>IFERROR(__xludf.DUMMYFUNCTION("""COMPUTED_VALUE"""),"dmmamidwar@mitaoe.ac.in")</f>
        <v>dmmamidwar@mitaoe.ac.in</v>
      </c>
      <c r="B134" s="6" t="str">
        <f>IFERROR(__xludf.DUMMYFUNCTION("""COMPUTED_VALUE"""),"NO")</f>
        <v>NO</v>
      </c>
      <c r="C134" s="6" t="str">
        <f>IFERROR(__xludf.DUMMYFUNCTION("""COMPUTED_VALUE"""),"NO")</f>
        <v>NO</v>
      </c>
      <c r="D134" s="6"/>
      <c r="E134" s="6"/>
    </row>
    <row r="135">
      <c r="A135" s="6" t="str">
        <f>IFERROR(__xludf.DUMMYFUNCTION("""COMPUTED_VALUE"""),"acmahajan@mitaoe.ac.in")</f>
        <v>acmahajan@mitaoe.ac.in</v>
      </c>
      <c r="B135" s="6" t="str">
        <f>IFERROR(__xludf.DUMMYFUNCTION("""COMPUTED_VALUE"""),"YES")</f>
        <v>YES</v>
      </c>
      <c r="C135" s="6" t="str">
        <f>IFERROR(__xludf.DUMMYFUNCTION("""COMPUTED_VALUE"""),"YES")</f>
        <v>YES</v>
      </c>
      <c r="D135" s="49" t="str">
        <f>IFERROR(__xludf.DUMMYFUNCTION("""COMPUTED_VALUE"""),"https://drive.google.com/open?id=19AOBtl17No6qbsZQNOdDVp74LYvAi2Mr")</f>
        <v>https://drive.google.com/open?id=19AOBtl17No6qbsZQNOdDVp74LYvAi2Mr</v>
      </c>
      <c r="E135" s="49" t="str">
        <f>IFERROR(__xludf.DUMMYFUNCTION("""COMPUTED_VALUE"""),"https://drive.google.com/open?id=1cNK7Rrbz_5dFzujrcvAdJZU3uv5E64Xe")</f>
        <v>https://drive.google.com/open?id=1cNK7Rrbz_5dFzujrcvAdJZU3uv5E64Xe</v>
      </c>
    </row>
    <row r="136">
      <c r="A136" s="6" t="str">
        <f>IFERROR(__xludf.DUMMYFUNCTION("""COMPUTED_VALUE"""),"tszope@mitaoe.ac.in")</f>
        <v>tszope@mitaoe.ac.in</v>
      </c>
      <c r="B136" s="6" t="str">
        <f>IFERROR(__xludf.DUMMYFUNCTION("""COMPUTED_VALUE"""),"YES")</f>
        <v>YES</v>
      </c>
      <c r="C136" s="6" t="str">
        <f>IFERROR(__xludf.DUMMYFUNCTION("""COMPUTED_VALUE"""),"YES")</f>
        <v>YES</v>
      </c>
      <c r="D136" s="49" t="str">
        <f>IFERROR(__xludf.DUMMYFUNCTION("""COMPUTED_VALUE"""),"https://drive.google.com/open?id=1kLusJSKpW9BG9StNcZxoqYL_9C0KBPay")</f>
        <v>https://drive.google.com/open?id=1kLusJSKpW9BG9StNcZxoqYL_9C0KBPay</v>
      </c>
      <c r="E136" s="49" t="str">
        <f>IFERROR(__xludf.DUMMYFUNCTION("""COMPUTED_VALUE"""),"https://drive.google.com/open?id=13TCbtPS9GebGQZoVYKj__mAS0Bdxvi7G")</f>
        <v>https://drive.google.com/open?id=13TCbtPS9GebGQZoVYKj__mAS0Bdxvi7G</v>
      </c>
    </row>
    <row r="137">
      <c r="A137" s="6" t="str">
        <f>IFERROR(__xludf.DUMMYFUNCTION("""COMPUTED_VALUE"""),"vadawange@mitaoe.ac.in")</f>
        <v>vadawange@mitaoe.ac.in</v>
      </c>
      <c r="B137" s="6" t="str">
        <f>IFERROR(__xludf.DUMMYFUNCTION("""COMPUTED_VALUE"""),"NO")</f>
        <v>NO</v>
      </c>
      <c r="C137" s="6" t="str">
        <f>IFERROR(__xludf.DUMMYFUNCTION("""COMPUTED_VALUE"""),"NO")</f>
        <v>NO</v>
      </c>
      <c r="D137" s="6"/>
      <c r="E137" s="6"/>
    </row>
    <row r="138">
      <c r="A138" s="6" t="str">
        <f>IFERROR(__xludf.DUMMYFUNCTION("""COMPUTED_VALUE"""),"srhoude@mitaoe.ac.in")</f>
        <v>srhoude@mitaoe.ac.in</v>
      </c>
      <c r="B138" s="6" t="str">
        <f>IFERROR(__xludf.DUMMYFUNCTION("""COMPUTED_VALUE"""),"YES")</f>
        <v>YES</v>
      </c>
      <c r="C138" s="6" t="str">
        <f>IFERROR(__xludf.DUMMYFUNCTION("""COMPUTED_VALUE"""),"YES")</f>
        <v>YES</v>
      </c>
      <c r="D138" s="49" t="str">
        <f>IFERROR(__xludf.DUMMYFUNCTION("""COMPUTED_VALUE"""),"https://drive.google.com/open?id=1Um6tcnGtrHWQE41syUy5DdOm3OMGyMe2")</f>
        <v>https://drive.google.com/open?id=1Um6tcnGtrHWQE41syUy5DdOm3OMGyMe2</v>
      </c>
      <c r="E138" s="49" t="str">
        <f>IFERROR(__xludf.DUMMYFUNCTION("""COMPUTED_VALUE"""),"https://drive.google.com/open?id=1vB97LJSOF_EmrcIHU5rc2iKvzYX-4z7X")</f>
        <v>https://drive.google.com/open?id=1vB97LJSOF_EmrcIHU5rc2iKvzYX-4z7X</v>
      </c>
    </row>
    <row r="139">
      <c r="A139" s="6" t="str">
        <f>IFERROR(__xludf.DUMMYFUNCTION("""COMPUTED_VALUE"""),"shivamshinde@mitaoe.ac.in")</f>
        <v>shivamshinde@mitaoe.ac.in</v>
      </c>
      <c r="B139" s="6" t="str">
        <f>IFERROR(__xludf.DUMMYFUNCTION("""COMPUTED_VALUE"""),"YES")</f>
        <v>YES</v>
      </c>
      <c r="C139" s="6" t="str">
        <f>IFERROR(__xludf.DUMMYFUNCTION("""COMPUTED_VALUE"""),"YES")</f>
        <v>YES</v>
      </c>
      <c r="D139" s="49" t="str">
        <f>IFERROR(__xludf.DUMMYFUNCTION("""COMPUTED_VALUE"""),"https://drive.google.com/open?id=12tJTpTYrZtGmtqESZrmdd7MwZhWWQYEa")</f>
        <v>https://drive.google.com/open?id=12tJTpTYrZtGmtqESZrmdd7MwZhWWQYEa</v>
      </c>
      <c r="E139" s="49" t="str">
        <f>IFERROR(__xludf.DUMMYFUNCTION("""COMPUTED_VALUE"""),"https://drive.google.com/open?id=1Rqm4qcWgIYtO9sEEc0kwbAebfc5I4M9M")</f>
        <v>https://drive.google.com/open?id=1Rqm4qcWgIYtO9sEEc0kwbAebfc5I4M9M</v>
      </c>
    </row>
    <row r="140">
      <c r="A140" s="6" t="str">
        <f>IFERROR(__xludf.DUMMYFUNCTION("""COMPUTED_VALUE"""),"spdas@mitaoe.ac.in")</f>
        <v>spdas@mitaoe.ac.in</v>
      </c>
      <c r="B140" s="6" t="str">
        <f>IFERROR(__xludf.DUMMYFUNCTION("""COMPUTED_VALUE"""),"YES")</f>
        <v>YES</v>
      </c>
      <c r="C140" s="6" t="str">
        <f>IFERROR(__xludf.DUMMYFUNCTION("""COMPUTED_VALUE"""),"YES")</f>
        <v>YES</v>
      </c>
      <c r="D140" s="49" t="str">
        <f>IFERROR(__xludf.DUMMYFUNCTION("""COMPUTED_VALUE"""),"https://drive.google.com/open?id=1JlUsPUwwIfUirLYDhWwnd4__hgBgmsXY")</f>
        <v>https://drive.google.com/open?id=1JlUsPUwwIfUirLYDhWwnd4__hgBgmsXY</v>
      </c>
      <c r="E140" s="49" t="str">
        <f>IFERROR(__xludf.DUMMYFUNCTION("""COMPUTED_VALUE"""),"https://drive.google.com/open?id=1tRQMdP4rmmHb9G-uvczgKwKl8HqK3hW6")</f>
        <v>https://drive.google.com/open?id=1tRQMdP4rmmHb9G-uvczgKwKl8HqK3hW6</v>
      </c>
    </row>
    <row r="141">
      <c r="A141" s="6" t="str">
        <f>IFERROR(__xludf.DUMMYFUNCTION("""COMPUTED_VALUE"""),"pssingh@mitaoe.ac.in")</f>
        <v>pssingh@mitaoe.ac.in</v>
      </c>
      <c r="B141" s="6" t="str">
        <f>IFERROR(__xludf.DUMMYFUNCTION("""COMPUTED_VALUE"""),"NO")</f>
        <v>NO</v>
      </c>
      <c r="C141" s="6" t="str">
        <f>IFERROR(__xludf.DUMMYFUNCTION("""COMPUTED_VALUE"""),"NO")</f>
        <v>NO</v>
      </c>
      <c r="D141" s="6"/>
      <c r="E141" s="6"/>
    </row>
    <row r="142">
      <c r="A142" s="6" t="str">
        <f>IFERROR(__xludf.DUMMYFUNCTION("""COMPUTED_VALUE"""),"aayadav@mitaoe.ac.in")</f>
        <v>aayadav@mitaoe.ac.in</v>
      </c>
      <c r="B142" s="6" t="str">
        <f>IFERROR(__xludf.DUMMYFUNCTION("""COMPUTED_VALUE"""),"YES")</f>
        <v>YES</v>
      </c>
      <c r="C142" s="6" t="str">
        <f>IFERROR(__xludf.DUMMYFUNCTION("""COMPUTED_VALUE"""),"YES")</f>
        <v>YES</v>
      </c>
      <c r="D142" s="49" t="str">
        <f>IFERROR(__xludf.DUMMYFUNCTION("""COMPUTED_VALUE"""),"https://drive.google.com/open?id=1XlEBdkfdBCsReNuHYJj-9hbrQeCen21I")</f>
        <v>https://drive.google.com/open?id=1XlEBdkfdBCsReNuHYJj-9hbrQeCen21I</v>
      </c>
      <c r="E142" s="49" t="str">
        <f>IFERROR(__xludf.DUMMYFUNCTION("""COMPUTED_VALUE"""),"https://drive.google.com/open?id=1kgkWSLJCxQOcSD5H4YOu88vM5fGTFCdQ")</f>
        <v>https://drive.google.com/open?id=1kgkWSLJCxQOcSD5H4YOu88vM5fGTFCdQ</v>
      </c>
    </row>
    <row r="143">
      <c r="A143" s="6" t="str">
        <f>IFERROR(__xludf.DUMMYFUNCTION("""COMPUTED_VALUE"""),"cstopare@mitaoe.ac.in")</f>
        <v>cstopare@mitaoe.ac.in</v>
      </c>
      <c r="B143" s="6" t="str">
        <f>IFERROR(__xludf.DUMMYFUNCTION("""COMPUTED_VALUE"""),"YES")</f>
        <v>YES</v>
      </c>
      <c r="C143" s="6" t="str">
        <f>IFERROR(__xludf.DUMMYFUNCTION("""COMPUTED_VALUE"""),"YES")</f>
        <v>YES</v>
      </c>
      <c r="D143" s="49" t="str">
        <f>IFERROR(__xludf.DUMMYFUNCTION("""COMPUTED_VALUE"""),"https://drive.google.com/open?id=1OuedzzvdBI228wfXhczXrkvYpPjAvM3O")</f>
        <v>https://drive.google.com/open?id=1OuedzzvdBI228wfXhczXrkvYpPjAvM3O</v>
      </c>
      <c r="E143" s="49" t="str">
        <f>IFERROR(__xludf.DUMMYFUNCTION("""COMPUTED_VALUE"""),"https://drive.google.com/open?id=17IrnxSLBemfRm8DeCIvRiCvDCZEwt1m1")</f>
        <v>https://drive.google.com/open?id=17IrnxSLBemfRm8DeCIvRiCvDCZEwt1m1</v>
      </c>
    </row>
    <row r="144">
      <c r="A144" s="6" t="str">
        <f>IFERROR(__xludf.DUMMYFUNCTION("""COMPUTED_VALUE"""),"ycjaware@mitaoe.ac.in")</f>
        <v>ycjaware@mitaoe.ac.in</v>
      </c>
      <c r="B144" s="6" t="str">
        <f>IFERROR(__xludf.DUMMYFUNCTION("""COMPUTED_VALUE"""),"NO")</f>
        <v>NO</v>
      </c>
      <c r="C144" s="6" t="str">
        <f>IFERROR(__xludf.DUMMYFUNCTION("""COMPUTED_VALUE"""),"YES")</f>
        <v>YES</v>
      </c>
      <c r="D144" s="6"/>
      <c r="E144" s="49" t="str">
        <f>IFERROR(__xludf.DUMMYFUNCTION("""COMPUTED_VALUE"""),"https://drive.google.com/open?id=1DX7_lkCh5QlZi9aIlzeyzXykBl9IGCaR")</f>
        <v>https://drive.google.com/open?id=1DX7_lkCh5QlZi9aIlzeyzXykBl9IGCaR</v>
      </c>
    </row>
    <row r="145">
      <c r="A145" s="6" t="str">
        <f>IFERROR(__xludf.DUMMYFUNCTION("""COMPUTED_VALUE"""),"ysdahikar@mitaoe.ac.in")</f>
        <v>ysdahikar@mitaoe.ac.in</v>
      </c>
      <c r="B145" s="6" t="str">
        <f>IFERROR(__xludf.DUMMYFUNCTION("""COMPUTED_VALUE"""),"YES")</f>
        <v>YES</v>
      </c>
      <c r="C145" s="6" t="str">
        <f>IFERROR(__xludf.DUMMYFUNCTION("""COMPUTED_VALUE"""),"YES")</f>
        <v>YES</v>
      </c>
      <c r="D145" s="49" t="str">
        <f>IFERROR(__xludf.DUMMYFUNCTION("""COMPUTED_VALUE"""),"https://drive.google.com/open?id=1egS6VTgVObnEQtBAInfC17AaJTgLF5Dk")</f>
        <v>https://drive.google.com/open?id=1egS6VTgVObnEQtBAInfC17AaJTgLF5Dk</v>
      </c>
      <c r="E145" s="49" t="str">
        <f>IFERROR(__xludf.DUMMYFUNCTION("""COMPUTED_VALUE"""),"https://drive.google.com/open?id=1h-PhMW0b71dVVgcE73B88lWt1WAd_Nlc")</f>
        <v>https://drive.google.com/open?id=1h-PhMW0b71dVVgcE73B88lWt1WAd_Nlc</v>
      </c>
    </row>
    <row r="146">
      <c r="A146" s="6" t="str">
        <f>IFERROR(__xludf.DUMMYFUNCTION("""COMPUTED_VALUE"""),"rcpandey@mitaoe.ac.in")</f>
        <v>rcpandey@mitaoe.ac.in</v>
      </c>
      <c r="B146" s="6" t="str">
        <f>IFERROR(__xludf.DUMMYFUNCTION("""COMPUTED_VALUE"""),"YES")</f>
        <v>YES</v>
      </c>
      <c r="C146" s="6" t="str">
        <f>IFERROR(__xludf.DUMMYFUNCTION("""COMPUTED_VALUE"""),"YES")</f>
        <v>YES</v>
      </c>
      <c r="D146" s="49" t="str">
        <f>IFERROR(__xludf.DUMMYFUNCTION("""COMPUTED_VALUE"""),"https://drive.google.com/open?id=18dzjsM4CXT9VXwBIfaY_O_1Sbp_9uobG")</f>
        <v>https://drive.google.com/open?id=18dzjsM4CXT9VXwBIfaY_O_1Sbp_9uobG</v>
      </c>
      <c r="E146" s="49" t="str">
        <f>IFERROR(__xludf.DUMMYFUNCTION("""COMPUTED_VALUE"""),"https://drive.google.com/open?id=1MeZ0AI82Y3h-qfeR33jsesSRd6eDBcfI")</f>
        <v>https://drive.google.com/open?id=1MeZ0AI82Y3h-qfeR33jsesSRd6eDBcfI</v>
      </c>
    </row>
    <row r="147">
      <c r="A147" s="6" t="str">
        <f>IFERROR(__xludf.DUMMYFUNCTION("""COMPUTED_VALUE"""),"mbgadhave@mitaoe.ac.in")</f>
        <v>mbgadhave@mitaoe.ac.in</v>
      </c>
      <c r="B147" s="6" t="str">
        <f>IFERROR(__xludf.DUMMYFUNCTION("""COMPUTED_VALUE"""),"YES")</f>
        <v>YES</v>
      </c>
      <c r="C147" s="6" t="str">
        <f>IFERROR(__xludf.DUMMYFUNCTION("""COMPUTED_VALUE"""),"YES")</f>
        <v>YES</v>
      </c>
      <c r="D147" s="49" t="str">
        <f>IFERROR(__xludf.DUMMYFUNCTION("""COMPUTED_VALUE"""),"https://drive.google.com/open?id=1gZhkxkVGfZifwR8rDdK72Gc3bQ3V7aGi")</f>
        <v>https://drive.google.com/open?id=1gZhkxkVGfZifwR8rDdK72Gc3bQ3V7aGi</v>
      </c>
      <c r="E147" s="49" t="str">
        <f>IFERROR(__xludf.DUMMYFUNCTION("""COMPUTED_VALUE"""),"https://drive.google.com/open?id=1aX9taxo3TKdMnV-bDLBODvTRmAQAvFJR")</f>
        <v>https://drive.google.com/open?id=1aX9taxo3TKdMnV-bDLBODvTRmAQAvFJR</v>
      </c>
    </row>
    <row r="148">
      <c r="A148" s="6" t="str">
        <f>IFERROR(__xludf.DUMMYFUNCTION("""COMPUTED_VALUE"""),"sknangare@mitaoe.ac.in")</f>
        <v>sknangare@mitaoe.ac.in</v>
      </c>
      <c r="B148" s="6" t="str">
        <f>IFERROR(__xludf.DUMMYFUNCTION("""COMPUTED_VALUE"""),"YES")</f>
        <v>YES</v>
      </c>
      <c r="C148" s="6" t="str">
        <f>IFERROR(__xludf.DUMMYFUNCTION("""COMPUTED_VALUE"""),"YES")</f>
        <v>YES</v>
      </c>
      <c r="D148" s="49" t="str">
        <f>IFERROR(__xludf.DUMMYFUNCTION("""COMPUTED_VALUE"""),"https://drive.google.com/open?id=1y0IYNPYyGfWEJVFjaHpM-IUvEIvSx-XB")</f>
        <v>https://drive.google.com/open?id=1y0IYNPYyGfWEJVFjaHpM-IUvEIvSx-XB</v>
      </c>
      <c r="E148" s="49" t="str">
        <f>IFERROR(__xludf.DUMMYFUNCTION("""COMPUTED_VALUE"""),"https://drive.google.com/open?id=1bNuGNs8yIdIqTCSrRpSyM1W006cNd6fL")</f>
        <v>https://drive.google.com/open?id=1bNuGNs8yIdIqTCSrRpSyM1W006cNd6fL</v>
      </c>
    </row>
    <row r="149">
      <c r="A149" s="6" t="str">
        <f>IFERROR(__xludf.DUMMYFUNCTION("""COMPUTED_VALUE"""),"ajtaparia@mitaoe.ac.in")</f>
        <v>ajtaparia@mitaoe.ac.in</v>
      </c>
      <c r="B149" s="6" t="str">
        <f>IFERROR(__xludf.DUMMYFUNCTION("""COMPUTED_VALUE"""),"NO")</f>
        <v>NO</v>
      </c>
      <c r="C149" s="6" t="str">
        <f>IFERROR(__xludf.DUMMYFUNCTION("""COMPUTED_VALUE"""),"NO")</f>
        <v>NO</v>
      </c>
      <c r="D149" s="6"/>
      <c r="E149" s="6"/>
    </row>
    <row r="150">
      <c r="A150" s="6" t="str">
        <f>IFERROR(__xludf.DUMMYFUNCTION("""COMPUTED_VALUE"""),"aukharkar@mitaoe.ac.in")</f>
        <v>aukharkar@mitaoe.ac.in</v>
      </c>
      <c r="B150" s="6" t="str">
        <f>IFERROR(__xludf.DUMMYFUNCTION("""COMPUTED_VALUE"""),"YES")</f>
        <v>YES</v>
      </c>
      <c r="C150" s="6" t="str">
        <f>IFERROR(__xludf.DUMMYFUNCTION("""COMPUTED_VALUE"""),"YES")</f>
        <v>YES</v>
      </c>
      <c r="D150" s="49" t="str">
        <f>IFERROR(__xludf.DUMMYFUNCTION("""COMPUTED_VALUE"""),"https://drive.google.com/open?id=1ZIZDR3uVn_nSD_USydwg96f9kKJgkToU")</f>
        <v>https://drive.google.com/open?id=1ZIZDR3uVn_nSD_USydwg96f9kKJgkToU</v>
      </c>
      <c r="E150" s="49" t="str">
        <f>IFERROR(__xludf.DUMMYFUNCTION("""COMPUTED_VALUE"""),"https://drive.google.com/open?id=1e4poGIAb8sSJbEaR2unIyNX1LlLtBRVW")</f>
        <v>https://drive.google.com/open?id=1e4poGIAb8sSJbEaR2unIyNX1LlLtBRVW</v>
      </c>
    </row>
    <row r="151">
      <c r="A151" s="6" t="str">
        <f>IFERROR(__xludf.DUMMYFUNCTION("""COMPUTED_VALUE"""),"sbambade@mitaoe.ac.in")</f>
        <v>sbambade@mitaoe.ac.in</v>
      </c>
      <c r="B151" s="6" t="str">
        <f>IFERROR(__xludf.DUMMYFUNCTION("""COMPUTED_VALUE"""),"YES")</f>
        <v>YES</v>
      </c>
      <c r="C151" s="6" t="str">
        <f>IFERROR(__xludf.DUMMYFUNCTION("""COMPUTED_VALUE"""),"YES")</f>
        <v>YES</v>
      </c>
      <c r="D151" s="49" t="str">
        <f>IFERROR(__xludf.DUMMYFUNCTION("""COMPUTED_VALUE"""),"https://drive.google.com/open?id=1-UqA1Q_6ZxUo6Di7M0RrdIz3UMd5-fAA")</f>
        <v>https://drive.google.com/open?id=1-UqA1Q_6ZxUo6Di7M0RrdIz3UMd5-fAA</v>
      </c>
      <c r="E151" s="49" t="str">
        <f>IFERROR(__xludf.DUMMYFUNCTION("""COMPUTED_VALUE"""),"https://drive.google.com/open?id=1_LFgIPMgYuWmGvxkRnkt_QGexOx9Qzxu")</f>
        <v>https://drive.google.com/open?id=1_LFgIPMgYuWmGvxkRnkt_QGexOx9Qzxu</v>
      </c>
    </row>
    <row r="152">
      <c r="A152" s="6" t="str">
        <f>IFERROR(__xludf.DUMMYFUNCTION("""COMPUTED_VALUE"""),"sapantawane@mitaoe.ac.in")</f>
        <v>sapantawane@mitaoe.ac.in</v>
      </c>
      <c r="B152" s="6" t="str">
        <f>IFERROR(__xludf.DUMMYFUNCTION("""COMPUTED_VALUE"""),"NO")</f>
        <v>NO</v>
      </c>
      <c r="C152" s="6" t="str">
        <f>IFERROR(__xludf.DUMMYFUNCTION("""COMPUTED_VALUE"""),"NO")</f>
        <v>NO</v>
      </c>
      <c r="D152" s="6"/>
      <c r="E152" s="6"/>
    </row>
    <row r="153">
      <c r="A153" s="6" t="str">
        <f>IFERROR(__xludf.DUMMYFUNCTION("""COMPUTED_VALUE"""),"dsmahajan@mitaoe.ac.in")</f>
        <v>dsmahajan@mitaoe.ac.in</v>
      </c>
      <c r="B153" s="6" t="str">
        <f>IFERROR(__xludf.DUMMYFUNCTION("""COMPUTED_VALUE"""),"YES")</f>
        <v>YES</v>
      </c>
      <c r="C153" s="6" t="str">
        <f>IFERROR(__xludf.DUMMYFUNCTION("""COMPUTED_VALUE"""),"YES")</f>
        <v>YES</v>
      </c>
      <c r="D153" s="49" t="str">
        <f>IFERROR(__xludf.DUMMYFUNCTION("""COMPUTED_VALUE"""),"https://drive.google.com/open?id=1LEKFFVsPlEv33CaWo4Dd7dL09fp8WHz5")</f>
        <v>https://drive.google.com/open?id=1LEKFFVsPlEv33CaWo4Dd7dL09fp8WHz5</v>
      </c>
      <c r="E153" s="49" t="str">
        <f>IFERROR(__xludf.DUMMYFUNCTION("""COMPUTED_VALUE"""),"https://drive.google.com/open?id=1_FE_JxOpAUXaUTcN86kTuZL9_ic7kQEZ")</f>
        <v>https://drive.google.com/open?id=1_FE_JxOpAUXaUTcN86kTuZL9_ic7kQEZ</v>
      </c>
    </row>
    <row r="154">
      <c r="A154" s="6" t="str">
        <f>IFERROR(__xludf.DUMMYFUNCTION("""COMPUTED_VALUE"""),"ksdhote@mitaoe.ac.in")</f>
        <v>ksdhote@mitaoe.ac.in</v>
      </c>
      <c r="B154" s="6" t="str">
        <f>IFERROR(__xludf.DUMMYFUNCTION("""COMPUTED_VALUE"""),"NO")</f>
        <v>NO</v>
      </c>
      <c r="C154" s="6" t="str">
        <f>IFERROR(__xludf.DUMMYFUNCTION("""COMPUTED_VALUE"""),"YES")</f>
        <v>YES</v>
      </c>
      <c r="D154" s="6"/>
      <c r="E154" s="49" t="str">
        <f>IFERROR(__xludf.DUMMYFUNCTION("""COMPUTED_VALUE"""),"https://drive.google.com/open?id=1odvmUM-Op_11dScdJjrHr-ogVqUabSoN")</f>
        <v>https://drive.google.com/open?id=1odvmUM-Op_11dScdJjrHr-ogVqUabSoN</v>
      </c>
    </row>
    <row r="155">
      <c r="A155" s="6" t="str">
        <f>IFERROR(__xludf.DUMMYFUNCTION("""COMPUTED_VALUE"""),"nsbarkul@mitaoe.ac.in")</f>
        <v>nsbarkul@mitaoe.ac.in</v>
      </c>
      <c r="B155" s="6" t="str">
        <f>IFERROR(__xludf.DUMMYFUNCTION("""COMPUTED_VALUE"""),"YES")</f>
        <v>YES</v>
      </c>
      <c r="C155" s="6" t="str">
        <f>IFERROR(__xludf.DUMMYFUNCTION("""COMPUTED_VALUE"""),"YES")</f>
        <v>YES</v>
      </c>
      <c r="D155" s="49" t="str">
        <f>IFERROR(__xludf.DUMMYFUNCTION("""COMPUTED_VALUE"""),"https://drive.google.com/open?id=1UHJbDKD51N520aYt5vsXlh-yq3DsQ-R_")</f>
        <v>https://drive.google.com/open?id=1UHJbDKD51N520aYt5vsXlh-yq3DsQ-R_</v>
      </c>
      <c r="E155" s="49" t="str">
        <f>IFERROR(__xludf.DUMMYFUNCTION("""COMPUTED_VALUE"""),"https://drive.google.com/open?id=1x1OrEJjZL3syrchpdZh0Oez9gbN4p-Sr")</f>
        <v>https://drive.google.com/open?id=1x1OrEJjZL3syrchpdZh0Oez9gbN4p-Sr</v>
      </c>
    </row>
    <row r="156">
      <c r="A156" s="6" t="str">
        <f>IFERROR(__xludf.DUMMYFUNCTION("""COMPUTED_VALUE"""),"smitajadhav@mitaoe.ac.in")</f>
        <v>smitajadhav@mitaoe.ac.in</v>
      </c>
      <c r="B156" s="6" t="str">
        <f>IFERROR(__xludf.DUMMYFUNCTION("""COMPUTED_VALUE"""),"NO")</f>
        <v>NO</v>
      </c>
      <c r="C156" s="6" t="str">
        <f>IFERROR(__xludf.DUMMYFUNCTION("""COMPUTED_VALUE"""),"NO")</f>
        <v>NO</v>
      </c>
      <c r="D156" s="6"/>
      <c r="E156" s="6"/>
    </row>
    <row r="157">
      <c r="A157" s="6" t="str">
        <f>IFERROR(__xludf.DUMMYFUNCTION("""COMPUTED_VALUE"""),"saagrawal@mitaoe.ac.in")</f>
        <v>saagrawal@mitaoe.ac.in</v>
      </c>
      <c r="B157" s="6" t="str">
        <f>IFERROR(__xludf.DUMMYFUNCTION("""COMPUTED_VALUE"""),"NO (screenshot uploaded)")</f>
        <v>NO (screenshot uploaded)</v>
      </c>
      <c r="C157" s="6" t="str">
        <f>IFERROR(__xludf.DUMMYFUNCTION("""COMPUTED_VALUE"""),"NO (screenshot uploaded)")</f>
        <v>NO (screenshot uploaded)</v>
      </c>
      <c r="D157" s="49" t="str">
        <f>IFERROR(__xludf.DUMMYFUNCTION("""COMPUTED_VALUE"""),"https://drive.google.com/open?id=1Kr2ZDGxwzPqqea6zV-SDxfDb9qJmDoxO")</f>
        <v>https://drive.google.com/open?id=1Kr2ZDGxwzPqqea6zV-SDxfDb9qJmDoxO</v>
      </c>
      <c r="E157" s="49" t="str">
        <f>IFERROR(__xludf.DUMMYFUNCTION("""COMPUTED_VALUE"""),"https://drive.google.com/open?id=1cG3eR5ezC1Q3_ZR6fWq3jTDsfZ_zQ1-m")</f>
        <v>https://drive.google.com/open?id=1cG3eR5ezC1Q3_ZR6fWq3jTDsfZ_zQ1-m</v>
      </c>
    </row>
    <row r="158">
      <c r="A158" s="6" t="str">
        <f>IFERROR(__xludf.DUMMYFUNCTION("""COMPUTED_VALUE"""),"prpainter@mitaoe.ac.in")</f>
        <v>prpainter@mitaoe.ac.in</v>
      </c>
      <c r="B158" s="6" t="str">
        <f>IFERROR(__xludf.DUMMYFUNCTION("""COMPUTED_VALUE"""),"YES")</f>
        <v>YES</v>
      </c>
      <c r="C158" s="6" t="str">
        <f>IFERROR(__xludf.DUMMYFUNCTION("""COMPUTED_VALUE"""),"YES")</f>
        <v>YES</v>
      </c>
      <c r="D158" s="49" t="str">
        <f>IFERROR(__xludf.DUMMYFUNCTION("""COMPUTED_VALUE"""),"https://drive.google.com/open?id=1lJQO6rSTkmeXqSR3bMjP6DtL5ta-TZo4")</f>
        <v>https://drive.google.com/open?id=1lJQO6rSTkmeXqSR3bMjP6DtL5ta-TZo4</v>
      </c>
      <c r="E158" s="49" t="str">
        <f>IFERROR(__xludf.DUMMYFUNCTION("""COMPUTED_VALUE"""),"https://drive.google.com/open?id=1vPCKr-17hW7Lr8oyoNLoi2MokO9OvFrg")</f>
        <v>https://drive.google.com/open?id=1vPCKr-17hW7Lr8oyoNLoi2MokO9OvFrg</v>
      </c>
    </row>
    <row r="159">
      <c r="A159" s="6" t="str">
        <f>IFERROR(__xludf.DUMMYFUNCTION("""COMPUTED_VALUE"""),"asbarave@mitaoe.ac.in")</f>
        <v>asbarave@mitaoe.ac.in</v>
      </c>
      <c r="B159" s="6" t="str">
        <f>IFERROR(__xludf.DUMMYFUNCTION("""COMPUTED_VALUE"""),"YES")</f>
        <v>YES</v>
      </c>
      <c r="C159" s="6" t="str">
        <f>IFERROR(__xludf.DUMMYFUNCTION("""COMPUTED_VALUE"""),"YES")</f>
        <v>YES</v>
      </c>
      <c r="D159" s="49" t="str">
        <f>IFERROR(__xludf.DUMMYFUNCTION("""COMPUTED_VALUE"""),"https://drive.google.com/open?id=1KD-kplVfWkTcnddZtysR000QoTcVJTRq")</f>
        <v>https://drive.google.com/open?id=1KD-kplVfWkTcnddZtysR000QoTcVJTRq</v>
      </c>
      <c r="E159" s="49" t="str">
        <f>IFERROR(__xludf.DUMMYFUNCTION("""COMPUTED_VALUE"""),"https://drive.google.com/open?id=1hWWOojTIpmCCXR870bo_YJ_VwU813TmX")</f>
        <v>https://drive.google.com/open?id=1hWWOojTIpmCCXR870bo_YJ_VwU813TmX</v>
      </c>
    </row>
    <row r="160">
      <c r="A160" s="6" t="str">
        <f>IFERROR(__xludf.DUMMYFUNCTION("""COMPUTED_VALUE"""),"krshukla@mitaoe.ac.in")</f>
        <v>krshukla@mitaoe.ac.in</v>
      </c>
      <c r="B160" s="6" t="str">
        <f>IFERROR(__xludf.DUMMYFUNCTION("""COMPUTED_VALUE"""),"NO")</f>
        <v>NO</v>
      </c>
      <c r="C160" s="6" t="str">
        <f>IFERROR(__xludf.DUMMYFUNCTION("""COMPUTED_VALUE"""),"NO")</f>
        <v>NO</v>
      </c>
      <c r="D160" s="6"/>
      <c r="E160" s="6"/>
    </row>
    <row r="161">
      <c r="A161" s="6" t="str">
        <f>IFERROR(__xludf.DUMMYFUNCTION("""COMPUTED_VALUE"""),"sbsharma@mitaoe.ac.in")</f>
        <v>sbsharma@mitaoe.ac.in</v>
      </c>
      <c r="B161" s="6" t="str">
        <f>IFERROR(__xludf.DUMMYFUNCTION("""COMPUTED_VALUE"""),"YES")</f>
        <v>YES</v>
      </c>
      <c r="C161" s="6" t="str">
        <f>IFERROR(__xludf.DUMMYFUNCTION("""COMPUTED_VALUE"""),"YES")</f>
        <v>YES</v>
      </c>
      <c r="D161" s="49" t="str">
        <f>IFERROR(__xludf.DUMMYFUNCTION("""COMPUTED_VALUE"""),"https://drive.google.com/open?id=1zfEvDF859_FA9RQU7VNdwIfdCZPJ_woN")</f>
        <v>https://drive.google.com/open?id=1zfEvDF859_FA9RQU7VNdwIfdCZPJ_woN</v>
      </c>
      <c r="E161" s="49" t="str">
        <f>IFERROR(__xludf.DUMMYFUNCTION("""COMPUTED_VALUE"""),"https://drive.google.com/open?id=17nemReMUuw3YWIcBZhSN0jDkfElwDFDA")</f>
        <v>https://drive.google.com/open?id=17nemReMUuw3YWIcBZhSN0jDkfElwDFDA</v>
      </c>
    </row>
    <row r="162">
      <c r="A162" s="6" t="str">
        <f>IFERROR(__xludf.DUMMYFUNCTION("""COMPUTED_VALUE"""),"vsdeshpande@mitaoe.ac.in")</f>
        <v>vsdeshpande@mitaoe.ac.in</v>
      </c>
      <c r="B162" s="6" t="str">
        <f>IFERROR(__xludf.DUMMYFUNCTION("""COMPUTED_VALUE"""),"YES")</f>
        <v>YES</v>
      </c>
      <c r="C162" s="6" t="str">
        <f>IFERROR(__xludf.DUMMYFUNCTION("""COMPUTED_VALUE"""),"YES")</f>
        <v>YES</v>
      </c>
      <c r="D162" s="49" t="str">
        <f>IFERROR(__xludf.DUMMYFUNCTION("""COMPUTED_VALUE"""),"https://drive.google.com/open?id=1PH6asHSewYbGhcRev8jo0JG9tGGFklys")</f>
        <v>https://drive.google.com/open?id=1PH6asHSewYbGhcRev8jo0JG9tGGFklys</v>
      </c>
      <c r="E162" s="49" t="str">
        <f>IFERROR(__xludf.DUMMYFUNCTION("""COMPUTED_VALUE"""),"https://drive.google.com/open?id=1lxVvzqhDZc9N5UblD9bX6nwyp2ji10aH")</f>
        <v>https://drive.google.com/open?id=1lxVvzqhDZc9N5UblD9bX6nwyp2ji10aH</v>
      </c>
    </row>
    <row r="163">
      <c r="A163" s="6" t="str">
        <f>IFERROR(__xludf.DUMMYFUNCTION("""COMPUTED_VALUE"""),"amdhanwate@mitaoe.ac.in")</f>
        <v>amdhanwate@mitaoe.ac.in</v>
      </c>
      <c r="B163" s="6" t="str">
        <f>IFERROR(__xludf.DUMMYFUNCTION("""COMPUTED_VALUE"""),"YES")</f>
        <v>YES</v>
      </c>
      <c r="C163" s="6" t="str">
        <f>IFERROR(__xludf.DUMMYFUNCTION("""COMPUTED_VALUE"""),"YES")</f>
        <v>YES</v>
      </c>
      <c r="D163" s="49" t="str">
        <f>IFERROR(__xludf.DUMMYFUNCTION("""COMPUTED_VALUE"""),"https://drive.google.com/open?id=1ybqGIOTYjMLZej8NEJqDcGigSZAKtDcm")</f>
        <v>https://drive.google.com/open?id=1ybqGIOTYjMLZej8NEJqDcGigSZAKtDcm</v>
      </c>
      <c r="E163" s="49" t="str">
        <f>IFERROR(__xludf.DUMMYFUNCTION("""COMPUTED_VALUE"""),"https://drive.google.com/open?id=1v1fWYJzMn6dQuAJciSTJ5f8XK7sDls4-")</f>
        <v>https://drive.google.com/open?id=1v1fWYJzMn6dQuAJciSTJ5f8XK7sDls4-</v>
      </c>
    </row>
    <row r="164">
      <c r="A164" s="6" t="str">
        <f>IFERROR(__xludf.DUMMYFUNCTION("""COMPUTED_VALUE"""),"sasha@mitaoe.ac.in")</f>
        <v>sasha@mitaoe.ac.in</v>
      </c>
      <c r="B164" s="6" t="str">
        <f>IFERROR(__xludf.DUMMYFUNCTION("""COMPUTED_VALUE"""),"NO")</f>
        <v>NO</v>
      </c>
      <c r="C164" s="6" t="str">
        <f>IFERROR(__xludf.DUMMYFUNCTION("""COMPUTED_VALUE"""),"YES")</f>
        <v>YES</v>
      </c>
      <c r="D164" s="6"/>
      <c r="E164" s="49" t="str">
        <f>IFERROR(__xludf.DUMMYFUNCTION("""COMPUTED_VALUE"""),"https://drive.google.com/open?id=1CtburNCNrj5DYLJUg-b1Jutcic9arYnx")</f>
        <v>https://drive.google.com/open?id=1CtburNCNrj5DYLJUg-b1Jutcic9arYnx</v>
      </c>
    </row>
    <row r="165">
      <c r="A165" s="6" t="str">
        <f>IFERROR(__xludf.DUMMYFUNCTION("""COMPUTED_VALUE"""),"mggurpude@mitaoe.ac.in")</f>
        <v>mggurpude@mitaoe.ac.in</v>
      </c>
      <c r="B165" s="6" t="str">
        <f>IFERROR(__xludf.DUMMYFUNCTION("""COMPUTED_VALUE"""),"YES")</f>
        <v>YES</v>
      </c>
      <c r="C165" s="6" t="str">
        <f>IFERROR(__xludf.DUMMYFUNCTION("""COMPUTED_VALUE"""),"YES")</f>
        <v>YES</v>
      </c>
      <c r="D165" s="49" t="str">
        <f>IFERROR(__xludf.DUMMYFUNCTION("""COMPUTED_VALUE"""),"https://drive.google.com/open?id=15EIjlBMwcNwk3gWlJCFLYlZws2oSWJKn")</f>
        <v>https://drive.google.com/open?id=15EIjlBMwcNwk3gWlJCFLYlZws2oSWJKn</v>
      </c>
      <c r="E165" s="49" t="str">
        <f>IFERROR(__xludf.DUMMYFUNCTION("""COMPUTED_VALUE"""),"https://drive.google.com/open?id=1fEF01vJ2h1y4GX_P0Vck4Hr5REEP52hE")</f>
        <v>https://drive.google.com/open?id=1fEF01vJ2h1y4GX_P0Vck4Hr5REEP52hE</v>
      </c>
    </row>
    <row r="166">
      <c r="A166" s="6" t="str">
        <f>IFERROR(__xludf.DUMMYFUNCTION("""COMPUTED_VALUE"""),"sanketmahajan@mitaoe.ac.in")</f>
        <v>sanketmahajan@mitaoe.ac.in</v>
      </c>
      <c r="B166" s="6" t="str">
        <f>IFERROR(__xludf.DUMMYFUNCTION("""COMPUTED_VALUE"""),"YES")</f>
        <v>YES</v>
      </c>
      <c r="C166" s="6" t="str">
        <f>IFERROR(__xludf.DUMMYFUNCTION("""COMPUTED_VALUE"""),"YES")</f>
        <v>YES</v>
      </c>
      <c r="D166" s="49" t="str">
        <f>IFERROR(__xludf.DUMMYFUNCTION("""COMPUTED_VALUE"""),"https://drive.google.com/open?id=1EPVzzTUY4ymaySzjoHWaElfyNhgF9JK1")</f>
        <v>https://drive.google.com/open?id=1EPVzzTUY4ymaySzjoHWaElfyNhgF9JK1</v>
      </c>
      <c r="E166" s="49" t="str">
        <f>IFERROR(__xludf.DUMMYFUNCTION("""COMPUTED_VALUE"""),"https://drive.google.com/open?id=1rmy99AFBxPNHoW5yLEyX5l4FQpH3MeD6")</f>
        <v>https://drive.google.com/open?id=1rmy99AFBxPNHoW5yLEyX5l4FQpH3MeD6</v>
      </c>
    </row>
    <row r="167">
      <c r="A167" s="6" t="str">
        <f>IFERROR(__xludf.DUMMYFUNCTION("""COMPUTED_VALUE"""),"yrfulzele@mitaoe.ac.in")</f>
        <v>yrfulzele@mitaoe.ac.in</v>
      </c>
      <c r="B167" s="6" t="str">
        <f>IFERROR(__xludf.DUMMYFUNCTION("""COMPUTED_VALUE"""),"YES")</f>
        <v>YES</v>
      </c>
      <c r="C167" s="6" t="str">
        <f>IFERROR(__xludf.DUMMYFUNCTION("""COMPUTED_VALUE"""),"YES")</f>
        <v>YES</v>
      </c>
      <c r="D167" s="49" t="str">
        <f>IFERROR(__xludf.DUMMYFUNCTION("""COMPUTED_VALUE"""),"https://drive.google.com/open?id=1wl5nKZKqgZy7j92PjpqvAR9_2iw9ZPcr")</f>
        <v>https://drive.google.com/open?id=1wl5nKZKqgZy7j92PjpqvAR9_2iw9ZPcr</v>
      </c>
      <c r="E167" s="49" t="str">
        <f>IFERROR(__xludf.DUMMYFUNCTION("""COMPUTED_VALUE"""),"https://drive.google.com/open?id=1NgQlzdaKCFK7_Yva-CPFmKMvqK14aVKO")</f>
        <v>https://drive.google.com/open?id=1NgQlzdaKCFK7_Yva-CPFmKMvqK14aVKO</v>
      </c>
    </row>
    <row r="168">
      <c r="A168" s="6" t="str">
        <f>IFERROR(__xludf.DUMMYFUNCTION("""COMPUTED_VALUE"""),"rdbhasarkar@mitaoe.ac.in")</f>
        <v>rdbhasarkar@mitaoe.ac.in</v>
      </c>
      <c r="B168" s="6" t="str">
        <f>IFERROR(__xludf.DUMMYFUNCTION("""COMPUTED_VALUE"""),"YES")</f>
        <v>YES</v>
      </c>
      <c r="C168" s="6" t="str">
        <f>IFERROR(__xludf.DUMMYFUNCTION("""COMPUTED_VALUE"""),"YES")</f>
        <v>YES</v>
      </c>
      <c r="D168" s="49" t="str">
        <f>IFERROR(__xludf.DUMMYFUNCTION("""COMPUTED_VALUE"""),"https://drive.google.com/open?id=1pOMB-jURA7WaQP7_PnlDLkOVHiiLTtH8")</f>
        <v>https://drive.google.com/open?id=1pOMB-jURA7WaQP7_PnlDLkOVHiiLTtH8</v>
      </c>
      <c r="E168" s="49" t="str">
        <f>IFERROR(__xludf.DUMMYFUNCTION("""COMPUTED_VALUE"""),"https://drive.google.com/open?id=1Rt1y9iJDz4en1ju8eDionK7KXjo2HMjf")</f>
        <v>https://drive.google.com/open?id=1Rt1y9iJDz4en1ju8eDionK7KXjo2HMjf</v>
      </c>
    </row>
    <row r="169">
      <c r="A169" s="6" t="str">
        <f>IFERROR(__xludf.DUMMYFUNCTION("""COMPUTED_VALUE"""),"sfmahangade@mitaoe.ac.in")</f>
        <v>sfmahangade@mitaoe.ac.in</v>
      </c>
      <c r="B169" s="6" t="str">
        <f>IFERROR(__xludf.DUMMYFUNCTION("""COMPUTED_VALUE"""),"YES")</f>
        <v>YES</v>
      </c>
      <c r="C169" s="6" t="str">
        <f>IFERROR(__xludf.DUMMYFUNCTION("""COMPUTED_VALUE"""),"YES")</f>
        <v>YES</v>
      </c>
      <c r="D169" s="49" t="str">
        <f>IFERROR(__xludf.DUMMYFUNCTION("""COMPUTED_VALUE"""),"https://drive.google.com/open?id=1ybt_7U_EgpgNXrqi0vmUycx57piMcFYI")</f>
        <v>https://drive.google.com/open?id=1ybt_7U_EgpgNXrqi0vmUycx57piMcFYI</v>
      </c>
      <c r="E169" s="49" t="str">
        <f>IFERROR(__xludf.DUMMYFUNCTION("""COMPUTED_VALUE"""),"https://drive.google.com/open?id=1LzPWOHqvcMdQmDwnP57TQeZmnt2u3gtY")</f>
        <v>https://drive.google.com/open?id=1LzPWOHqvcMdQmDwnP57TQeZmnt2u3gtY</v>
      </c>
    </row>
    <row r="170">
      <c r="A170" s="6" t="str">
        <f>IFERROR(__xludf.DUMMYFUNCTION("""COMPUTED_VALUE"""),"pspotdukhe@mitaoe.ac.in")</f>
        <v>pspotdukhe@mitaoe.ac.in</v>
      </c>
      <c r="B170" s="6" t="str">
        <f>IFERROR(__xludf.DUMMYFUNCTION("""COMPUTED_VALUE"""),"YES")</f>
        <v>YES</v>
      </c>
      <c r="C170" s="6" t="str">
        <f>IFERROR(__xludf.DUMMYFUNCTION("""COMPUTED_VALUE"""),"YES")</f>
        <v>YES</v>
      </c>
      <c r="D170" s="49" t="str">
        <f>IFERROR(__xludf.DUMMYFUNCTION("""COMPUTED_VALUE"""),"https://drive.google.com/open?id=1tRO4QbVHNbDcV8frp3JP7HwT2FfM8oOq")</f>
        <v>https://drive.google.com/open?id=1tRO4QbVHNbDcV8frp3JP7HwT2FfM8oOq</v>
      </c>
      <c r="E170" s="49" t="str">
        <f>IFERROR(__xludf.DUMMYFUNCTION("""COMPUTED_VALUE"""),"https://drive.google.com/open?id=1YAznBikHIwxslRQEkQlEnLxHo1T7c_B7")</f>
        <v>https://drive.google.com/open?id=1YAznBikHIwxslRQEkQlEnLxHo1T7c_B7</v>
      </c>
    </row>
    <row r="171">
      <c r="A171" s="6" t="str">
        <f>IFERROR(__xludf.DUMMYFUNCTION("""COMPUTED_VALUE"""),"dasingh@mitaoe.ac.in")</f>
        <v>dasingh@mitaoe.ac.in</v>
      </c>
      <c r="B171" s="6" t="str">
        <f>IFERROR(__xludf.DUMMYFUNCTION("""COMPUTED_VALUE"""),"NO ")</f>
        <v>NO </v>
      </c>
      <c r="C171" s="6" t="str">
        <f>IFERROR(__xludf.DUMMYFUNCTION("""COMPUTED_VALUE"""),"NO")</f>
        <v>NO</v>
      </c>
      <c r="D171" s="6"/>
      <c r="E171" s="6"/>
    </row>
    <row r="172">
      <c r="A172" s="6" t="str">
        <f>IFERROR(__xludf.DUMMYFUNCTION("""COMPUTED_VALUE"""),"yashagrawal@mitaoe.ac.in")</f>
        <v>yashagrawal@mitaoe.ac.in</v>
      </c>
      <c r="B172" s="6" t="str">
        <f>IFERROR(__xludf.DUMMYFUNCTION("""COMPUTED_VALUE"""),"YES")</f>
        <v>YES</v>
      </c>
      <c r="C172" s="6" t="str">
        <f>IFERROR(__xludf.DUMMYFUNCTION("""COMPUTED_VALUE"""),"YES")</f>
        <v>YES</v>
      </c>
      <c r="D172" s="49" t="str">
        <f>IFERROR(__xludf.DUMMYFUNCTION("""COMPUTED_VALUE"""),"https://drive.google.com/open?id=1W1AED5nUKt4AQXsUEqZPpLcUIGTycSQz")</f>
        <v>https://drive.google.com/open?id=1W1AED5nUKt4AQXsUEqZPpLcUIGTycSQz</v>
      </c>
      <c r="E172" s="49" t="str">
        <f>IFERROR(__xludf.DUMMYFUNCTION("""COMPUTED_VALUE"""),"https://drive.google.com/open?id=1rv37TP8dqt5zt7euXRSi9mOzGNOWThdg")</f>
        <v>https://drive.google.com/open?id=1rv37TP8dqt5zt7euXRSi9mOzGNOWThdg</v>
      </c>
    </row>
    <row r="173">
      <c r="A173" s="6" t="str">
        <f>IFERROR(__xludf.DUMMYFUNCTION("""COMPUTED_VALUE"""),"prkatkhade@mitaoe.ac.in")</f>
        <v>prkatkhade@mitaoe.ac.in</v>
      </c>
      <c r="B173" s="6" t="str">
        <f>IFERROR(__xludf.DUMMYFUNCTION("""COMPUTED_VALUE"""),"YES")</f>
        <v>YES</v>
      </c>
      <c r="C173" s="6" t="str">
        <f>IFERROR(__xludf.DUMMYFUNCTION("""COMPUTED_VALUE"""),"YES")</f>
        <v>YES</v>
      </c>
      <c r="D173" s="49" t="str">
        <f>IFERROR(__xludf.DUMMYFUNCTION("""COMPUTED_VALUE"""),"https://drive.google.com/open?id=1K4rAcuD1VRdOURb4WojWnRBfcUBp_vFv")</f>
        <v>https://drive.google.com/open?id=1K4rAcuD1VRdOURb4WojWnRBfcUBp_vFv</v>
      </c>
      <c r="E173" s="49" t="str">
        <f>IFERROR(__xludf.DUMMYFUNCTION("""COMPUTED_VALUE"""),"https://drive.google.com/open?id=1lv2lDTgBfODvb6q0c7JJxK7EJXU8JJ-9")</f>
        <v>https://drive.google.com/open?id=1lv2lDTgBfODvb6q0c7JJxK7EJXU8JJ-9</v>
      </c>
    </row>
    <row r="174">
      <c r="A174" s="6" t="str">
        <f>IFERROR(__xludf.DUMMYFUNCTION("""COMPUTED_VALUE"""),"pdkarle@mitaoe.ac.in")</f>
        <v>pdkarle@mitaoe.ac.in</v>
      </c>
      <c r="B174" s="6" t="str">
        <f>IFERROR(__xludf.DUMMYFUNCTION("""COMPUTED_VALUE"""),"YES")</f>
        <v>YES</v>
      </c>
      <c r="C174" s="6" t="str">
        <f>IFERROR(__xludf.DUMMYFUNCTION("""COMPUTED_VALUE"""),"YES")</f>
        <v>YES</v>
      </c>
      <c r="D174" s="49" t="str">
        <f>IFERROR(__xludf.DUMMYFUNCTION("""COMPUTED_VALUE"""),"https://drive.google.com/open?id=18eYdkaGoCqlnBCPOGrLB1r5vhY2ZKWw3")</f>
        <v>https://drive.google.com/open?id=18eYdkaGoCqlnBCPOGrLB1r5vhY2ZKWw3</v>
      </c>
      <c r="E174" s="49" t="str">
        <f>IFERROR(__xludf.DUMMYFUNCTION("""COMPUTED_VALUE"""),"https://drive.google.com/open?id=1ZW3x6HdddWo6FyVbfPvyF8c-pWAczQ21")</f>
        <v>https://drive.google.com/open?id=1ZW3x6HdddWo6FyVbfPvyF8c-pWAczQ21</v>
      </c>
    </row>
    <row r="175">
      <c r="A175" s="6" t="str">
        <f>IFERROR(__xludf.DUMMYFUNCTION("""COMPUTED_VALUE"""),"agfaye@mitaoe.ac.in")</f>
        <v>agfaye@mitaoe.ac.in</v>
      </c>
      <c r="B175" s="6" t="str">
        <f>IFERROR(__xludf.DUMMYFUNCTION("""COMPUTED_VALUE"""),"YES")</f>
        <v>YES</v>
      </c>
      <c r="C175" s="6" t="str">
        <f>IFERROR(__xludf.DUMMYFUNCTION("""COMPUTED_VALUE"""),"YES")</f>
        <v>YES</v>
      </c>
      <c r="D175" s="49" t="str">
        <f>IFERROR(__xludf.DUMMYFUNCTION("""COMPUTED_VALUE"""),"https://drive.google.com/open?id=1kayOuN7SEKmRfoI5-KMMi1YoOdG0ueLH")</f>
        <v>https://drive.google.com/open?id=1kayOuN7SEKmRfoI5-KMMi1YoOdG0ueLH</v>
      </c>
      <c r="E175" s="49" t="str">
        <f>IFERROR(__xludf.DUMMYFUNCTION("""COMPUTED_VALUE"""),"https://drive.google.com/open?id=1Xt7EVRYyv3FQNNo0QB-HCTfZIVoHETx8")</f>
        <v>https://drive.google.com/open?id=1Xt7EVRYyv3FQNNo0QB-HCTfZIVoHETx8</v>
      </c>
    </row>
    <row r="176">
      <c r="A176" s="6" t="str">
        <f>IFERROR(__xludf.DUMMYFUNCTION("""COMPUTED_VALUE"""),"krchobisa@mitaoe.ac.in")</f>
        <v>krchobisa@mitaoe.ac.in</v>
      </c>
      <c r="B176" s="6" t="str">
        <f>IFERROR(__xludf.DUMMYFUNCTION("""COMPUTED_VALUE"""),"YES")</f>
        <v>YES</v>
      </c>
      <c r="C176" s="6" t="str">
        <f>IFERROR(__xludf.DUMMYFUNCTION("""COMPUTED_VALUE"""),"YES")</f>
        <v>YES</v>
      </c>
      <c r="D176" s="49" t="str">
        <f>IFERROR(__xludf.DUMMYFUNCTION("""COMPUTED_VALUE"""),"https://drive.google.com/open?id=1siBFtzzCZLKzlOXl12OQCUnkHIIiRo10")</f>
        <v>https://drive.google.com/open?id=1siBFtzzCZLKzlOXl12OQCUnkHIIiRo10</v>
      </c>
      <c r="E176" s="49" t="str">
        <f>IFERROR(__xludf.DUMMYFUNCTION("""COMPUTED_VALUE"""),"https://drive.google.com/open?id=1WflT6-3wIvfP9l9_EiG2RJ81KRekrcGr")</f>
        <v>https://drive.google.com/open?id=1WflT6-3wIvfP9l9_EiG2RJ81KRekrcGr</v>
      </c>
    </row>
    <row r="177">
      <c r="A177" s="6" t="str">
        <f>IFERROR(__xludf.DUMMYFUNCTION("""COMPUTED_VALUE"""),"sddumbre@mitaoe.ac.in")</f>
        <v>sddumbre@mitaoe.ac.in</v>
      </c>
      <c r="B177" s="6" t="str">
        <f>IFERROR(__xludf.DUMMYFUNCTION("""COMPUTED_VALUE"""),"NO")</f>
        <v>NO</v>
      </c>
      <c r="C177" s="6" t="str">
        <f>IFERROR(__xludf.DUMMYFUNCTION("""COMPUTED_VALUE"""),"YES")</f>
        <v>YES</v>
      </c>
      <c r="D177" s="6"/>
      <c r="E177" s="49" t="str">
        <f>IFERROR(__xludf.DUMMYFUNCTION("""COMPUTED_VALUE"""),"https://drive.google.com/open?id=1_mNCtfh2XIAJ1oV4cBp3yfXNX1i1C0Pq")</f>
        <v>https://drive.google.com/open?id=1_mNCtfh2XIAJ1oV4cBp3yfXNX1i1C0Pq</v>
      </c>
    </row>
    <row r="178">
      <c r="A178" s="6" t="str">
        <f>IFERROR(__xludf.DUMMYFUNCTION("""COMPUTED_VALUE"""),"pbmadhani@mitaoe.ac.in")</f>
        <v>pbmadhani@mitaoe.ac.in</v>
      </c>
      <c r="B178" s="6" t="str">
        <f>IFERROR(__xludf.DUMMYFUNCTION("""COMPUTED_VALUE"""),"YES")</f>
        <v>YES</v>
      </c>
      <c r="C178" s="6" t="str">
        <f>IFERROR(__xludf.DUMMYFUNCTION("""COMPUTED_VALUE"""),"YES")</f>
        <v>YES</v>
      </c>
      <c r="D178" s="49" t="str">
        <f>IFERROR(__xludf.DUMMYFUNCTION("""COMPUTED_VALUE"""),"https://drive.google.com/open?id=1J2rdnUBjcFEZwJm6NyXAnRnW_vycI6Zg")</f>
        <v>https://drive.google.com/open?id=1J2rdnUBjcFEZwJm6NyXAnRnW_vycI6Zg</v>
      </c>
      <c r="E178" s="49" t="str">
        <f>IFERROR(__xludf.DUMMYFUNCTION("""COMPUTED_VALUE"""),"https://drive.google.com/open?id=1Yfv5Hp7usRHMYHYAZsgbctHjkGYqFis5")</f>
        <v>https://drive.google.com/open?id=1Yfv5Hp7usRHMYHYAZsgbctHjkGYqFis5</v>
      </c>
    </row>
    <row r="179">
      <c r="A179" s="6" t="str">
        <f>IFERROR(__xludf.DUMMYFUNCTION("""COMPUTED_VALUE"""),"arkshirsagar@mitaoe.ac.in")</f>
        <v>arkshirsagar@mitaoe.ac.in</v>
      </c>
      <c r="B179" s="6" t="str">
        <f>IFERROR(__xludf.DUMMYFUNCTION("""COMPUTED_VALUE"""),"YES")</f>
        <v>YES</v>
      </c>
      <c r="C179" s="6" t="str">
        <f>IFERROR(__xludf.DUMMYFUNCTION("""COMPUTED_VALUE"""),"YES")</f>
        <v>YES</v>
      </c>
      <c r="D179" s="49" t="str">
        <f>IFERROR(__xludf.DUMMYFUNCTION("""COMPUTED_VALUE"""),"https://drive.google.com/open?id=10KWV5gwAAbISVeVM-Dz-gljVrDRWZvL1")</f>
        <v>https://drive.google.com/open?id=10KWV5gwAAbISVeVM-Dz-gljVrDRWZvL1</v>
      </c>
      <c r="E179" s="49" t="str">
        <f>IFERROR(__xludf.DUMMYFUNCTION("""COMPUTED_VALUE"""),"https://drive.google.com/open?id=1UsUj_YvAKbu2G1zU1ynC8APi9SMr6U9C")</f>
        <v>https://drive.google.com/open?id=1UsUj_YvAKbu2G1zU1ynC8APi9SMr6U9C</v>
      </c>
    </row>
    <row r="180">
      <c r="A180" s="6" t="str">
        <f>IFERROR(__xludf.DUMMYFUNCTION("""COMPUTED_VALUE"""),"vrdeshmukh@mitaoe.ac.in")</f>
        <v>vrdeshmukh@mitaoe.ac.in</v>
      </c>
      <c r="B180" s="6" t="str">
        <f>IFERROR(__xludf.DUMMYFUNCTION("""COMPUTED_VALUE"""),"YES")</f>
        <v>YES</v>
      </c>
      <c r="C180" s="6" t="str">
        <f>IFERROR(__xludf.DUMMYFUNCTION("""COMPUTED_VALUE"""),"YES")</f>
        <v>YES</v>
      </c>
      <c r="D180" s="49" t="str">
        <f>IFERROR(__xludf.DUMMYFUNCTION("""COMPUTED_VALUE"""),"https://drive.google.com/open?id=1qqBfm61A2IFOGQUiFE-IAtB93W0Eo9Nx")</f>
        <v>https://drive.google.com/open?id=1qqBfm61A2IFOGQUiFE-IAtB93W0Eo9Nx</v>
      </c>
      <c r="E180" s="49" t="str">
        <f>IFERROR(__xludf.DUMMYFUNCTION("""COMPUTED_VALUE"""),"https://drive.google.com/open?id=1y-4WIT1pqYr9jbEtNzAYgjP8315M-Q8A")</f>
        <v>https://drive.google.com/open?id=1y-4WIT1pqYr9jbEtNzAYgjP8315M-Q8A</v>
      </c>
    </row>
    <row r="181">
      <c r="A181" s="6" t="str">
        <f>IFERROR(__xludf.DUMMYFUNCTION("""COMPUTED_VALUE"""),"vlyadav@mitaoe.ac.in")</f>
        <v>vlyadav@mitaoe.ac.in</v>
      </c>
      <c r="B181" s="6" t="str">
        <f>IFERROR(__xludf.DUMMYFUNCTION("""COMPUTED_VALUE"""),"YES")</f>
        <v>YES</v>
      </c>
      <c r="C181" s="6" t="str">
        <f>IFERROR(__xludf.DUMMYFUNCTION("""COMPUTED_VALUE"""),"YES")</f>
        <v>YES</v>
      </c>
      <c r="D181" s="49" t="str">
        <f>IFERROR(__xludf.DUMMYFUNCTION("""COMPUTED_VALUE"""),"https://drive.google.com/open?id=1MmwJ4hjpaiUMrEsdrpws-daAtZzarHY1")</f>
        <v>https://drive.google.com/open?id=1MmwJ4hjpaiUMrEsdrpws-daAtZzarHY1</v>
      </c>
      <c r="E181" s="49" t="str">
        <f>IFERROR(__xludf.DUMMYFUNCTION("""COMPUTED_VALUE"""),"https://drive.google.com/open?id=1ipSJ7JCeb9SssDlr0KJjIDs3nh3sJsK2")</f>
        <v>https://drive.google.com/open?id=1ipSJ7JCeb9SssDlr0KJjIDs3nh3sJsK2</v>
      </c>
    </row>
    <row r="182">
      <c r="A182" s="6" t="str">
        <f>IFERROR(__xludf.DUMMYFUNCTION("""COMPUTED_VALUE"""),"krshelar@mitaoe.ac.in")</f>
        <v>krshelar@mitaoe.ac.in</v>
      </c>
      <c r="B182" s="6" t="str">
        <f>IFERROR(__xludf.DUMMYFUNCTION("""COMPUTED_VALUE"""),"YES")</f>
        <v>YES</v>
      </c>
      <c r="C182" s="6" t="str">
        <f>IFERROR(__xludf.DUMMYFUNCTION("""COMPUTED_VALUE"""),"YES")</f>
        <v>YES</v>
      </c>
      <c r="D182" s="49" t="str">
        <f>IFERROR(__xludf.DUMMYFUNCTION("""COMPUTED_VALUE"""),"https://drive.google.com/open?id=16MdlCSIQe7Vfp0FqMit2QInUNp_SFNQn")</f>
        <v>https://drive.google.com/open?id=16MdlCSIQe7Vfp0FqMit2QInUNp_SFNQn</v>
      </c>
      <c r="E182" s="49" t="str">
        <f>IFERROR(__xludf.DUMMYFUNCTION("""COMPUTED_VALUE"""),"https://drive.google.com/open?id=1SCvjiKLex4iwDDNXqKwypN574wKpEPru")</f>
        <v>https://drive.google.com/open?id=1SCvjiKLex4iwDDNXqKwypN574wKpEPru</v>
      </c>
    </row>
    <row r="183">
      <c r="A183" s="6" t="str">
        <f>IFERROR(__xludf.DUMMYFUNCTION("""COMPUTED_VALUE"""),"adkhonde@mitaoe.ac.in")</f>
        <v>adkhonde@mitaoe.ac.in</v>
      </c>
      <c r="B183" s="6" t="str">
        <f>IFERROR(__xludf.DUMMYFUNCTION("""COMPUTED_VALUE"""),"NO")</f>
        <v>NO</v>
      </c>
      <c r="C183" s="6" t="str">
        <f>IFERROR(__xludf.DUMMYFUNCTION("""COMPUTED_VALUE"""),"NO")</f>
        <v>NO</v>
      </c>
      <c r="D183" s="6"/>
      <c r="E183" s="6"/>
    </row>
    <row r="184">
      <c r="A184" s="6" t="str">
        <f>IFERROR(__xludf.DUMMYFUNCTION("""COMPUTED_VALUE"""),"mjena@mitaoe.ac.in")</f>
        <v>mjena@mitaoe.ac.in</v>
      </c>
      <c r="B184" s="6" t="str">
        <f>IFERROR(__xludf.DUMMYFUNCTION("""COMPUTED_VALUE"""),"YES")</f>
        <v>YES</v>
      </c>
      <c r="C184" s="6" t="str">
        <f>IFERROR(__xludf.DUMMYFUNCTION("""COMPUTED_VALUE"""),"YES")</f>
        <v>YES</v>
      </c>
      <c r="D184" s="49" t="str">
        <f>IFERROR(__xludf.DUMMYFUNCTION("""COMPUTED_VALUE"""),"https://drive.google.com/open?id=1JnmDFAzA5hYbXM78VYBbtznFhTvIZrdi")</f>
        <v>https://drive.google.com/open?id=1JnmDFAzA5hYbXM78VYBbtznFhTvIZrdi</v>
      </c>
      <c r="E184" s="49" t="str">
        <f>IFERROR(__xludf.DUMMYFUNCTION("""COMPUTED_VALUE"""),"https://drive.google.com/open?id=1gtnSFbse3dBqXhckiJMY8OpQLJ-Z5NyV")</f>
        <v>https://drive.google.com/open?id=1gtnSFbse3dBqXhckiJMY8OpQLJ-Z5NyV</v>
      </c>
    </row>
    <row r="185">
      <c r="A185" s="6" t="str">
        <f>IFERROR(__xludf.DUMMYFUNCTION("""COMPUTED_VALUE"""),"spwadode@mitaoe.ac.in")</f>
        <v>spwadode@mitaoe.ac.in</v>
      </c>
      <c r="B185" s="6" t="str">
        <f>IFERROR(__xludf.DUMMYFUNCTION("""COMPUTED_VALUE"""),"YES")</f>
        <v>YES</v>
      </c>
      <c r="C185" s="6" t="str">
        <f>IFERROR(__xludf.DUMMYFUNCTION("""COMPUTED_VALUE"""),"YES")</f>
        <v>YES</v>
      </c>
      <c r="D185" s="49" t="str">
        <f>IFERROR(__xludf.DUMMYFUNCTION("""COMPUTED_VALUE"""),"https://drive.google.com/open?id=1sswfNp4_JraVVVcJhpRz9jbfibCMvGot")</f>
        <v>https://drive.google.com/open?id=1sswfNp4_JraVVVcJhpRz9jbfibCMvGot</v>
      </c>
      <c r="E185" s="49" t="str">
        <f>IFERROR(__xludf.DUMMYFUNCTION("""COMPUTED_VALUE"""),"https://drive.google.com/open?id=1wRQ3LrrH2fcAFBCxceMmfRjgCQF5xmMf")</f>
        <v>https://drive.google.com/open?id=1wRQ3LrrH2fcAFBCxceMmfRjgCQF5xmMf</v>
      </c>
    </row>
    <row r="186">
      <c r="A186" s="6" t="str">
        <f>IFERROR(__xludf.DUMMYFUNCTION("""COMPUTED_VALUE"""),"abkhemani@mitaoe.ac.in")</f>
        <v>abkhemani@mitaoe.ac.in</v>
      </c>
      <c r="B186" s="6" t="str">
        <f>IFERROR(__xludf.DUMMYFUNCTION("""COMPUTED_VALUE"""),"NO")</f>
        <v>NO</v>
      </c>
      <c r="C186" s="6" t="str">
        <f>IFERROR(__xludf.DUMMYFUNCTION("""COMPUTED_VALUE"""),"NO")</f>
        <v>NO</v>
      </c>
      <c r="D186" s="49" t="str">
        <f>IFERROR(__xludf.DUMMYFUNCTION("""COMPUTED_VALUE"""),"https://drive.google.com/open?id=1hP1dqIBDCnLqkVjn2eQfmI5NqAPbNmIl")</f>
        <v>https://drive.google.com/open?id=1hP1dqIBDCnLqkVjn2eQfmI5NqAPbNmIl</v>
      </c>
      <c r="E186" s="49" t="str">
        <f>IFERROR(__xludf.DUMMYFUNCTION("""COMPUTED_VALUE"""),"https://drive.google.com/open?id=1QD6iVvfLcn_LY9Iq78jkWqwLw64dV6pC")</f>
        <v>https://drive.google.com/open?id=1QD6iVvfLcn_LY9Iq78jkWqwLw64dV6pC</v>
      </c>
    </row>
    <row r="187">
      <c r="A187" s="6" t="str">
        <f>IFERROR(__xludf.DUMMYFUNCTION("""COMPUTED_VALUE"""),"chirayushah@mitaoe.ac.in")</f>
        <v>chirayushah@mitaoe.ac.in</v>
      </c>
      <c r="B187" s="6" t="str">
        <f>IFERROR(__xludf.DUMMYFUNCTION("""COMPUTED_VALUE"""),"NO")</f>
        <v>NO</v>
      </c>
      <c r="C187" s="6" t="str">
        <f>IFERROR(__xludf.DUMMYFUNCTION("""COMPUTED_VALUE"""),"NO")</f>
        <v>NO</v>
      </c>
      <c r="D187" s="6"/>
      <c r="E187" s="6"/>
    </row>
    <row r="188">
      <c r="A188" s="6" t="str">
        <f>IFERROR(__xludf.DUMMYFUNCTION("""COMPUTED_VALUE"""),"shwetalidesai@mitaoe.ac.in")</f>
        <v>shwetalidesai@mitaoe.ac.in</v>
      </c>
      <c r="B188" s="6" t="str">
        <f>IFERROR(__xludf.DUMMYFUNCTION("""COMPUTED_VALUE"""),"NO")</f>
        <v>NO</v>
      </c>
      <c r="C188" s="6" t="str">
        <f>IFERROR(__xludf.DUMMYFUNCTION("""COMPUTED_VALUE"""),"NO")</f>
        <v>NO</v>
      </c>
      <c r="D188" s="6"/>
      <c r="E188" s="6"/>
    </row>
    <row r="189">
      <c r="A189" s="6" t="str">
        <f>IFERROR(__xludf.DUMMYFUNCTION("""COMPUTED_VALUE"""),"asbarve@mitaoe.ac.in")</f>
        <v>asbarve@mitaoe.ac.in</v>
      </c>
      <c r="B189" s="6" t="str">
        <f>IFERROR(__xludf.DUMMYFUNCTION("""COMPUTED_VALUE"""),"YES")</f>
        <v>YES</v>
      </c>
      <c r="C189" s="6" t="str">
        <f>IFERROR(__xludf.DUMMYFUNCTION("""COMPUTED_VALUE"""),"YES")</f>
        <v>YES</v>
      </c>
      <c r="D189" s="49" t="str">
        <f>IFERROR(__xludf.DUMMYFUNCTION("""COMPUTED_VALUE"""),"https://drive.google.com/open?id=1t2O05Q_WdwrVkUf97vicx0rGL0IE3ozj")</f>
        <v>https://drive.google.com/open?id=1t2O05Q_WdwrVkUf97vicx0rGL0IE3ozj</v>
      </c>
      <c r="E189" s="49" t="str">
        <f>IFERROR(__xludf.DUMMYFUNCTION("""COMPUTED_VALUE"""),"https://drive.google.com/open?id=1frqdhClM84pvW9cQUuS-LY1F_J3fDnDP")</f>
        <v>https://drive.google.com/open?id=1frqdhClM84pvW9cQUuS-LY1F_J3fDnDP</v>
      </c>
    </row>
    <row r="190">
      <c r="A190" s="6" t="str">
        <f>IFERROR(__xludf.DUMMYFUNCTION("""COMPUTED_VALUE"""),"asborkar@mitaoe.ac.in")</f>
        <v>asborkar@mitaoe.ac.in</v>
      </c>
      <c r="B190" s="6" t="str">
        <f>IFERROR(__xludf.DUMMYFUNCTION("""COMPUTED_VALUE"""),"NO")</f>
        <v>NO</v>
      </c>
      <c r="C190" s="6" t="str">
        <f>IFERROR(__xludf.DUMMYFUNCTION("""COMPUTED_VALUE"""),"NO")</f>
        <v>NO</v>
      </c>
      <c r="D190" s="6"/>
      <c r="E190" s="6"/>
    </row>
    <row r="191">
      <c r="A191" s="6" t="str">
        <f>IFERROR(__xludf.DUMMYFUNCTION("""COMPUTED_VALUE"""),"mmanohar@mitaoe.ac.in")</f>
        <v>mmanohar@mitaoe.ac.in</v>
      </c>
      <c r="B191" s="6" t="str">
        <f>IFERROR(__xludf.DUMMYFUNCTION("""COMPUTED_VALUE"""),"YES")</f>
        <v>YES</v>
      </c>
      <c r="C191" s="6" t="str">
        <f>IFERROR(__xludf.DUMMYFUNCTION("""COMPUTED_VALUE"""),"YES")</f>
        <v>YES</v>
      </c>
      <c r="D191" s="49" t="str">
        <f>IFERROR(__xludf.DUMMYFUNCTION("""COMPUTED_VALUE"""),"https://drive.google.com/open?id=1W5ZvQoI0FXQp_BHCUVg4HFAt61M8MD2a")</f>
        <v>https://drive.google.com/open?id=1W5ZvQoI0FXQp_BHCUVg4HFAt61M8MD2a</v>
      </c>
      <c r="E191" s="49" t="str">
        <f>IFERROR(__xludf.DUMMYFUNCTION("""COMPUTED_VALUE"""),"https://drive.google.com/open?id=1KljhuOYjnrJwTyaKGNUPt3JX2d2rpJip")</f>
        <v>https://drive.google.com/open?id=1KljhuOYjnrJwTyaKGNUPt3JX2d2rpJip</v>
      </c>
    </row>
    <row r="192">
      <c r="A192" s="6" t="str">
        <f>IFERROR(__xludf.DUMMYFUNCTION("""COMPUTED_VALUE"""),"aakashyap@mitaoe.ac.in")</f>
        <v>aakashyap@mitaoe.ac.in</v>
      </c>
      <c r="B192" s="6" t="str">
        <f>IFERROR(__xludf.DUMMYFUNCTION("""COMPUTED_VALUE"""),"NO")</f>
        <v>NO</v>
      </c>
      <c r="C192" s="6" t="str">
        <f>IFERROR(__xludf.DUMMYFUNCTION("""COMPUTED_VALUE"""),"NO")</f>
        <v>NO</v>
      </c>
      <c r="D192" s="6"/>
      <c r="E192" s="6"/>
    </row>
    <row r="193">
      <c r="A193" s="6" t="str">
        <f>IFERROR(__xludf.DUMMYFUNCTION("""COMPUTED_VALUE"""),"sapareek@mitaoe.ac.in")</f>
        <v>sapareek@mitaoe.ac.in</v>
      </c>
      <c r="B193" s="6" t="str">
        <f>IFERROR(__xludf.DUMMYFUNCTION("""COMPUTED_VALUE"""),"YES")</f>
        <v>YES</v>
      </c>
      <c r="C193" s="6" t="str">
        <f>IFERROR(__xludf.DUMMYFUNCTION("""COMPUTED_VALUE"""),"YES")</f>
        <v>YES</v>
      </c>
      <c r="D193" s="49" t="str">
        <f>IFERROR(__xludf.DUMMYFUNCTION("""COMPUTED_VALUE"""),"https://drive.google.com/open?id=1p5EIW8t9rEyJAvqb2dxVhoH3bf3uQ-Lf")</f>
        <v>https://drive.google.com/open?id=1p5EIW8t9rEyJAvqb2dxVhoH3bf3uQ-Lf</v>
      </c>
      <c r="E193" s="49" t="str">
        <f>IFERROR(__xludf.DUMMYFUNCTION("""COMPUTED_VALUE"""),"https://drive.google.com/open?id=1bj87W3TOuF4IPJv1kQNlKiRLqSjqNjCN")</f>
        <v>https://drive.google.com/open?id=1bj87W3TOuF4IPJv1kQNlKiRLqSjqNjCN</v>
      </c>
    </row>
    <row r="194">
      <c r="A194" s="6" t="str">
        <f>IFERROR(__xludf.DUMMYFUNCTION("""COMPUTED_VALUE"""),"kumaraditya@mitaoe.ac.in")</f>
        <v>kumaraditya@mitaoe.ac.in</v>
      </c>
      <c r="B194" s="6" t="str">
        <f>IFERROR(__xludf.DUMMYFUNCTION("""COMPUTED_VALUE"""),"YES")</f>
        <v>YES</v>
      </c>
      <c r="C194" s="6" t="str">
        <f>IFERROR(__xludf.DUMMYFUNCTION("""COMPUTED_VALUE"""),"YES")</f>
        <v>YES</v>
      </c>
      <c r="D194" s="49" t="str">
        <f>IFERROR(__xludf.DUMMYFUNCTION("""COMPUTED_VALUE"""),"https://drive.google.com/open?id=1DvM3c7cvttJ8arGI5IWFqixxFcmRpbZ7")</f>
        <v>https://drive.google.com/open?id=1DvM3c7cvttJ8arGI5IWFqixxFcmRpbZ7</v>
      </c>
      <c r="E194" s="49" t="str">
        <f>IFERROR(__xludf.DUMMYFUNCTION("""COMPUTED_VALUE"""),"https://drive.google.com/open?id=1PJamJjl_fyMI4mH5KQzdljDzNX9IpVJw")</f>
        <v>https://drive.google.com/open?id=1PJamJjl_fyMI4mH5KQzdljDzNX9IpVJw</v>
      </c>
    </row>
    <row r="195">
      <c r="A195" s="6" t="str">
        <f>IFERROR(__xludf.DUMMYFUNCTION("""COMPUTED_VALUE"""),"ritesh.kulkarni@mitaoe.ac.in")</f>
        <v>ritesh.kulkarni@mitaoe.ac.in</v>
      </c>
      <c r="B195" s="6" t="str">
        <f>IFERROR(__xludf.DUMMYFUNCTION("""COMPUTED_VALUE"""),"YES")</f>
        <v>YES</v>
      </c>
      <c r="C195" s="6" t="str">
        <f>IFERROR(__xludf.DUMMYFUNCTION("""COMPUTED_VALUE"""),"NO")</f>
        <v>NO</v>
      </c>
      <c r="D195" s="49" t="str">
        <f>IFERROR(__xludf.DUMMYFUNCTION("""COMPUTED_VALUE"""),"https://drive.google.com/open?id=1QJMljZ8neUvsfEL6WTAf-fU90mxLWHYw")</f>
        <v>https://drive.google.com/open?id=1QJMljZ8neUvsfEL6WTAf-fU90mxLWHYw</v>
      </c>
      <c r="E195" s="6"/>
    </row>
    <row r="196">
      <c r="A196" s="6" t="str">
        <f>IFERROR(__xludf.DUMMYFUNCTION("""COMPUTED_VALUE"""),"priyanka.rathod@mitaoe.ac.in")</f>
        <v>priyanka.rathod@mitaoe.ac.in</v>
      </c>
      <c r="B196" s="6" t="str">
        <f>IFERROR(__xludf.DUMMYFUNCTION("""COMPUTED_VALUE"""),"YES")</f>
        <v>YES</v>
      </c>
      <c r="C196" s="6" t="str">
        <f>IFERROR(__xludf.DUMMYFUNCTION("""COMPUTED_VALUE"""),"YES")</f>
        <v>YES</v>
      </c>
      <c r="D196" s="49" t="str">
        <f>IFERROR(__xludf.DUMMYFUNCTION("""COMPUTED_VALUE"""),"https://drive.google.com/open?id=1cJqL-GRHSR4nouTOR4nXuvt6sopcPsQk")</f>
        <v>https://drive.google.com/open?id=1cJqL-GRHSR4nouTOR4nXuvt6sopcPsQk</v>
      </c>
      <c r="E196" s="49" t="str">
        <f>IFERROR(__xludf.DUMMYFUNCTION("""COMPUTED_VALUE"""),"https://drive.google.com/open?id=1OP4bIbEhbgBl79Dlz3JdW-gQedEHJoFd")</f>
        <v>https://drive.google.com/open?id=1OP4bIbEhbgBl79Dlz3JdW-gQedEHJoFd</v>
      </c>
    </row>
    <row r="197">
      <c r="A197" s="6" t="str">
        <f>IFERROR(__xludf.DUMMYFUNCTION("""COMPUTED_VALUE"""),"amisha.madanu@mitaoe.ac.in")</f>
        <v>amisha.madanu@mitaoe.ac.in</v>
      </c>
      <c r="B197" s="6" t="str">
        <f>IFERROR(__xludf.DUMMYFUNCTION("""COMPUTED_VALUE"""),"YES")</f>
        <v>YES</v>
      </c>
      <c r="C197" s="6" t="str">
        <f>IFERROR(__xludf.DUMMYFUNCTION("""COMPUTED_VALUE"""),"YES")</f>
        <v>YES</v>
      </c>
      <c r="D197" s="49" t="str">
        <f>IFERROR(__xludf.DUMMYFUNCTION("""COMPUTED_VALUE"""),"https://drive.google.com/open?id=1eZZ-w65x2N0NV70WE7vQIW4gRrbklpGX")</f>
        <v>https://drive.google.com/open?id=1eZZ-w65x2N0NV70WE7vQIW4gRrbklpGX</v>
      </c>
      <c r="E197" s="49" t="str">
        <f>IFERROR(__xludf.DUMMYFUNCTION("""COMPUTED_VALUE"""),"https://drive.google.com/open?id=1Q4urYNpJYvdm-MgyV4GHfwQG51NvlBTd")</f>
        <v>https://drive.google.com/open?id=1Q4urYNpJYvdm-MgyV4GHfwQG51NvlBTd</v>
      </c>
    </row>
    <row r="198">
      <c r="A198" s="6" t="str">
        <f>IFERROR(__xludf.DUMMYFUNCTION("""COMPUTED_VALUE"""),"rutuja.khakare@mitaoe.ac.in")</f>
        <v>rutuja.khakare@mitaoe.ac.in</v>
      </c>
      <c r="B198" s="6" t="str">
        <f>IFERROR(__xludf.DUMMYFUNCTION("""COMPUTED_VALUE"""),"YES")</f>
        <v>YES</v>
      </c>
      <c r="C198" s="6" t="str">
        <f>IFERROR(__xludf.DUMMYFUNCTION("""COMPUTED_VALUE"""),"YES")</f>
        <v>YES</v>
      </c>
      <c r="D198" s="49" t="str">
        <f>IFERROR(__xludf.DUMMYFUNCTION("""COMPUTED_VALUE"""),"https://drive.google.com/open?id=1062Bk4WiYBDCjE3HLRnMsd2q2zDc0q1G")</f>
        <v>https://drive.google.com/open?id=1062Bk4WiYBDCjE3HLRnMsd2q2zDc0q1G</v>
      </c>
      <c r="E198" s="49" t="str">
        <f>IFERROR(__xludf.DUMMYFUNCTION("""COMPUTED_VALUE"""),"https://drive.google.com/open?id=1Oz8AHNyV4xDw_GD6WRN42aB7JcgPQK3o")</f>
        <v>https://drive.google.com/open?id=1Oz8AHNyV4xDw_GD6WRN42aB7JcgPQK3o</v>
      </c>
    </row>
    <row r="199">
      <c r="A199" s="6" t="str">
        <f>IFERROR(__xludf.DUMMYFUNCTION("""COMPUTED_VALUE"""),"rushikesh.jadhav@mitaoe.ac.in")</f>
        <v>rushikesh.jadhav@mitaoe.ac.in</v>
      </c>
      <c r="B199" s="6" t="str">
        <f>IFERROR(__xludf.DUMMYFUNCTION("""COMPUTED_VALUE"""),"YES")</f>
        <v>YES</v>
      </c>
      <c r="C199" s="6" t="str">
        <f>IFERROR(__xludf.DUMMYFUNCTION("""COMPUTED_VALUE"""),"NO")</f>
        <v>NO</v>
      </c>
      <c r="D199" s="49" t="str">
        <f>IFERROR(__xludf.DUMMYFUNCTION("""COMPUTED_VALUE"""),"https://drive.google.com/open?id=1HkPRETWE5igSZsmVFln5uO94wfz43S0N")</f>
        <v>https://drive.google.com/open?id=1HkPRETWE5igSZsmVFln5uO94wfz43S0N</v>
      </c>
      <c r="E199" s="6"/>
    </row>
    <row r="200">
      <c r="A200" s="6" t="str">
        <f>IFERROR(__xludf.DUMMYFUNCTION("""COMPUTED_VALUE"""),"uddhav.patil@mitaoe.ac.in")</f>
        <v>uddhav.patil@mitaoe.ac.in</v>
      </c>
      <c r="B200" s="6" t="str">
        <f>IFERROR(__xludf.DUMMYFUNCTION("""COMPUTED_VALUE"""),"YES")</f>
        <v>YES</v>
      </c>
      <c r="C200" s="6" t="str">
        <f>IFERROR(__xludf.DUMMYFUNCTION("""COMPUTED_VALUE"""),"NO")</f>
        <v>NO</v>
      </c>
      <c r="D200" s="49" t="str">
        <f>IFERROR(__xludf.DUMMYFUNCTION("""COMPUTED_VALUE"""),"https://drive.google.com/open?id=1S4ubonDs47Fsao3Nxhg95G7DowMPaVwT")</f>
        <v>https://drive.google.com/open?id=1S4ubonDs47Fsao3Nxhg95G7DowMPaVwT</v>
      </c>
      <c r="E200" s="6"/>
    </row>
    <row r="201">
      <c r="A201" s="6" t="str">
        <f>IFERROR(__xludf.DUMMYFUNCTION("""COMPUTED_VALUE"""),"vkwankhade@mitaoe.ac.in")</f>
        <v>vkwankhade@mitaoe.ac.in</v>
      </c>
      <c r="B201" s="6" t="str">
        <f>IFERROR(__xludf.DUMMYFUNCTION("""COMPUTED_VALUE"""),"No")</f>
        <v>No</v>
      </c>
      <c r="C201" s="6" t="str">
        <f>IFERROR(__xludf.DUMMYFUNCTION("""COMPUTED_VALUE"""),"No")</f>
        <v>No</v>
      </c>
      <c r="D201" s="6"/>
      <c r="E201" s="6"/>
    </row>
    <row r="202">
      <c r="A202" s="6" t="str">
        <f>IFERROR(__xludf.DUMMYFUNCTION("""COMPUTED_VALUE"""),"kvlade@mitaoe.ac.in")</f>
        <v>kvlade@mitaoe.ac.in</v>
      </c>
      <c r="B202" s="6" t="str">
        <f>IFERROR(__xludf.DUMMYFUNCTION("""COMPUTED_VALUE"""),"YES")</f>
        <v>YES</v>
      </c>
      <c r="C202" s="6" t="str">
        <f>IFERROR(__xludf.DUMMYFUNCTION("""COMPUTED_VALUE"""),"YES")</f>
        <v>YES</v>
      </c>
      <c r="D202" s="49" t="str">
        <f>IFERROR(__xludf.DUMMYFUNCTION("""COMPUTED_VALUE"""),"https://drive.google.com/open?id=11jiIFiPPu5f565AtZRE8Bmv-lqFOhFz2")</f>
        <v>https://drive.google.com/open?id=11jiIFiPPu5f565AtZRE8Bmv-lqFOhFz2</v>
      </c>
      <c r="E202" s="49" t="str">
        <f>IFERROR(__xludf.DUMMYFUNCTION("""COMPUTED_VALUE"""),"https://drive.google.com/open?id=1EZiLaAq8vlcG6xetMsx6yvC3ShmuCWP-")</f>
        <v>https://drive.google.com/open?id=1EZiLaAq8vlcG6xetMsx6yvC3ShmuCWP-</v>
      </c>
    </row>
    <row r="203">
      <c r="A203" s="6" t="str">
        <f>IFERROR(__xludf.DUMMYFUNCTION("""COMPUTED_VALUE"""),"salunkheps@mitaoe.ac.in")</f>
        <v>salunkheps@mitaoe.ac.in</v>
      </c>
      <c r="B203" s="6" t="str">
        <f>IFERROR(__xludf.DUMMYFUNCTION("""COMPUTED_VALUE"""),"YES")</f>
        <v>YES</v>
      </c>
      <c r="C203" s="6" t="str">
        <f>IFERROR(__xludf.DUMMYFUNCTION("""COMPUTED_VALUE"""),"YES")</f>
        <v>YES</v>
      </c>
      <c r="D203" s="49" t="str">
        <f>IFERROR(__xludf.DUMMYFUNCTION("""COMPUTED_VALUE"""),"https://drive.google.com/open?id=1l6DrpjDcvAonCjPE2ZAAUF9FWvAY6O9D")</f>
        <v>https://drive.google.com/open?id=1l6DrpjDcvAonCjPE2ZAAUF9FWvAY6O9D</v>
      </c>
      <c r="E203" s="49" t="str">
        <f>IFERROR(__xludf.DUMMYFUNCTION("""COMPUTED_VALUE"""),"https://drive.google.com/open?id=1S_7SBZ01dfO5qNEIrBSESUqRMc34F_6M")</f>
        <v>https://drive.google.com/open?id=1S_7SBZ01dfO5qNEIrBSESUqRMc34F_6M</v>
      </c>
    </row>
    <row r="204">
      <c r="A204" s="6" t="str">
        <f>IFERROR(__xludf.DUMMYFUNCTION("""COMPUTED_VALUE"""),"aaudawant@mitaoe.ac.in")</f>
        <v>aaudawant@mitaoe.ac.in</v>
      </c>
      <c r="B204" s="6" t="str">
        <f>IFERROR(__xludf.DUMMYFUNCTION("""COMPUTED_VALUE"""),"YES")</f>
        <v>YES</v>
      </c>
      <c r="C204" s="6" t="str">
        <f>IFERROR(__xludf.DUMMYFUNCTION("""COMPUTED_VALUE"""),"YES")</f>
        <v>YES</v>
      </c>
      <c r="D204" s="49" t="str">
        <f>IFERROR(__xludf.DUMMYFUNCTION("""COMPUTED_VALUE"""),"https://drive.google.com/open?id=1toNp5ETACJNxOmOCU5Bf4wEBJiJbk4YE")</f>
        <v>https://drive.google.com/open?id=1toNp5ETACJNxOmOCU5Bf4wEBJiJbk4YE</v>
      </c>
      <c r="E204" s="49" t="str">
        <f>IFERROR(__xludf.DUMMYFUNCTION("""COMPUTED_VALUE"""),"https://drive.google.com/open?id=1oiGi1eHbxsgULmnW-SjznzOloWEFoT1v")</f>
        <v>https://drive.google.com/open?id=1oiGi1eHbxsgULmnW-SjznzOloWEFoT1v</v>
      </c>
    </row>
    <row r="205">
      <c r="A205" s="6" t="str">
        <f>IFERROR(__xludf.DUMMYFUNCTION("""COMPUTED_VALUE"""),"shruti.dhumne@mitaoe.ac.in")</f>
        <v>shruti.dhumne@mitaoe.ac.in</v>
      </c>
      <c r="B205" s="6" t="str">
        <f>IFERROR(__xludf.DUMMYFUNCTION("""COMPUTED_VALUE"""),"YES")</f>
        <v>YES</v>
      </c>
      <c r="C205" s="6" t="str">
        <f>IFERROR(__xludf.DUMMYFUNCTION("""COMPUTED_VALUE"""),"YES")</f>
        <v>YES</v>
      </c>
      <c r="D205" s="49" t="str">
        <f>IFERROR(__xludf.DUMMYFUNCTION("""COMPUTED_VALUE"""),"https://drive.google.com/open?id=1FiHuYblsAt8oom6NoGnUm_N5vgUXQQrj")</f>
        <v>https://drive.google.com/open?id=1FiHuYblsAt8oom6NoGnUm_N5vgUXQQrj</v>
      </c>
      <c r="E205" s="49" t="str">
        <f>IFERROR(__xludf.DUMMYFUNCTION("""COMPUTED_VALUE"""),"https://drive.google.com/open?id=1um4dO9unN4GATROOyHGJd4v2smFkPmYB")</f>
        <v>https://drive.google.com/open?id=1um4dO9unN4GATROOyHGJd4v2smFkPmYB</v>
      </c>
    </row>
    <row r="206">
      <c r="A206" s="6" t="str">
        <f>IFERROR(__xludf.DUMMYFUNCTION("""COMPUTED_VALUE"""),"srushti.jadhav1@mitaoe.ac.in")</f>
        <v>srushti.jadhav1@mitaoe.ac.in</v>
      </c>
      <c r="B206" s="6" t="str">
        <f>IFERROR(__xludf.DUMMYFUNCTION("""COMPUTED_VALUE"""),"YES")</f>
        <v>YES</v>
      </c>
      <c r="C206" s="6" t="str">
        <f>IFERROR(__xludf.DUMMYFUNCTION("""COMPUTED_VALUE"""),"YES")</f>
        <v>YES</v>
      </c>
      <c r="D206" s="49" t="str">
        <f>IFERROR(__xludf.DUMMYFUNCTION("""COMPUTED_VALUE"""),"https://drive.google.com/open?id=1_N67j_0v6boUXD8pe2vvQcGmFi_dkMj5")</f>
        <v>https://drive.google.com/open?id=1_N67j_0v6boUXD8pe2vvQcGmFi_dkMj5</v>
      </c>
      <c r="E206" s="49" t="str">
        <f>IFERROR(__xludf.DUMMYFUNCTION("""COMPUTED_VALUE"""),"https://drive.google.com/open?id=1wdBBN5UNel0SpRf_YLg-NF3_qjb3-ywQ")</f>
        <v>https://drive.google.com/open?id=1wdBBN5UNel0SpRf_YLg-NF3_qjb3-ywQ</v>
      </c>
    </row>
    <row r="207">
      <c r="A207" s="6" t="str">
        <f>IFERROR(__xludf.DUMMYFUNCTION("""COMPUTED_VALUE"""),"ksajeeth@mitaoe.ac.in")</f>
        <v>ksajeeth@mitaoe.ac.in</v>
      </c>
      <c r="B207" s="6" t="str">
        <f>IFERROR(__xludf.DUMMYFUNCTION("""COMPUTED_VALUE"""),"YES")</f>
        <v>YES</v>
      </c>
      <c r="C207" s="6" t="str">
        <f>IFERROR(__xludf.DUMMYFUNCTION("""COMPUTED_VALUE"""),"YES")</f>
        <v>YES</v>
      </c>
      <c r="D207" s="49" t="str">
        <f>IFERROR(__xludf.DUMMYFUNCTION("""COMPUTED_VALUE"""),"https://drive.google.com/open?id=1zYAM1z42jyoC7pO4ng6GEHZSUkSlA5o-")</f>
        <v>https://drive.google.com/open?id=1zYAM1z42jyoC7pO4ng6GEHZSUkSlA5o-</v>
      </c>
      <c r="E207" s="49" t="str">
        <f>IFERROR(__xludf.DUMMYFUNCTION("""COMPUTED_VALUE"""),"https://drive.google.com/open?id=1aJqrPbycb3q7Eycu3rGKt1zxcuBu9XWX")</f>
        <v>https://drive.google.com/open?id=1aJqrPbycb3q7Eycu3rGKt1zxcuBu9XWX</v>
      </c>
    </row>
    <row r="208">
      <c r="A208" s="6" t="str">
        <f>IFERROR(__xludf.DUMMYFUNCTION("""COMPUTED_VALUE"""),"kvgunturi@mitaoe.ac.in")</f>
        <v>kvgunturi@mitaoe.ac.in</v>
      </c>
      <c r="B208" s="6" t="str">
        <f>IFERROR(__xludf.DUMMYFUNCTION("""COMPUTED_VALUE"""),"YES")</f>
        <v>YES</v>
      </c>
      <c r="C208" s="6" t="str">
        <f>IFERROR(__xludf.DUMMYFUNCTION("""COMPUTED_VALUE"""),"YES")</f>
        <v>YES</v>
      </c>
      <c r="D208" s="49" t="str">
        <f>IFERROR(__xludf.DUMMYFUNCTION("""COMPUTED_VALUE"""),"https://drive.google.com/open?id=1zJAVQThgS_sqVlTOgHkFdS_5q_-h5kyV")</f>
        <v>https://drive.google.com/open?id=1zJAVQThgS_sqVlTOgHkFdS_5q_-h5kyV</v>
      </c>
      <c r="E208" s="49" t="str">
        <f>IFERROR(__xludf.DUMMYFUNCTION("""COMPUTED_VALUE"""),"https://drive.google.com/open?id=1Y93rGGAxbVSoCy5DGWzgHKOpMepkvdry")</f>
        <v>https://drive.google.com/open?id=1Y93rGGAxbVSoCy5DGWzgHKOpMepkvdry</v>
      </c>
    </row>
    <row r="209">
      <c r="A209" s="6" t="str">
        <f>IFERROR(__xludf.DUMMYFUNCTION("""COMPUTED_VALUE"""),"omkar.shinde@mitaoe.ac.in")</f>
        <v>omkar.shinde@mitaoe.ac.in</v>
      </c>
      <c r="B209" s="6" t="str">
        <f>IFERROR(__xludf.DUMMYFUNCTION("""COMPUTED_VALUE"""),"YES")</f>
        <v>YES</v>
      </c>
      <c r="C209" s="6" t="str">
        <f>IFERROR(__xludf.DUMMYFUNCTION("""COMPUTED_VALUE"""),"YES")</f>
        <v>YES</v>
      </c>
      <c r="D209" s="49" t="str">
        <f>IFERROR(__xludf.DUMMYFUNCTION("""COMPUTED_VALUE"""),"https://drive.google.com/open?id=1rFVsRqt2UoQelRZc3PzrS21bOQcuwSHt")</f>
        <v>https://drive.google.com/open?id=1rFVsRqt2UoQelRZc3PzrS21bOQcuwSHt</v>
      </c>
      <c r="E209" s="49" t="str">
        <f>IFERROR(__xludf.DUMMYFUNCTION("""COMPUTED_VALUE"""),"https://drive.google.com/open?id=15VoLA9cXhCYwLfliDsrZUgpTXYeDRhC9")</f>
        <v>https://drive.google.com/open?id=15VoLA9cXhCYwLfliDsrZUgpTXYeDRhC9</v>
      </c>
    </row>
    <row r="210">
      <c r="A210" s="6" t="str">
        <f>IFERROR(__xludf.DUMMYFUNCTION("""COMPUTED_VALUE"""),"komal.bonde@mitaoe.ac.in")</f>
        <v>komal.bonde@mitaoe.ac.in</v>
      </c>
      <c r="B210" s="6" t="str">
        <f>IFERROR(__xludf.DUMMYFUNCTION("""COMPUTED_VALUE"""),"YES")</f>
        <v>YES</v>
      </c>
      <c r="C210" s="6" t="str">
        <f>IFERROR(__xludf.DUMMYFUNCTION("""COMPUTED_VALUE"""),"YES")</f>
        <v>YES</v>
      </c>
      <c r="D210" s="49" t="str">
        <f>IFERROR(__xludf.DUMMYFUNCTION("""COMPUTED_VALUE"""),"https://drive.google.com/open?id=1IjdOq2KL-tA4skD9QvmLOFFwReX5Zoax")</f>
        <v>https://drive.google.com/open?id=1IjdOq2KL-tA4skD9QvmLOFFwReX5Zoax</v>
      </c>
      <c r="E210" s="49" t="str">
        <f>IFERROR(__xludf.DUMMYFUNCTION("""COMPUTED_VALUE"""),"https://drive.google.com/open?id=181STrEVea-5Ktp55ZmAKmwSSIU7uY8mv")</f>
        <v>https://drive.google.com/open?id=181STrEVea-5Ktp55ZmAKmwSSIU7uY8mv</v>
      </c>
    </row>
    <row r="211">
      <c r="A211" s="6" t="str">
        <f>IFERROR(__xludf.DUMMYFUNCTION("""COMPUTED_VALUE"""),"nikhil.kinikar@mitaoe.ac.in")</f>
        <v>nikhil.kinikar@mitaoe.ac.in</v>
      </c>
      <c r="B211" s="6" t="str">
        <f>IFERROR(__xludf.DUMMYFUNCTION("""COMPUTED_VALUE"""),"YES")</f>
        <v>YES</v>
      </c>
      <c r="C211" s="6" t="str">
        <f>IFERROR(__xludf.DUMMYFUNCTION("""COMPUTED_VALUE"""),"YES")</f>
        <v>YES</v>
      </c>
      <c r="D211" s="49" t="str">
        <f>IFERROR(__xludf.DUMMYFUNCTION("""COMPUTED_VALUE"""),"https://drive.google.com/open?id=1oUrOJox8eoXZIaxHbayQZ0S5XdjbIdZk")</f>
        <v>https://drive.google.com/open?id=1oUrOJox8eoXZIaxHbayQZ0S5XdjbIdZk</v>
      </c>
      <c r="E211" s="49" t="str">
        <f>IFERROR(__xludf.DUMMYFUNCTION("""COMPUTED_VALUE"""),"https://drive.google.com/open?id=13HoWzX-sWNzQ0LY8_4EBnxDKpsQ_jydn")</f>
        <v>https://drive.google.com/open?id=13HoWzX-sWNzQ0LY8_4EBnxDKpsQ_jydn</v>
      </c>
    </row>
    <row r="212">
      <c r="A212" s="6" t="str">
        <f>IFERROR(__xludf.DUMMYFUNCTION("""COMPUTED_VALUE"""),"nandini.ghale@mitaoe.ac.in")</f>
        <v>nandini.ghale@mitaoe.ac.in</v>
      </c>
      <c r="B212" s="6" t="str">
        <f>IFERROR(__xludf.DUMMYFUNCTION("""COMPUTED_VALUE"""),"YES")</f>
        <v>YES</v>
      </c>
      <c r="C212" s="6" t="str">
        <f>IFERROR(__xludf.DUMMYFUNCTION("""COMPUTED_VALUE"""),"YES")</f>
        <v>YES</v>
      </c>
      <c r="D212" s="49" t="str">
        <f>IFERROR(__xludf.DUMMYFUNCTION("""COMPUTED_VALUE"""),"https://drive.google.com/open?id=1htpkmVEtIAgWPHBfYuBH-bGdzEDYbQ8C")</f>
        <v>https://drive.google.com/open?id=1htpkmVEtIAgWPHBfYuBH-bGdzEDYbQ8C</v>
      </c>
      <c r="E212" s="49" t="str">
        <f>IFERROR(__xludf.DUMMYFUNCTION("""COMPUTED_VALUE"""),"https://drive.google.com/open?id=1-8OZMjXVCx5xSFl-pD_9NWOWbmWCTBJ5")</f>
        <v>https://drive.google.com/open?id=1-8OZMjXVCx5xSFl-pD_9NWOWbmWCTBJ5</v>
      </c>
    </row>
    <row r="213">
      <c r="A213" s="6" t="str">
        <f>IFERROR(__xludf.DUMMYFUNCTION("""COMPUTED_VALUE"""),"aditya.karpe@mitaoe.ac.in")</f>
        <v>aditya.karpe@mitaoe.ac.in</v>
      </c>
      <c r="B213" s="6" t="str">
        <f>IFERROR(__xludf.DUMMYFUNCTION("""COMPUTED_VALUE"""),"NO")</f>
        <v>NO</v>
      </c>
      <c r="C213" s="6" t="str">
        <f>IFERROR(__xludf.DUMMYFUNCTION("""COMPUTED_VALUE"""),"NO")</f>
        <v>NO</v>
      </c>
      <c r="D213" s="6"/>
      <c r="E213" s="6"/>
    </row>
    <row r="214">
      <c r="A214" s="6" t="str">
        <f>IFERROR(__xludf.DUMMYFUNCTION("""COMPUTED_VALUE"""),"aadiraj.narayane@mitaoe.ac.in")</f>
        <v>aadiraj.narayane@mitaoe.ac.in</v>
      </c>
      <c r="B214" s="6" t="str">
        <f>IFERROR(__xludf.DUMMYFUNCTION("""COMPUTED_VALUE"""),"NO")</f>
        <v>NO</v>
      </c>
      <c r="C214" s="6" t="str">
        <f>IFERROR(__xludf.DUMMYFUNCTION("""COMPUTED_VALUE"""),"NO")</f>
        <v>NO</v>
      </c>
      <c r="D214" s="49" t="str">
        <f>IFERROR(__xludf.DUMMYFUNCTION("""COMPUTED_VALUE"""),"https://drive.google.com/open?id=1UPrH8_lvPcBYZsItX8kQGnpqqQO9zhz7")</f>
        <v>https://drive.google.com/open?id=1UPrH8_lvPcBYZsItX8kQGnpqqQO9zhz7</v>
      </c>
      <c r="E214" s="49" t="str">
        <f>IFERROR(__xludf.DUMMYFUNCTION("""COMPUTED_VALUE"""),"https://drive.google.com/open?id=1OU9Lu39XCRiiSZSw3IzqCLwrBd7ayhca")</f>
        <v>https://drive.google.com/open?id=1OU9Lu39XCRiiSZSw3IzqCLwrBd7ayhca</v>
      </c>
    </row>
    <row r="215">
      <c r="A215" s="6" t="str">
        <f>IFERROR(__xludf.DUMMYFUNCTION("""COMPUTED_VALUE"""),"vedashri.sonar@mitaoe.ac.in")</f>
        <v>vedashri.sonar@mitaoe.ac.in</v>
      </c>
      <c r="B215" s="6" t="str">
        <f>IFERROR(__xludf.DUMMYFUNCTION("""COMPUTED_VALUE"""),"YES")</f>
        <v>YES</v>
      </c>
      <c r="C215" s="6" t="str">
        <f>IFERROR(__xludf.DUMMYFUNCTION("""COMPUTED_VALUE"""),"YES")</f>
        <v>YES</v>
      </c>
      <c r="D215" s="49" t="str">
        <f>IFERROR(__xludf.DUMMYFUNCTION("""COMPUTED_VALUE"""),"https://drive.google.com/open?id=1R0xdibbpWTk1hhqy5FKVszmxwyvOtxdH")</f>
        <v>https://drive.google.com/open?id=1R0xdibbpWTk1hhqy5FKVszmxwyvOtxdH</v>
      </c>
      <c r="E215" s="49" t="str">
        <f>IFERROR(__xludf.DUMMYFUNCTION("""COMPUTED_VALUE"""),"https://drive.google.com/open?id=1vznIYz71_LDozkEuGd-OjkpYTfplNZq-")</f>
        <v>https://drive.google.com/open?id=1vznIYz71_LDozkEuGd-OjkpYTfplNZq-</v>
      </c>
    </row>
    <row r="216">
      <c r="A216" s="6" t="str">
        <f>IFERROR(__xludf.DUMMYFUNCTION("""COMPUTED_VALUE"""),"neha.jadhav@mitaoe.ac.in")</f>
        <v>neha.jadhav@mitaoe.ac.in</v>
      </c>
      <c r="B216" s="6" t="str">
        <f>IFERROR(__xludf.DUMMYFUNCTION("""COMPUTED_VALUE"""),"NO")</f>
        <v>NO</v>
      </c>
      <c r="C216" s="6" t="str">
        <f>IFERROR(__xludf.DUMMYFUNCTION("""COMPUTED_VALUE"""),"NO")</f>
        <v>NO</v>
      </c>
      <c r="D216" s="6"/>
      <c r="E216" s="6"/>
    </row>
    <row r="217">
      <c r="A217" s="6" t="str">
        <f>IFERROR(__xludf.DUMMYFUNCTION("""COMPUTED_VALUE"""),"vaishnavi.patil@mitaoe.ac.in")</f>
        <v>vaishnavi.patil@mitaoe.ac.in</v>
      </c>
      <c r="B217" s="6" t="str">
        <f>IFERROR(__xludf.DUMMYFUNCTION("""COMPUTED_VALUE"""),"YES")</f>
        <v>YES</v>
      </c>
      <c r="C217" s="6" t="str">
        <f>IFERROR(__xludf.DUMMYFUNCTION("""COMPUTED_VALUE"""),"YES")</f>
        <v>YES</v>
      </c>
      <c r="D217" s="49" t="str">
        <f>IFERROR(__xludf.DUMMYFUNCTION("""COMPUTED_VALUE"""),"https://drive.google.com/open?id=1AjXsObDaivS_YKOVtNBdLSj9QDZnIAMa")</f>
        <v>https://drive.google.com/open?id=1AjXsObDaivS_YKOVtNBdLSj9QDZnIAMa</v>
      </c>
      <c r="E217" s="49" t="str">
        <f>IFERROR(__xludf.DUMMYFUNCTION("""COMPUTED_VALUE"""),"https://drive.google.com/open?id=1i8twQ7S91PFvkp5JNSHYA5kimMXLXne1")</f>
        <v>https://drive.google.com/open?id=1i8twQ7S91PFvkp5JNSHYA5kimMXLXne1</v>
      </c>
    </row>
    <row r="218">
      <c r="A218" s="6" t="str">
        <f>IFERROR(__xludf.DUMMYFUNCTION("""COMPUTED_VALUE"""),"mayuri.more@mitaoe.ac.in")</f>
        <v>mayuri.more@mitaoe.ac.in</v>
      </c>
      <c r="B218" s="6" t="str">
        <f>IFERROR(__xludf.DUMMYFUNCTION("""COMPUTED_VALUE"""),"NO")</f>
        <v>NO</v>
      </c>
      <c r="C218" s="6" t="str">
        <f>IFERROR(__xludf.DUMMYFUNCTION("""COMPUTED_VALUE"""),"YES")</f>
        <v>YES</v>
      </c>
      <c r="D218" s="6"/>
      <c r="E218" s="49" t="str">
        <f>IFERROR(__xludf.DUMMYFUNCTION("""COMPUTED_VALUE"""),"https://drive.google.com/open?id=1JtGlfwk_D7VumYgtLb5JBhzIBVEbESaw")</f>
        <v>https://drive.google.com/open?id=1JtGlfwk_D7VumYgtLb5JBhzIBVEbESaw</v>
      </c>
    </row>
    <row r="219">
      <c r="A219" s="6" t="str">
        <f>IFERROR(__xludf.DUMMYFUNCTION("""COMPUTED_VALUE"""),"psrivastava@mitaoe.ac.in")</f>
        <v>psrivastava@mitaoe.ac.in</v>
      </c>
      <c r="B219" s="6" t="str">
        <f>IFERROR(__xludf.DUMMYFUNCTION("""COMPUTED_VALUE"""),"NO")</f>
        <v>NO</v>
      </c>
      <c r="C219" s="6" t="str">
        <f>IFERROR(__xludf.DUMMYFUNCTION("""COMPUTED_VALUE"""),"NO")</f>
        <v>NO</v>
      </c>
      <c r="D219" s="6"/>
      <c r="E219" s="6"/>
    </row>
    <row r="220">
      <c r="A220" s="6" t="str">
        <f>IFERROR(__xludf.DUMMYFUNCTION("""COMPUTED_VALUE"""),"rdhasabe@mitaoe.ac.in")</f>
        <v>rdhasabe@mitaoe.ac.in</v>
      </c>
      <c r="B220" s="6" t="str">
        <f>IFERROR(__xludf.DUMMYFUNCTION("""COMPUTED_VALUE"""),"YES")</f>
        <v>YES</v>
      </c>
      <c r="C220" s="6" t="str">
        <f>IFERROR(__xludf.DUMMYFUNCTION("""COMPUTED_VALUE"""),"YES")</f>
        <v>YES</v>
      </c>
      <c r="D220" s="49" t="str">
        <f>IFERROR(__xludf.DUMMYFUNCTION("""COMPUTED_VALUE"""),"https://drive.google.com/open?id=1tfFBCdaTRSTEOs7mJAVso4cXD_yiMdDG")</f>
        <v>https://drive.google.com/open?id=1tfFBCdaTRSTEOs7mJAVso4cXD_yiMdDG</v>
      </c>
      <c r="E220" s="49" t="str">
        <f>IFERROR(__xludf.DUMMYFUNCTION("""COMPUTED_VALUE"""),"https://drive.google.com/open?id=1em2MfdXysztNQR6_LCUbHj1Yq6_s0hTI")</f>
        <v>https://drive.google.com/open?id=1em2MfdXysztNQR6_LCUbHj1Yq6_s0hTI</v>
      </c>
    </row>
    <row r="221">
      <c r="A221" s="6" t="str">
        <f>IFERROR(__xludf.DUMMYFUNCTION("""COMPUTED_VALUE"""),"utkarsha.gawade@mitaoe.ac.in")</f>
        <v>utkarsha.gawade@mitaoe.ac.in</v>
      </c>
      <c r="B221" s="6" t="str">
        <f>IFERROR(__xludf.DUMMYFUNCTION("""COMPUTED_VALUE"""),"NO")</f>
        <v>NO</v>
      </c>
      <c r="C221" s="6" t="str">
        <f>IFERROR(__xludf.DUMMYFUNCTION("""COMPUTED_VALUE"""),"NO")</f>
        <v>NO</v>
      </c>
      <c r="D221" s="49" t="str">
        <f>IFERROR(__xludf.DUMMYFUNCTION("""COMPUTED_VALUE"""),"https://drive.google.com/open?id=1JhsGexIdAR-oWWwGgQ2XSZvOM4nZuonB")</f>
        <v>https://drive.google.com/open?id=1JhsGexIdAR-oWWwGgQ2XSZvOM4nZuonB</v>
      </c>
      <c r="E221" s="49" t="str">
        <f>IFERROR(__xludf.DUMMYFUNCTION("""COMPUTED_VALUE"""),"https://drive.google.com/open?id=1uuHaTGq6EcH2G_P9H0wuh0sdIb3DrMkx")</f>
        <v>https://drive.google.com/open?id=1uuHaTGq6EcH2G_P9H0wuh0sdIb3DrMkx</v>
      </c>
    </row>
    <row r="222">
      <c r="A222" s="6" t="str">
        <f>IFERROR(__xludf.DUMMYFUNCTION("""COMPUTED_VALUE"""),"prajwal.chobitkar@mitaoe.ac.in")</f>
        <v>prajwal.chobitkar@mitaoe.ac.in</v>
      </c>
      <c r="B222" s="6" t="str">
        <f>IFERROR(__xludf.DUMMYFUNCTION("""COMPUTED_VALUE"""),"YES")</f>
        <v>YES</v>
      </c>
      <c r="C222" s="6" t="str">
        <f>IFERROR(__xludf.DUMMYFUNCTION("""COMPUTED_VALUE"""),"YES")</f>
        <v>YES</v>
      </c>
      <c r="D222" s="49" t="str">
        <f>IFERROR(__xludf.DUMMYFUNCTION("""COMPUTED_VALUE"""),"https://drive.google.com/open?id=1qr52TGrhWSxyfmSMocYVvoGKoRBiOWGr")</f>
        <v>https://drive.google.com/open?id=1qr52TGrhWSxyfmSMocYVvoGKoRBiOWGr</v>
      </c>
      <c r="E222" s="49" t="str">
        <f>IFERROR(__xludf.DUMMYFUNCTION("""COMPUTED_VALUE"""),"https://drive.google.com/open?id=1uZ6ml3PyMY-XsKYQSWocHndh3vKW0YwG")</f>
        <v>https://drive.google.com/open?id=1uZ6ml3PyMY-XsKYQSWocHndh3vKW0YwG</v>
      </c>
    </row>
    <row r="223">
      <c r="A223" s="6" t="str">
        <f>IFERROR(__xludf.DUMMYFUNCTION("""COMPUTED_VALUE"""),"aniketyadav@mitaoe.ac.in")</f>
        <v>aniketyadav@mitaoe.ac.in</v>
      </c>
      <c r="B223" s="6" t="str">
        <f>IFERROR(__xludf.DUMMYFUNCTION("""COMPUTED_VALUE"""),"YES")</f>
        <v>YES</v>
      </c>
      <c r="C223" s="6" t="str">
        <f>IFERROR(__xludf.DUMMYFUNCTION("""COMPUTED_VALUE"""),"YES")</f>
        <v>YES</v>
      </c>
      <c r="D223" s="49" t="str">
        <f>IFERROR(__xludf.DUMMYFUNCTION("""COMPUTED_VALUE"""),"https://drive.google.com/open?id=1BSepHKJRmxYKYNHeTtWgmKxNRnjaIpTv")</f>
        <v>https://drive.google.com/open?id=1BSepHKJRmxYKYNHeTtWgmKxNRnjaIpTv</v>
      </c>
      <c r="E223" s="49" t="str">
        <f>IFERROR(__xludf.DUMMYFUNCTION("""COMPUTED_VALUE"""),"https://drive.google.com/open?id=1HS1TTnojEE72jr2cwNFOY46wIroU3Gmk")</f>
        <v>https://drive.google.com/open?id=1HS1TTnojEE72jr2cwNFOY46wIroU3Gmk</v>
      </c>
    </row>
    <row r="224">
      <c r="A224" s="6" t="str">
        <f>IFERROR(__xludf.DUMMYFUNCTION("""COMPUTED_VALUE"""),"kmchaudhari@mitaoe.ac.in")</f>
        <v>kmchaudhari@mitaoe.ac.in</v>
      </c>
      <c r="B224" s="6" t="str">
        <f>IFERROR(__xludf.DUMMYFUNCTION("""COMPUTED_VALUE"""),"NO")</f>
        <v>NO</v>
      </c>
      <c r="C224" s="6" t="str">
        <f>IFERROR(__xludf.DUMMYFUNCTION("""COMPUTED_VALUE"""),"NO")</f>
        <v>NO</v>
      </c>
      <c r="D224" s="6"/>
      <c r="E224" s="6"/>
    </row>
    <row r="225">
      <c r="A225" s="6" t="str">
        <f>IFERROR(__xludf.DUMMYFUNCTION("""COMPUTED_VALUE"""),"mohitpawar@mitaoe.ac.in")</f>
        <v>mohitpawar@mitaoe.ac.in</v>
      </c>
      <c r="B225" s="6" t="str">
        <f>IFERROR(__xludf.DUMMYFUNCTION("""COMPUTED_VALUE"""),"NO")</f>
        <v>NO</v>
      </c>
      <c r="C225" s="6" t="str">
        <f>IFERROR(__xludf.DUMMYFUNCTION("""COMPUTED_VALUE"""),"NO")</f>
        <v>NO</v>
      </c>
      <c r="D225" s="6"/>
      <c r="E225" s="6"/>
    </row>
    <row r="226">
      <c r="A226" s="6" t="str">
        <f>IFERROR(__xludf.DUMMYFUNCTION("""COMPUTED_VALUE"""),"aspatsute@mitaoe.ac.in")</f>
        <v>aspatsute@mitaoe.ac.in</v>
      </c>
      <c r="B226" s="6" t="str">
        <f>IFERROR(__xludf.DUMMYFUNCTION("""COMPUTED_VALUE"""),"NO")</f>
        <v>NO</v>
      </c>
      <c r="C226" s="6" t="str">
        <f>IFERROR(__xludf.DUMMYFUNCTION("""COMPUTED_VALUE"""),"NO")</f>
        <v>NO</v>
      </c>
      <c r="D226" s="6"/>
      <c r="E226" s="6"/>
    </row>
    <row r="227">
      <c r="A227" s="6" t="str">
        <f>IFERROR(__xludf.DUMMYFUNCTION("""COMPUTED_VALUE"""),"jadhavss@mitaoe.ac.in")</f>
        <v>jadhavss@mitaoe.ac.in</v>
      </c>
      <c r="B227" s="6" t="str">
        <f>IFERROR(__xludf.DUMMYFUNCTION("""COMPUTED_VALUE"""),"YES")</f>
        <v>YES</v>
      </c>
      <c r="C227" s="6" t="str">
        <f>IFERROR(__xludf.DUMMYFUNCTION("""COMPUTED_VALUE"""),"YES")</f>
        <v>YES</v>
      </c>
      <c r="D227" s="49" t="str">
        <f>IFERROR(__xludf.DUMMYFUNCTION("""COMPUTED_VALUE"""),"https://drive.google.com/open?id=1LS-rnDBq-70e_2s1xgQuk1jp8IrZuF3f")</f>
        <v>https://drive.google.com/open?id=1LS-rnDBq-70e_2s1xgQuk1jp8IrZuF3f</v>
      </c>
      <c r="E227" s="49" t="str">
        <f>IFERROR(__xludf.DUMMYFUNCTION("""COMPUTED_VALUE"""),"https://drive.google.com/open?id=1Qq1058r0AaEgEfDQckPZB91lIYzCz_Ck")</f>
        <v>https://drive.google.com/open?id=1Qq1058r0AaEgEfDQckPZB91lIYzCz_Ck</v>
      </c>
    </row>
    <row r="228">
      <c r="A228" s="6" t="str">
        <f>IFERROR(__xludf.DUMMYFUNCTION("""COMPUTED_VALUE"""),"sayeole@mitaoe.ac.in")</f>
        <v>sayeole@mitaoe.ac.in</v>
      </c>
      <c r="B228" s="6" t="str">
        <f>IFERROR(__xludf.DUMMYFUNCTION("""COMPUTED_VALUE"""),"YES ")</f>
        <v>YES </v>
      </c>
      <c r="C228" s="6" t="str">
        <f>IFERROR(__xludf.DUMMYFUNCTION("""COMPUTED_VALUE"""),"YES")</f>
        <v>YES</v>
      </c>
      <c r="D228" s="49" t="str">
        <f>IFERROR(__xludf.DUMMYFUNCTION("""COMPUTED_VALUE"""),"https://drive.google.com/open?id=19lPk_C7RILuhEcTbCQtaSRJz6h8pwt6g")</f>
        <v>https://drive.google.com/open?id=19lPk_C7RILuhEcTbCQtaSRJz6h8pwt6g</v>
      </c>
      <c r="E228" s="49" t="str">
        <f>IFERROR(__xludf.DUMMYFUNCTION("""COMPUTED_VALUE"""),"https://drive.google.com/open?id=1dH6Gat6Kk-mrYoeAhgIyNp_P2-iYiO1W")</f>
        <v>https://drive.google.com/open?id=1dH6Gat6Kk-mrYoeAhgIyNp_P2-iYiO1W</v>
      </c>
    </row>
    <row r="229">
      <c r="A229" s="6" t="str">
        <f>IFERROR(__xludf.DUMMYFUNCTION("""COMPUTED_VALUE"""),"ankalse@mitaoe.ac.in")</f>
        <v>ankalse@mitaoe.ac.in</v>
      </c>
      <c r="B229" s="6" t="str">
        <f>IFERROR(__xludf.DUMMYFUNCTION("""COMPUTED_VALUE"""),"NO")</f>
        <v>NO</v>
      </c>
      <c r="C229" s="6" t="str">
        <f>IFERROR(__xludf.DUMMYFUNCTION("""COMPUTED_VALUE"""),"NO")</f>
        <v>NO</v>
      </c>
      <c r="D229" s="6"/>
      <c r="E229" s="49" t="str">
        <f>IFERROR(__xludf.DUMMYFUNCTION("""COMPUTED_VALUE"""),"https://drive.google.com/open?id=1_4puNbqi2oFVNoxXg94OkDlE-dZhGjH0")</f>
        <v>https://drive.google.com/open?id=1_4puNbqi2oFVNoxXg94OkDlE-dZhGjH0</v>
      </c>
    </row>
    <row r="230">
      <c r="A230" s="6" t="str">
        <f>IFERROR(__xludf.DUMMYFUNCTION("""COMPUTED_VALUE"""),"ruturaj.javeri@mitaoe.ac.in")</f>
        <v>ruturaj.javeri@mitaoe.ac.in</v>
      </c>
      <c r="B230" s="6" t="str">
        <f>IFERROR(__xludf.DUMMYFUNCTION("""COMPUTED_VALUE"""),"NO")</f>
        <v>NO</v>
      </c>
      <c r="C230" s="6" t="str">
        <f>IFERROR(__xludf.DUMMYFUNCTION("""COMPUTED_VALUE"""),"YES")</f>
        <v>YES</v>
      </c>
      <c r="D230" s="6"/>
      <c r="E230" s="49" t="str">
        <f>IFERROR(__xludf.DUMMYFUNCTION("""COMPUTED_VALUE"""),"https://drive.google.com/open?id=1SmJv8_JkE9ijk6sOvnyPOc8SCY6llEJC")</f>
        <v>https://drive.google.com/open?id=1SmJv8_JkE9ijk6sOvnyPOc8SCY6llEJC</v>
      </c>
    </row>
    <row r="231">
      <c r="A231" s="6" t="str">
        <f>IFERROR(__xludf.DUMMYFUNCTION("""COMPUTED_VALUE"""),"dpraj@mitaoe.ac.in")</f>
        <v>dpraj@mitaoe.ac.in</v>
      </c>
      <c r="B231" s="6" t="str">
        <f>IFERROR(__xludf.DUMMYFUNCTION("""COMPUTED_VALUE"""),"YES")</f>
        <v>YES</v>
      </c>
      <c r="C231" s="6" t="str">
        <f>IFERROR(__xludf.DUMMYFUNCTION("""COMPUTED_VALUE"""),"YES")</f>
        <v>YES</v>
      </c>
      <c r="D231" s="49" t="str">
        <f>IFERROR(__xludf.DUMMYFUNCTION("""COMPUTED_VALUE"""),"https://drive.google.com/open?id=1XD1yv4naNxkmFPQJy8oTVISL0hVcYSnr")</f>
        <v>https://drive.google.com/open?id=1XD1yv4naNxkmFPQJy8oTVISL0hVcYSnr</v>
      </c>
      <c r="E231" s="49" t="str">
        <f>IFERROR(__xludf.DUMMYFUNCTION("""COMPUTED_VALUE"""),"https://drive.google.com/open?id=1KZ0Vm9W_Vn7RHFYt4Afb2aWqRn82PfJM")</f>
        <v>https://drive.google.com/open?id=1KZ0Vm9W_Vn7RHFYt4Afb2aWqRn82PfJM</v>
      </c>
    </row>
    <row r="232">
      <c r="A232" s="6" t="str">
        <f>IFERROR(__xludf.DUMMYFUNCTION("""COMPUTED_VALUE"""),"ppunkule@mitaoe.ac.in")</f>
        <v>ppunkule@mitaoe.ac.in</v>
      </c>
      <c r="B232" s="6" t="str">
        <f>IFERROR(__xludf.DUMMYFUNCTION("""COMPUTED_VALUE"""),"YES")</f>
        <v>YES</v>
      </c>
      <c r="C232" s="6" t="str">
        <f>IFERROR(__xludf.DUMMYFUNCTION("""COMPUTED_VALUE"""),"YES")</f>
        <v>YES</v>
      </c>
      <c r="D232" s="49" t="str">
        <f>IFERROR(__xludf.DUMMYFUNCTION("""COMPUTED_VALUE"""),"https://drive.google.com/open?id=1CLpUZaUbQF4_AG-a9kba1uLWBVniE0JJ")</f>
        <v>https://drive.google.com/open?id=1CLpUZaUbQF4_AG-a9kba1uLWBVniE0JJ</v>
      </c>
      <c r="E232" s="49" t="str">
        <f>IFERROR(__xludf.DUMMYFUNCTION("""COMPUTED_VALUE"""),"https://drive.google.com/open?id=1RDgfiGbvHANIzAuKtKftX2XHiRZ6D6aJ")</f>
        <v>https://drive.google.com/open?id=1RDgfiGbvHANIzAuKtKftX2XHiRZ6D6aJ</v>
      </c>
    </row>
    <row r="233">
      <c r="A233" s="6" t="str">
        <f>IFERROR(__xludf.DUMMYFUNCTION("""COMPUTED_VALUE"""),"skgore@mitaoe.ac.in")</f>
        <v>skgore@mitaoe.ac.in</v>
      </c>
      <c r="B233" s="6" t="str">
        <f>IFERROR(__xludf.DUMMYFUNCTION("""COMPUTED_VALUE"""),"YES")</f>
        <v>YES</v>
      </c>
      <c r="C233" s="6" t="str">
        <f>IFERROR(__xludf.DUMMYFUNCTION("""COMPUTED_VALUE"""),"YES")</f>
        <v>YES</v>
      </c>
      <c r="D233" s="49" t="str">
        <f>IFERROR(__xludf.DUMMYFUNCTION("""COMPUTED_VALUE"""),"https://drive.google.com/open?id=1371r0Z9zF4GJX2-WWLXJ6z3VJaaxj45A")</f>
        <v>https://drive.google.com/open?id=1371r0Z9zF4GJX2-WWLXJ6z3VJaaxj45A</v>
      </c>
      <c r="E233" s="49" t="str">
        <f>IFERROR(__xludf.DUMMYFUNCTION("""COMPUTED_VALUE"""),"https://drive.google.com/open?id=1Ez3yJo0-cMLrDqLM-2j6AbW9pYJpfKWW")</f>
        <v>https://drive.google.com/open?id=1Ez3yJo0-cMLrDqLM-2j6AbW9pYJpfKWW</v>
      </c>
    </row>
    <row r="234">
      <c r="A234" s="6" t="str">
        <f>IFERROR(__xludf.DUMMYFUNCTION("""COMPUTED_VALUE"""),"adpawar@mitaoe.ac.in")</f>
        <v>adpawar@mitaoe.ac.in</v>
      </c>
      <c r="B234" s="6" t="str">
        <f>IFERROR(__xludf.DUMMYFUNCTION("""COMPUTED_VALUE"""),"YES")</f>
        <v>YES</v>
      </c>
      <c r="C234" s="6" t="str">
        <f>IFERROR(__xludf.DUMMYFUNCTION("""COMPUTED_VALUE"""),"YES")</f>
        <v>YES</v>
      </c>
      <c r="D234" s="49" t="str">
        <f>IFERROR(__xludf.DUMMYFUNCTION("""COMPUTED_VALUE"""),"https://drive.google.com/open?id=1brsHwvktSUn2DeJecJadtpmbA__7THVc")</f>
        <v>https://drive.google.com/open?id=1brsHwvktSUn2DeJecJadtpmbA__7THVc</v>
      </c>
      <c r="E234" s="49" t="str">
        <f>IFERROR(__xludf.DUMMYFUNCTION("""COMPUTED_VALUE"""),"https://drive.google.com/open?id=1bRlzRch8Wtxybw4DqIwrm_Y_NG5mQtJU")</f>
        <v>https://drive.google.com/open?id=1bRlzRch8Wtxybw4DqIwrm_Y_NG5mQtJU</v>
      </c>
    </row>
    <row r="235">
      <c r="A235" s="6" t="str">
        <f>IFERROR(__xludf.DUMMYFUNCTION("""COMPUTED_VALUE"""),"vsdeshmukh@mitaoe.ac.in")</f>
        <v>vsdeshmukh@mitaoe.ac.in</v>
      </c>
      <c r="B235" s="6" t="str">
        <f>IFERROR(__xludf.DUMMYFUNCTION("""COMPUTED_VALUE"""),"YES")</f>
        <v>YES</v>
      </c>
      <c r="C235" s="6" t="str">
        <f>IFERROR(__xludf.DUMMYFUNCTION("""COMPUTED_VALUE"""),"YES")</f>
        <v>YES</v>
      </c>
      <c r="D235" s="49" t="str">
        <f>IFERROR(__xludf.DUMMYFUNCTION("""COMPUTED_VALUE"""),"https://drive.google.com/open?id=1LJZzN42oksDqxh7x5zEcuh_ECdNlpgDw")</f>
        <v>https://drive.google.com/open?id=1LJZzN42oksDqxh7x5zEcuh_ECdNlpgDw</v>
      </c>
      <c r="E235" s="49" t="str">
        <f>IFERROR(__xludf.DUMMYFUNCTION("""COMPUTED_VALUE"""),"https://drive.google.com/open?id=1WRT059_H1SUzm9-KYFznN2tt6n7_vFWf")</f>
        <v>https://drive.google.com/open?id=1WRT059_H1SUzm9-KYFznN2tt6n7_vFWf</v>
      </c>
    </row>
    <row r="236">
      <c r="A236" s="6" t="str">
        <f>IFERROR(__xludf.DUMMYFUNCTION("""COMPUTED_VALUE"""),"asmahajan@mitaoe.ac.in")</f>
        <v>asmahajan@mitaoe.ac.in</v>
      </c>
      <c r="B236" s="6" t="str">
        <f>IFERROR(__xludf.DUMMYFUNCTION("""COMPUTED_VALUE"""),"NO")</f>
        <v>NO</v>
      </c>
      <c r="C236" s="6" t="str">
        <f>IFERROR(__xludf.DUMMYFUNCTION("""COMPUTED_VALUE"""),"NO")</f>
        <v>NO</v>
      </c>
      <c r="D236" s="49" t="str">
        <f>IFERROR(__xludf.DUMMYFUNCTION("""COMPUTED_VALUE"""),"https://drive.google.com/open?id=1CLqk3eDgg1-M-UIZ8Zw2LLMjddaXVB8p")</f>
        <v>https://drive.google.com/open?id=1CLqk3eDgg1-M-UIZ8Zw2LLMjddaXVB8p</v>
      </c>
      <c r="E236" s="49" t="str">
        <f>IFERROR(__xludf.DUMMYFUNCTION("""COMPUTED_VALUE"""),"https://drive.google.com/open?id=1NVo1eJOn05Pf8_5ez5k5smoVR7N_2COA")</f>
        <v>https://drive.google.com/open?id=1NVo1eJOn05Pf8_5ez5k5smoVR7N_2COA</v>
      </c>
    </row>
    <row r="237">
      <c r="A237" s="6" t="str">
        <f>IFERROR(__xludf.DUMMYFUNCTION("""COMPUTED_VALUE"""),"ssagarkar@mitaoe.ac.in")</f>
        <v>ssagarkar@mitaoe.ac.in</v>
      </c>
      <c r="B237" s="6" t="str">
        <f>IFERROR(__xludf.DUMMYFUNCTION("""COMPUTED_VALUE"""),"YES")</f>
        <v>YES</v>
      </c>
      <c r="C237" s="6" t="str">
        <f>IFERROR(__xludf.DUMMYFUNCTION("""COMPUTED_VALUE"""),"YES")</f>
        <v>YES</v>
      </c>
      <c r="D237" s="49" t="str">
        <f>IFERROR(__xludf.DUMMYFUNCTION("""COMPUTED_VALUE"""),"https://drive.google.com/open?id=1Bd43thpVDmRo1S5gOATngo-tRtwsLp39")</f>
        <v>https://drive.google.com/open?id=1Bd43thpVDmRo1S5gOATngo-tRtwsLp39</v>
      </c>
      <c r="E237" s="49" t="str">
        <f>IFERROR(__xludf.DUMMYFUNCTION("""COMPUTED_VALUE"""),"https://drive.google.com/open?id=13jTFatMyij2hzyyEvn0vOnrjAsBRQQvd")</f>
        <v>https://drive.google.com/open?id=13jTFatMyij2hzyyEvn0vOnrjAsBRQQvd</v>
      </c>
    </row>
    <row r="238">
      <c r="A238" s="6" t="str">
        <f>IFERROR(__xludf.DUMMYFUNCTION("""COMPUTED_VALUE"""),"apharal@mitaoe.ac.in")</f>
        <v>apharal@mitaoe.ac.in</v>
      </c>
      <c r="B238" s="6" t="str">
        <f>IFERROR(__xludf.DUMMYFUNCTION("""COMPUTED_VALUE"""),"YES")</f>
        <v>YES</v>
      </c>
      <c r="C238" s="6" t="str">
        <f>IFERROR(__xludf.DUMMYFUNCTION("""COMPUTED_VALUE"""),"YES")</f>
        <v>YES</v>
      </c>
      <c r="D238" s="49" t="str">
        <f>IFERROR(__xludf.DUMMYFUNCTION("""COMPUTED_VALUE"""),"https://drive.google.com/open?id=1ZMRd9zVvmFnQgKK0hkq7-ljsM_FXkpRi")</f>
        <v>https://drive.google.com/open?id=1ZMRd9zVvmFnQgKK0hkq7-ljsM_FXkpRi</v>
      </c>
      <c r="E238" s="49" t="str">
        <f>IFERROR(__xludf.DUMMYFUNCTION("""COMPUTED_VALUE"""),"https://drive.google.com/open?id=1e2G5su6_MZpRWRy98LBs4jGGuVcxD8gU")</f>
        <v>https://drive.google.com/open?id=1e2G5su6_MZpRWRy98LBs4jGGuVcxD8gU</v>
      </c>
    </row>
    <row r="239">
      <c r="A239" s="6" t="str">
        <f>IFERROR(__xludf.DUMMYFUNCTION("""COMPUTED_VALUE"""),"gsaundkar@mitaoe.ac.in")</f>
        <v>gsaundkar@mitaoe.ac.in</v>
      </c>
      <c r="B239" s="6" t="str">
        <f>IFERROR(__xludf.DUMMYFUNCTION("""COMPUTED_VALUE"""),"YES")</f>
        <v>YES</v>
      </c>
      <c r="C239" s="6" t="str">
        <f>IFERROR(__xludf.DUMMYFUNCTION("""COMPUTED_VALUE"""),"YES")</f>
        <v>YES</v>
      </c>
      <c r="D239" s="49" t="str">
        <f>IFERROR(__xludf.DUMMYFUNCTION("""COMPUTED_VALUE"""),"https://drive.google.com/open?id=1oGzTN9XP4M1AeyvENQOjgqSz42kFVy-h")</f>
        <v>https://drive.google.com/open?id=1oGzTN9XP4M1AeyvENQOjgqSz42kFVy-h</v>
      </c>
      <c r="E239" s="49" t="str">
        <f>IFERROR(__xludf.DUMMYFUNCTION("""COMPUTED_VALUE"""),"https://drive.google.com/open?id=1vllIUva6NzdlEkTWoUQsgk5qhJOXoVxI")</f>
        <v>https://drive.google.com/open?id=1vllIUva6NzdlEkTWoUQsgk5qhJOXoVxI</v>
      </c>
    </row>
    <row r="240">
      <c r="A240" s="6" t="str">
        <f>IFERROR(__xludf.DUMMYFUNCTION("""COMPUTED_VALUE"""),"aspete@mitaoe.ac.in")</f>
        <v>aspete@mitaoe.ac.in</v>
      </c>
      <c r="B240" s="6" t="str">
        <f>IFERROR(__xludf.DUMMYFUNCTION("""COMPUTED_VALUE"""),"YES")</f>
        <v>YES</v>
      </c>
      <c r="C240" s="6" t="str">
        <f>IFERROR(__xludf.DUMMYFUNCTION("""COMPUTED_VALUE"""),"YES")</f>
        <v>YES</v>
      </c>
      <c r="D240" s="49" t="str">
        <f>IFERROR(__xludf.DUMMYFUNCTION("""COMPUTED_VALUE"""),"https://drive.google.com/open?id=1U04tokLrdtP4sC80pn8qd41RGmD9f-ZY")</f>
        <v>https://drive.google.com/open?id=1U04tokLrdtP4sC80pn8qd41RGmD9f-ZY</v>
      </c>
      <c r="E240" s="49" t="str">
        <f>IFERROR(__xludf.DUMMYFUNCTION("""COMPUTED_VALUE"""),"https://drive.google.com/open?id=1WAZK8DVJIF9EESjrnNBlscRn8T3O8zGk")</f>
        <v>https://drive.google.com/open?id=1WAZK8DVJIF9EESjrnNBlscRn8T3O8zGk</v>
      </c>
    </row>
    <row r="241">
      <c r="A241" s="6" t="str">
        <f>IFERROR(__xludf.DUMMYFUNCTION("""COMPUTED_VALUE"""),"tanvishah@mitaoe.ac.in")</f>
        <v>tanvishah@mitaoe.ac.in</v>
      </c>
      <c r="B241" s="6" t="str">
        <f>IFERROR(__xludf.DUMMYFUNCTION("""COMPUTED_VALUE"""),"NO")</f>
        <v>NO</v>
      </c>
      <c r="C241" s="6" t="str">
        <f>IFERROR(__xludf.DUMMYFUNCTION("""COMPUTED_VALUE"""),"YES")</f>
        <v>YES</v>
      </c>
      <c r="D241" s="6"/>
      <c r="E241" s="49" t="str">
        <f>IFERROR(__xludf.DUMMYFUNCTION("""COMPUTED_VALUE"""),"https://drive.google.com/open?id=17J_IYgttXj6P5SLTTCfL2EnJb78BBNFU")</f>
        <v>https://drive.google.com/open?id=17J_IYgttXj6P5SLTTCfL2EnJb78BBNFU</v>
      </c>
    </row>
    <row r="242">
      <c r="A242" s="6" t="str">
        <f>IFERROR(__xludf.DUMMYFUNCTION("""COMPUTED_VALUE"""),"pnsaurkar@mitaoe.ac.in")</f>
        <v>pnsaurkar@mitaoe.ac.in</v>
      </c>
      <c r="B242" s="6" t="str">
        <f>IFERROR(__xludf.DUMMYFUNCTION("""COMPUTED_VALUE"""),"YES")</f>
        <v>YES</v>
      </c>
      <c r="C242" s="6" t="str">
        <f>IFERROR(__xludf.DUMMYFUNCTION("""COMPUTED_VALUE"""),"YES")</f>
        <v>YES</v>
      </c>
      <c r="D242" s="49" t="str">
        <f>IFERROR(__xludf.DUMMYFUNCTION("""COMPUTED_VALUE"""),"https://drive.google.com/open?id=1AkE4JUIMMJRFIltvTgB_XQR1OuXUzVKV")</f>
        <v>https://drive.google.com/open?id=1AkE4JUIMMJRFIltvTgB_XQR1OuXUzVKV</v>
      </c>
      <c r="E242" s="49" t="str">
        <f>IFERROR(__xludf.DUMMYFUNCTION("""COMPUTED_VALUE"""),"https://drive.google.com/open?id=1_7_B5b_OOZ-OJPKTSl-A8YQLjjgE7W_V")</f>
        <v>https://drive.google.com/open?id=1_7_B5b_OOZ-OJPKTSl-A8YQLjjgE7W_V</v>
      </c>
    </row>
    <row r="243">
      <c r="A243" s="6" t="str">
        <f>IFERROR(__xludf.DUMMYFUNCTION("""COMPUTED_VALUE"""),"vgbhagwat@mitaoe.ac.in")</f>
        <v>vgbhagwat@mitaoe.ac.in</v>
      </c>
      <c r="B243" s="6" t="str">
        <f>IFERROR(__xludf.DUMMYFUNCTION("""COMPUTED_VALUE"""),"NO")</f>
        <v>NO</v>
      </c>
      <c r="C243" s="6" t="str">
        <f>IFERROR(__xludf.DUMMYFUNCTION("""COMPUTED_VALUE"""),"NO")</f>
        <v>NO</v>
      </c>
      <c r="D243" s="6"/>
      <c r="E243" s="6"/>
    </row>
    <row r="244">
      <c r="A244" s="6" t="str">
        <f>IFERROR(__xludf.DUMMYFUNCTION("""COMPUTED_VALUE"""),"ysghule@mitaoe.ac.in")</f>
        <v>ysghule@mitaoe.ac.in</v>
      </c>
      <c r="B244" s="6" t="str">
        <f>IFERROR(__xludf.DUMMYFUNCTION("""COMPUTED_VALUE"""),"YES")</f>
        <v>YES</v>
      </c>
      <c r="C244" s="6" t="str">
        <f>IFERROR(__xludf.DUMMYFUNCTION("""COMPUTED_VALUE"""),"YES")</f>
        <v>YES</v>
      </c>
      <c r="D244" s="49" t="str">
        <f>IFERROR(__xludf.DUMMYFUNCTION("""COMPUTED_VALUE"""),"https://drive.google.com/open?id=18Ma25dlgd2zTdB5AVxjRVh7D-VgL8C9Y")</f>
        <v>https://drive.google.com/open?id=18Ma25dlgd2zTdB5AVxjRVh7D-VgL8C9Y</v>
      </c>
      <c r="E244" s="49" t="str">
        <f>IFERROR(__xludf.DUMMYFUNCTION("""COMPUTED_VALUE"""),"https://drive.google.com/open?id=1L0A5VcLSHPhhWzJ77-fhIWAzhVLNkDS8")</f>
        <v>https://drive.google.com/open?id=1L0A5VcLSHPhhWzJ77-fhIWAzhVLNkDS8</v>
      </c>
    </row>
    <row r="245">
      <c r="A245" s="6" t="str">
        <f>IFERROR(__xludf.DUMMYFUNCTION("""COMPUTED_VALUE"""),"svroy@mitaoe.ac.in")</f>
        <v>svroy@mitaoe.ac.in</v>
      </c>
      <c r="B245" s="6" t="str">
        <f>IFERROR(__xludf.DUMMYFUNCTION("""COMPUTED_VALUE"""),"YES")</f>
        <v>YES</v>
      </c>
      <c r="C245" s="6" t="str">
        <f>IFERROR(__xludf.DUMMYFUNCTION("""COMPUTED_VALUE"""),"YES")</f>
        <v>YES</v>
      </c>
      <c r="D245" s="49" t="str">
        <f>IFERROR(__xludf.DUMMYFUNCTION("""COMPUTED_VALUE"""),"https://drive.google.com/open?id=1jZ8uw_o3VakHp6GFQKdVD4tWNKBxSC-v")</f>
        <v>https://drive.google.com/open?id=1jZ8uw_o3VakHp6GFQKdVD4tWNKBxSC-v</v>
      </c>
      <c r="E245" s="49" t="str">
        <f>IFERROR(__xludf.DUMMYFUNCTION("""COMPUTED_VALUE"""),"https://drive.google.com/open?id=1o4etIlm6a_PnfJ7E0Ix42zXf_zXMml30")</f>
        <v>https://drive.google.com/open?id=1o4etIlm6a_PnfJ7E0Ix42zXf_zXMml30</v>
      </c>
    </row>
    <row r="246">
      <c r="A246" s="6" t="str">
        <f>IFERROR(__xludf.DUMMYFUNCTION("""COMPUTED_VALUE"""),"ppanand@mitaoe.ac.in")</f>
        <v>ppanand@mitaoe.ac.in</v>
      </c>
      <c r="B246" s="6" t="str">
        <f>IFERROR(__xludf.DUMMYFUNCTION("""COMPUTED_VALUE"""),"YES")</f>
        <v>YES</v>
      </c>
      <c r="C246" s="6" t="str">
        <f>IFERROR(__xludf.DUMMYFUNCTION("""COMPUTED_VALUE"""),"YES")</f>
        <v>YES</v>
      </c>
      <c r="D246" s="49" t="str">
        <f>IFERROR(__xludf.DUMMYFUNCTION("""COMPUTED_VALUE"""),"https://drive.google.com/open?id=1sgXl71WGOvAlLiwhpo5RZ45fgolR7zh7")</f>
        <v>https://drive.google.com/open?id=1sgXl71WGOvAlLiwhpo5RZ45fgolR7zh7</v>
      </c>
      <c r="E246" s="49" t="str">
        <f>IFERROR(__xludf.DUMMYFUNCTION("""COMPUTED_VALUE"""),"https://drive.google.com/open?id=1PadVKFmMI2sVo6OUAzoLZZ9FLZNoiazl")</f>
        <v>https://drive.google.com/open?id=1PadVKFmMI2sVo6OUAzoLZZ9FLZNoiazl</v>
      </c>
    </row>
    <row r="247">
      <c r="A247" s="6" t="str">
        <f>IFERROR(__xludf.DUMMYFUNCTION("""COMPUTED_VALUE"""),"aawadpelli@mitaoe.ac.in")</f>
        <v>aawadpelli@mitaoe.ac.in</v>
      </c>
      <c r="B247" s="6" t="str">
        <f>IFERROR(__xludf.DUMMYFUNCTION("""COMPUTED_VALUE"""),"NO")</f>
        <v>NO</v>
      </c>
      <c r="C247" s="6" t="str">
        <f>IFERROR(__xludf.DUMMYFUNCTION("""COMPUTED_VALUE"""),"NO")</f>
        <v>NO</v>
      </c>
      <c r="D247" s="6"/>
      <c r="E247" s="6"/>
    </row>
    <row r="248">
      <c r="A248" s="6" t="str">
        <f>IFERROR(__xludf.DUMMYFUNCTION("""COMPUTED_VALUE"""),"cjyadav@mitaoe.ac.in")</f>
        <v>cjyadav@mitaoe.ac.in</v>
      </c>
      <c r="B248" s="6" t="str">
        <f>IFERROR(__xludf.DUMMYFUNCTION("""COMPUTED_VALUE"""),"YES")</f>
        <v>YES</v>
      </c>
      <c r="C248" s="6" t="str">
        <f>IFERROR(__xludf.DUMMYFUNCTION("""COMPUTED_VALUE"""),"YES")</f>
        <v>YES</v>
      </c>
      <c r="D248" s="49" t="str">
        <f>IFERROR(__xludf.DUMMYFUNCTION("""COMPUTED_VALUE"""),"https://drive.google.com/open?id=1znfvSsThOJ2WxTBnQybBOGoTqkMyH4-3")</f>
        <v>https://drive.google.com/open?id=1znfvSsThOJ2WxTBnQybBOGoTqkMyH4-3</v>
      </c>
      <c r="E248" s="49" t="str">
        <f>IFERROR(__xludf.DUMMYFUNCTION("""COMPUTED_VALUE"""),"https://drive.google.com/open?id=1TJtFXLcePxXdRrmSnCSzxjKKdoyF1fVX")</f>
        <v>https://drive.google.com/open?id=1TJtFXLcePxXdRrmSnCSzxjKKdoyF1fVX</v>
      </c>
    </row>
    <row r="249">
      <c r="A249" s="6" t="str">
        <f>IFERROR(__xludf.DUMMYFUNCTION("""COMPUTED_VALUE"""),"saumya.band@mitaoe.ac.in")</f>
        <v>saumya.band@mitaoe.ac.in</v>
      </c>
      <c r="B249" s="6" t="str">
        <f>IFERROR(__xludf.DUMMYFUNCTION("""COMPUTED_VALUE"""),"YES")</f>
        <v>YES</v>
      </c>
      <c r="C249" s="6" t="str">
        <f>IFERROR(__xludf.DUMMYFUNCTION("""COMPUTED_VALUE"""),"YES")</f>
        <v>YES</v>
      </c>
      <c r="D249" s="49" t="str">
        <f>IFERROR(__xludf.DUMMYFUNCTION("""COMPUTED_VALUE"""),"https://drive.google.com/open?id=1jzL_He5vxng2XvukxV5Ac_c7yLrn53Ln")</f>
        <v>https://drive.google.com/open?id=1jzL_He5vxng2XvukxV5Ac_c7yLrn53Ln</v>
      </c>
      <c r="E249" s="49" t="str">
        <f>IFERROR(__xludf.DUMMYFUNCTION("""COMPUTED_VALUE"""),"https://drive.google.com/open?id=1yGxmi9aUX0TouCCOkh1tvrqMZjoUxvMz")</f>
        <v>https://drive.google.com/open?id=1yGxmi9aUX0TouCCOkh1tvrqMZjoUxvMz</v>
      </c>
    </row>
    <row r="250">
      <c r="A250" s="6" t="str">
        <f>IFERROR(__xludf.DUMMYFUNCTION("""COMPUTED_VALUE"""),"gpnaik@mitaoe.ac.in")</f>
        <v>gpnaik@mitaoe.ac.in</v>
      </c>
      <c r="B250" s="6" t="str">
        <f>IFERROR(__xludf.DUMMYFUNCTION("""COMPUTED_VALUE"""),"YES")</f>
        <v>YES</v>
      </c>
      <c r="C250" s="6" t="str">
        <f>IFERROR(__xludf.DUMMYFUNCTION("""COMPUTED_VALUE"""),"YES")</f>
        <v>YES</v>
      </c>
      <c r="D250" s="49" t="str">
        <f>IFERROR(__xludf.DUMMYFUNCTION("""COMPUTED_VALUE"""),"https://drive.google.com/open?id=1BIn8TeO-9-ThZUcPdzTOqgNJITfi0X1I")</f>
        <v>https://drive.google.com/open?id=1BIn8TeO-9-ThZUcPdzTOqgNJITfi0X1I</v>
      </c>
      <c r="E250" s="49" t="str">
        <f>IFERROR(__xludf.DUMMYFUNCTION("""COMPUTED_VALUE"""),"https://drive.google.com/open?id=1aTc78zp-tvPu0HnI48O46BRGIj7XaCfp")</f>
        <v>https://drive.google.com/open?id=1aTc78zp-tvPu0HnI48O46BRGIj7XaCfp</v>
      </c>
    </row>
    <row r="251">
      <c r="A251" s="6" t="str">
        <f>IFERROR(__xludf.DUMMYFUNCTION("""COMPUTED_VALUE"""),"prkale@mitaoe.ac.in")</f>
        <v>prkale@mitaoe.ac.in</v>
      </c>
      <c r="B251" s="6" t="str">
        <f>IFERROR(__xludf.DUMMYFUNCTION("""COMPUTED_VALUE"""),"YES")</f>
        <v>YES</v>
      </c>
      <c r="C251" s="6" t="str">
        <f>IFERROR(__xludf.DUMMYFUNCTION("""COMPUTED_VALUE"""),"YES")</f>
        <v>YES</v>
      </c>
      <c r="D251" s="49" t="str">
        <f>IFERROR(__xludf.DUMMYFUNCTION("""COMPUTED_VALUE"""),"https://drive.google.com/open?id=14_awr6TmnpqDis1o4Shk4qEDzzz1CCdO")</f>
        <v>https://drive.google.com/open?id=14_awr6TmnpqDis1o4Shk4qEDzzz1CCdO</v>
      </c>
      <c r="E251" s="49" t="str">
        <f>IFERROR(__xludf.DUMMYFUNCTION("""COMPUTED_VALUE"""),"https://drive.google.com/open?id=1PC9wnEvwf3xO625k-eMEbd2U7fgHR1HT")</f>
        <v>https://drive.google.com/open?id=1PC9wnEvwf3xO625k-eMEbd2U7fgHR1HT</v>
      </c>
    </row>
    <row r="252">
      <c r="A252" s="6" t="str">
        <f>IFERROR(__xludf.DUMMYFUNCTION("""COMPUTED_VALUE"""),"ldbhangale@mitaoe.ac.in")</f>
        <v>ldbhangale@mitaoe.ac.in</v>
      </c>
      <c r="B252" s="6" t="str">
        <f>IFERROR(__xludf.DUMMYFUNCTION("""COMPUTED_VALUE"""),"YES")</f>
        <v>YES</v>
      </c>
      <c r="C252" s="6" t="str">
        <f>IFERROR(__xludf.DUMMYFUNCTION("""COMPUTED_VALUE"""),"YES")</f>
        <v>YES</v>
      </c>
      <c r="D252" s="49" t="str">
        <f>IFERROR(__xludf.DUMMYFUNCTION("""COMPUTED_VALUE"""),"https://drive.google.com/open?id=1SALW-3vH5YukCoBWAJ3dxifRQJkKghZI")</f>
        <v>https://drive.google.com/open?id=1SALW-3vH5YukCoBWAJ3dxifRQJkKghZI</v>
      </c>
      <c r="E252" s="49" t="str">
        <f>IFERROR(__xludf.DUMMYFUNCTION("""COMPUTED_VALUE"""),"https://drive.google.com/open?id=12ubOmldHue3YKOtOjI4bBf7Wa1Md5HHA")</f>
        <v>https://drive.google.com/open?id=12ubOmldHue3YKOtOjI4bBf7Wa1Md5HHA</v>
      </c>
    </row>
    <row r="253">
      <c r="A253" s="6" t="str">
        <f>IFERROR(__xludf.DUMMYFUNCTION("""COMPUTED_VALUE"""),"tsgaidhane@mitaoe.ac.in")</f>
        <v>tsgaidhane@mitaoe.ac.in</v>
      </c>
      <c r="B253" s="6" t="str">
        <f>IFERROR(__xludf.DUMMYFUNCTION("""COMPUTED_VALUE"""),"NO")</f>
        <v>NO</v>
      </c>
      <c r="C253" s="6" t="str">
        <f>IFERROR(__xludf.DUMMYFUNCTION("""COMPUTED_VALUE"""),"YES")</f>
        <v>YES</v>
      </c>
      <c r="D253" s="49" t="str">
        <f>IFERROR(__xludf.DUMMYFUNCTION("""COMPUTED_VALUE"""),"https://drive.google.com/open?id=1n9WtyJiRtJBFxykiww_hj78_PdX6jbtD")</f>
        <v>https://drive.google.com/open?id=1n9WtyJiRtJBFxykiww_hj78_PdX6jbtD</v>
      </c>
      <c r="E253" s="49" t="str">
        <f>IFERROR(__xludf.DUMMYFUNCTION("""COMPUTED_VALUE"""),"https://drive.google.com/open?id=1NcRqeufrJtvaR0Mh_EGArwndcnanLa7V")</f>
        <v>https://drive.google.com/open?id=1NcRqeufrJtvaR0Mh_EGArwndcnanLa7V</v>
      </c>
    </row>
    <row r="254">
      <c r="A254" s="6" t="str">
        <f>IFERROR(__xludf.DUMMYFUNCTION("""COMPUTED_VALUE"""),"amitanand@mitaoe.ac.in")</f>
        <v>amitanand@mitaoe.ac.in</v>
      </c>
      <c r="B254" s="6" t="str">
        <f>IFERROR(__xludf.DUMMYFUNCTION("""COMPUTED_VALUE"""),"YES")</f>
        <v>YES</v>
      </c>
      <c r="C254" s="6" t="str">
        <f>IFERROR(__xludf.DUMMYFUNCTION("""COMPUTED_VALUE"""),"YES")</f>
        <v>YES</v>
      </c>
      <c r="D254" s="49" t="str">
        <f>IFERROR(__xludf.DUMMYFUNCTION("""COMPUTED_VALUE"""),"https://drive.google.com/open?id=1aG3Z32lBfQY7SZuTQZOInNzz7--wa9Fe")</f>
        <v>https://drive.google.com/open?id=1aG3Z32lBfQY7SZuTQZOInNzz7--wa9Fe</v>
      </c>
      <c r="E254" s="49" t="str">
        <f>IFERROR(__xludf.DUMMYFUNCTION("""COMPUTED_VALUE"""),"https://drive.google.com/open?id=121rSq88M70kLXf1v_FaznSyuuGMTsYC6")</f>
        <v>https://drive.google.com/open?id=121rSq88M70kLXf1v_FaznSyuuGMTsYC6</v>
      </c>
    </row>
    <row r="255">
      <c r="A255" s="6" t="str">
        <f>IFERROR(__xludf.DUMMYFUNCTION("""COMPUTED_VALUE"""),"prachitiraut@mitaoe.ac.in")</f>
        <v>prachitiraut@mitaoe.ac.in</v>
      </c>
      <c r="B255" s="6" t="str">
        <f>IFERROR(__xludf.DUMMYFUNCTION("""COMPUTED_VALUE"""),"YES")</f>
        <v>YES</v>
      </c>
      <c r="C255" s="6" t="str">
        <f>IFERROR(__xludf.DUMMYFUNCTION("""COMPUTED_VALUE"""),"YES")</f>
        <v>YES</v>
      </c>
      <c r="D255" s="49" t="str">
        <f>IFERROR(__xludf.DUMMYFUNCTION("""COMPUTED_VALUE"""),"https://drive.google.com/open?id=1_DIRWIvm6h75lFxz5xA7_EGY_WNk-_ot")</f>
        <v>https://drive.google.com/open?id=1_DIRWIvm6h75lFxz5xA7_EGY_WNk-_ot</v>
      </c>
      <c r="E255" s="49" t="str">
        <f>IFERROR(__xludf.DUMMYFUNCTION("""COMPUTED_VALUE"""),"https://drive.google.com/open?id=1rcqYFwDDd_3TQci7wAbIxQ9NxbkLPnbj")</f>
        <v>https://drive.google.com/open?id=1rcqYFwDDd_3TQci7wAbIxQ9NxbkLPnbj</v>
      </c>
    </row>
    <row r="256">
      <c r="A256" s="6" t="str">
        <f>IFERROR(__xludf.DUMMYFUNCTION("""COMPUTED_VALUE"""),"hmagarwal@mitaoe.ac.in")</f>
        <v>hmagarwal@mitaoe.ac.in</v>
      </c>
      <c r="B256" s="6" t="str">
        <f>IFERROR(__xludf.DUMMYFUNCTION("""COMPUTED_VALUE"""),"YES")</f>
        <v>YES</v>
      </c>
      <c r="C256" s="6" t="str">
        <f>IFERROR(__xludf.DUMMYFUNCTION("""COMPUTED_VALUE"""),"NO")</f>
        <v>NO</v>
      </c>
      <c r="D256" s="49" t="str">
        <f>IFERROR(__xludf.DUMMYFUNCTION("""COMPUTED_VALUE"""),"https://drive.google.com/open?id=16kHvbtrR6ddUxLcNvBpiIPvtAi8W4k1E")</f>
        <v>https://drive.google.com/open?id=16kHvbtrR6ddUxLcNvBpiIPvtAi8W4k1E</v>
      </c>
      <c r="E256" s="49" t="str">
        <f>IFERROR(__xludf.DUMMYFUNCTION("""COMPUTED_VALUE"""),"https://drive.google.com/open?id=1pUbGbAyYFyvBk8gst0zxEHydhhohXrdw")</f>
        <v>https://drive.google.com/open?id=1pUbGbAyYFyvBk8gst0zxEHydhhohXrdw</v>
      </c>
    </row>
    <row r="257">
      <c r="A257" s="6" t="str">
        <f>IFERROR(__xludf.DUMMYFUNCTION("""COMPUTED_VALUE"""),"aashriwas@mitaoe.ac.in")</f>
        <v>aashriwas@mitaoe.ac.in</v>
      </c>
      <c r="B257" s="6" t="str">
        <f>IFERROR(__xludf.DUMMYFUNCTION("""COMPUTED_VALUE"""),"YES")</f>
        <v>YES</v>
      </c>
      <c r="C257" s="6" t="str">
        <f>IFERROR(__xludf.DUMMYFUNCTION("""COMPUTED_VALUE"""),"YES")</f>
        <v>YES</v>
      </c>
      <c r="D257" s="49" t="str">
        <f>IFERROR(__xludf.DUMMYFUNCTION("""COMPUTED_VALUE"""),"https://drive.google.com/open?id=1wDLxRDN4OlVwHyfPuSwUbTt5zvkyOkby")</f>
        <v>https://drive.google.com/open?id=1wDLxRDN4OlVwHyfPuSwUbTt5zvkyOkby</v>
      </c>
      <c r="E257" s="49" t="str">
        <f>IFERROR(__xludf.DUMMYFUNCTION("""COMPUTED_VALUE"""),"https://drive.google.com/open?id=1seQCFtQmXuVZ9X5Xlwc9RZnKWVRpTQ1O")</f>
        <v>https://drive.google.com/open?id=1seQCFtQmXuVZ9X5Xlwc9RZnKWVRpTQ1O</v>
      </c>
    </row>
    <row r="258">
      <c r="A258" s="6" t="str">
        <f>IFERROR(__xludf.DUMMYFUNCTION("""COMPUTED_VALUE"""),"svghodke@mitaoe.ac.in")</f>
        <v>svghodke@mitaoe.ac.in</v>
      </c>
      <c r="B258" s="6" t="str">
        <f>IFERROR(__xludf.DUMMYFUNCTION("""COMPUTED_VALUE"""),"YES")</f>
        <v>YES</v>
      </c>
      <c r="C258" s="6" t="str">
        <f>IFERROR(__xludf.DUMMYFUNCTION("""COMPUTED_VALUE"""),"YES")</f>
        <v>YES</v>
      </c>
      <c r="D258" s="49" t="str">
        <f>IFERROR(__xludf.DUMMYFUNCTION("""COMPUTED_VALUE"""),"https://drive.google.com/open?id=1f3THgGDY9vj36EIpQBLYBaZ6gJ_hQbWy")</f>
        <v>https://drive.google.com/open?id=1f3THgGDY9vj36EIpQBLYBaZ6gJ_hQbWy</v>
      </c>
      <c r="E258" s="49" t="str">
        <f>IFERROR(__xludf.DUMMYFUNCTION("""COMPUTED_VALUE"""),"https://drive.google.com/open?id=12PBadRhz6BUuHAgyESapREWAZwEtBGbd")</f>
        <v>https://drive.google.com/open?id=12PBadRhz6BUuHAgyESapREWAZwEtBGbd</v>
      </c>
    </row>
    <row r="259">
      <c r="A259" s="6" t="str">
        <f>IFERROR(__xludf.DUMMYFUNCTION("""COMPUTED_VALUE"""),"cvshinde@mitaoe.ac.in")</f>
        <v>cvshinde@mitaoe.ac.in</v>
      </c>
      <c r="B259" s="6" t="str">
        <f>IFERROR(__xludf.DUMMYFUNCTION("""COMPUTED_VALUE"""),"YES")</f>
        <v>YES</v>
      </c>
      <c r="C259" s="6" t="str">
        <f>IFERROR(__xludf.DUMMYFUNCTION("""COMPUTED_VALUE"""),"YES")</f>
        <v>YES</v>
      </c>
      <c r="D259" s="49" t="str">
        <f>IFERROR(__xludf.DUMMYFUNCTION("""COMPUTED_VALUE"""),"https://drive.google.com/open?id=15ivt1rIsQFtnF0aLYP46hlZ1C9z__QCt")</f>
        <v>https://drive.google.com/open?id=15ivt1rIsQFtnF0aLYP46hlZ1C9z__QCt</v>
      </c>
      <c r="E259" s="49" t="str">
        <f>IFERROR(__xludf.DUMMYFUNCTION("""COMPUTED_VALUE"""),"https://drive.google.com/open?id=1ZFaYDU9Czyyp07or6DXihMw8LPmmLGhZ")</f>
        <v>https://drive.google.com/open?id=1ZFaYDU9Czyyp07or6DXihMw8LPmmLGhZ</v>
      </c>
    </row>
    <row r="260">
      <c r="A260" s="6" t="str">
        <f>IFERROR(__xludf.DUMMYFUNCTION("""COMPUTED_VALUE"""),"sgmadkar@mitaoe.ac.in")</f>
        <v>sgmadkar@mitaoe.ac.in</v>
      </c>
      <c r="B260" s="6" t="str">
        <f>IFERROR(__xludf.DUMMYFUNCTION("""COMPUTED_VALUE"""),"YES")</f>
        <v>YES</v>
      </c>
      <c r="C260" s="6" t="str">
        <f>IFERROR(__xludf.DUMMYFUNCTION("""COMPUTED_VALUE"""),"NO")</f>
        <v>NO</v>
      </c>
      <c r="D260" s="49" t="str">
        <f>IFERROR(__xludf.DUMMYFUNCTION("""COMPUTED_VALUE"""),"https://drive.google.com/open?id=17BzyueHOwILTekgTIoG2fwN_zGJppppc")</f>
        <v>https://drive.google.com/open?id=17BzyueHOwILTekgTIoG2fwN_zGJppppc</v>
      </c>
      <c r="E260" s="6"/>
    </row>
    <row r="261">
      <c r="A261" s="6" t="str">
        <f>IFERROR(__xludf.DUMMYFUNCTION("""COMPUTED_VALUE"""),"rrwasnik@mitaoe.ac.in")</f>
        <v>rrwasnik@mitaoe.ac.in</v>
      </c>
      <c r="B261" s="6" t="str">
        <f>IFERROR(__xludf.DUMMYFUNCTION("""COMPUTED_VALUE"""),"NO")</f>
        <v>NO</v>
      </c>
      <c r="C261" s="6" t="str">
        <f>IFERROR(__xludf.DUMMYFUNCTION("""COMPUTED_VALUE"""),"NO")</f>
        <v>NO</v>
      </c>
      <c r="D261" s="6"/>
      <c r="E261" s="6"/>
    </row>
    <row r="262">
      <c r="A262" s="6" t="str">
        <f>IFERROR(__xludf.DUMMYFUNCTION("""COMPUTED_VALUE"""),"avdeshpande@mitaoe.ac.in")</f>
        <v>avdeshpande@mitaoe.ac.in</v>
      </c>
      <c r="B262" s="6" t="str">
        <f>IFERROR(__xludf.DUMMYFUNCTION("""COMPUTED_VALUE"""),"YES")</f>
        <v>YES</v>
      </c>
      <c r="C262" s="6" t="str">
        <f>IFERROR(__xludf.DUMMYFUNCTION("""COMPUTED_VALUE"""),"YES")</f>
        <v>YES</v>
      </c>
      <c r="D262" s="49" t="str">
        <f>IFERROR(__xludf.DUMMYFUNCTION("""COMPUTED_VALUE"""),"https://drive.google.com/open?id=1xTVeV1aWcqs6e_W7QLmpwk4bwrZMf_iZ")</f>
        <v>https://drive.google.com/open?id=1xTVeV1aWcqs6e_W7QLmpwk4bwrZMf_iZ</v>
      </c>
      <c r="E262" s="49" t="str">
        <f>IFERROR(__xludf.DUMMYFUNCTION("""COMPUTED_VALUE"""),"https://drive.google.com/open?id=1BuiuK4WsRes6qL1q10xoOh1RASxRyivd")</f>
        <v>https://drive.google.com/open?id=1BuiuK4WsRes6qL1q10xoOh1RASxRyivd</v>
      </c>
    </row>
    <row r="263">
      <c r="A263" s="6" t="str">
        <f>IFERROR(__xludf.DUMMYFUNCTION("""COMPUTED_VALUE"""),"slsharma@mitaoe.ac.in")</f>
        <v>slsharma@mitaoe.ac.in</v>
      </c>
      <c r="B263" s="6" t="str">
        <f>IFERROR(__xludf.DUMMYFUNCTION("""COMPUTED_VALUE"""),"YES")</f>
        <v>YES</v>
      </c>
      <c r="C263" s="6" t="str">
        <f>IFERROR(__xludf.DUMMYFUNCTION("""COMPUTED_VALUE"""),"YES")</f>
        <v>YES</v>
      </c>
      <c r="D263" s="49" t="str">
        <f>IFERROR(__xludf.DUMMYFUNCTION("""COMPUTED_VALUE"""),"https://drive.google.com/file/d/1h-2rE8Zuhw0Ym7FOoECvpEOoEaln7-Pk/view?usp=sharing")</f>
        <v>https://drive.google.com/file/d/1h-2rE8Zuhw0Ym7FOoECvpEOoEaln7-Pk/view?usp=sharing</v>
      </c>
      <c r="E263" s="49" t="str">
        <f>IFERROR(__xludf.DUMMYFUNCTION("""COMPUTED_VALUE"""),"https://drive.google.com/open?id=1z7e15fucf1cBwSysuXwMzlv8i8rZvJkL")</f>
        <v>https://drive.google.com/open?id=1z7e15fucf1cBwSysuXwMzlv8i8rZvJkL</v>
      </c>
    </row>
    <row r="264">
      <c r="A264" s="6" t="str">
        <f>IFERROR(__xludf.DUMMYFUNCTION("""COMPUTED_VALUE"""),"appathak@mitaoe.ac.in")</f>
        <v>appathak@mitaoe.ac.in</v>
      </c>
      <c r="B264" s="6" t="str">
        <f>IFERROR(__xludf.DUMMYFUNCTION("""COMPUTED_VALUE"""),"YES")</f>
        <v>YES</v>
      </c>
      <c r="C264" s="6" t="str">
        <f>IFERROR(__xludf.DUMMYFUNCTION("""COMPUTED_VALUE"""),"YES")</f>
        <v>YES</v>
      </c>
      <c r="D264" s="49" t="str">
        <f>IFERROR(__xludf.DUMMYFUNCTION("""COMPUTED_VALUE"""),"https://drive.google.com/open?id=1O1n-0puml6BxsqPLepkmKytUDi1aiuPA")</f>
        <v>https://drive.google.com/open?id=1O1n-0puml6BxsqPLepkmKytUDi1aiuPA</v>
      </c>
      <c r="E264" s="49" t="str">
        <f>IFERROR(__xludf.DUMMYFUNCTION("""COMPUTED_VALUE"""),"https://drive.google.com/open?id=1qbX_SEzWKE3K9mlBILcU01WyOU_2HuGW")</f>
        <v>https://drive.google.com/open?id=1qbX_SEzWKE3K9mlBILcU01WyOU_2HuGW</v>
      </c>
    </row>
    <row r="265">
      <c r="A265" s="6" t="str">
        <f>IFERROR(__xludf.DUMMYFUNCTION("""COMPUTED_VALUE"""),"mjmudagal@mitaoe.ac.in")</f>
        <v>mjmudagal@mitaoe.ac.in</v>
      </c>
      <c r="B265" s="6" t="str">
        <f>IFERROR(__xludf.DUMMYFUNCTION("""COMPUTED_VALUE"""),"NO")</f>
        <v>NO</v>
      </c>
      <c r="C265" s="6" t="str">
        <f>IFERROR(__xludf.DUMMYFUNCTION("""COMPUTED_VALUE"""),"NO")</f>
        <v>NO</v>
      </c>
      <c r="D265" s="6"/>
      <c r="E265" s="6"/>
    </row>
    <row r="266">
      <c r="A266" s="6" t="str">
        <f>IFERROR(__xludf.DUMMYFUNCTION("""COMPUTED_VALUE"""),"rmkokate@mitaoe.ac.in")</f>
        <v>rmkokate@mitaoe.ac.in</v>
      </c>
      <c r="B266" s="6" t="str">
        <f>IFERROR(__xludf.DUMMYFUNCTION("""COMPUTED_VALUE"""),"NO")</f>
        <v>NO</v>
      </c>
      <c r="C266" s="6" t="str">
        <f>IFERROR(__xludf.DUMMYFUNCTION("""COMPUTED_VALUE"""),"NO")</f>
        <v>NO</v>
      </c>
      <c r="D266" s="6"/>
      <c r="E266" s="6"/>
    </row>
    <row r="267">
      <c r="A267" s="6" t="str">
        <f>IFERROR(__xludf.DUMMYFUNCTION("""COMPUTED_VALUE"""),"tanair@mitaoe.ac.in")</f>
        <v>tanair@mitaoe.ac.in</v>
      </c>
      <c r="B267" s="6" t="str">
        <f>IFERROR(__xludf.DUMMYFUNCTION("""COMPUTED_VALUE"""),"YES")</f>
        <v>YES</v>
      </c>
      <c r="C267" s="6" t="str">
        <f>IFERROR(__xludf.DUMMYFUNCTION("""COMPUTED_VALUE"""),"NO")</f>
        <v>NO</v>
      </c>
      <c r="D267" s="49" t="str">
        <f>IFERROR(__xludf.DUMMYFUNCTION("""COMPUTED_VALUE"""),"https://drive.google.com/open?id=1nkjFCw94Z_vwiXbggGbAGr5GC6o6EjO6")</f>
        <v>https://drive.google.com/open?id=1nkjFCw94Z_vwiXbggGbAGr5GC6o6EjO6</v>
      </c>
      <c r="E267" s="49" t="str">
        <f>IFERROR(__xludf.DUMMYFUNCTION("""COMPUTED_VALUE"""),"https://drive.google.com/open?id=1deaX6G5zlGLpCymr6jhlY_1E_8LP709u")</f>
        <v>https://drive.google.com/open?id=1deaX6G5zlGLpCymr6jhlY_1E_8LP709u</v>
      </c>
    </row>
    <row r="268">
      <c r="A268" s="6" t="str">
        <f>IFERROR(__xludf.DUMMYFUNCTION("""COMPUTED_VALUE"""),"srsharma@mitaoe.ac.in")</f>
        <v>srsharma@mitaoe.ac.in</v>
      </c>
      <c r="B268" s="6" t="str">
        <f>IFERROR(__xludf.DUMMYFUNCTION("""COMPUTED_VALUE"""),"YES")</f>
        <v>YES</v>
      </c>
      <c r="C268" s="6" t="str">
        <f>IFERROR(__xludf.DUMMYFUNCTION("""COMPUTED_VALUE"""),"YES")</f>
        <v>YES</v>
      </c>
      <c r="D268" s="49" t="str">
        <f>IFERROR(__xludf.DUMMYFUNCTION("""COMPUTED_VALUE"""),"https://drive.google.com/open?id=1vE7-G70t8Mlj_KuMfvtWU4GKCRqh9k9Q")</f>
        <v>https://drive.google.com/open?id=1vE7-G70t8Mlj_KuMfvtWU4GKCRqh9k9Q</v>
      </c>
      <c r="E268" s="49" t="str">
        <f>IFERROR(__xludf.DUMMYFUNCTION("""COMPUTED_VALUE"""),"https://drive.google.com/open?id=1QMSQtZYRTry01AEIfX36OnNIV1vO8eEV")</f>
        <v>https://drive.google.com/open?id=1QMSQtZYRTry01AEIfX36OnNIV1vO8eEV</v>
      </c>
    </row>
    <row r="269">
      <c r="A269" s="6" t="str">
        <f>IFERROR(__xludf.DUMMYFUNCTION("""COMPUTED_VALUE"""),"oukulkarni@mitaoe.ac.in")</f>
        <v>oukulkarni@mitaoe.ac.in</v>
      </c>
      <c r="B269" s="6" t="str">
        <f>IFERROR(__xludf.DUMMYFUNCTION("""COMPUTED_VALUE"""),"NO")</f>
        <v>NO</v>
      </c>
      <c r="C269" s="6" t="str">
        <f>IFERROR(__xludf.DUMMYFUNCTION("""COMPUTED_VALUE"""),"NO")</f>
        <v>NO</v>
      </c>
      <c r="D269" s="6"/>
      <c r="E269" s="6"/>
    </row>
    <row r="270">
      <c r="A270" s="6" t="str">
        <f>IFERROR(__xludf.DUMMYFUNCTION("""COMPUTED_VALUE"""),"argothi@mitaoe.ac.in")</f>
        <v>argothi@mitaoe.ac.in</v>
      </c>
      <c r="B270" s="6" t="str">
        <f>IFERROR(__xludf.DUMMYFUNCTION("""COMPUTED_VALUE"""),"YES")</f>
        <v>YES</v>
      </c>
      <c r="C270" s="6" t="str">
        <f>IFERROR(__xludf.DUMMYFUNCTION("""COMPUTED_VALUE"""),"YES")</f>
        <v>YES</v>
      </c>
      <c r="D270" s="49" t="str">
        <f>IFERROR(__xludf.DUMMYFUNCTION("""COMPUTED_VALUE"""),"https://drive.google.com/open?id=1CaJe0Muz2Pp7DxYBriYF5RYvdP5rzu3K")</f>
        <v>https://drive.google.com/open?id=1CaJe0Muz2Pp7DxYBriYF5RYvdP5rzu3K</v>
      </c>
      <c r="E270" s="49" t="str">
        <f>IFERROR(__xludf.DUMMYFUNCTION("""COMPUTED_VALUE"""),"https://drive.google.com/open?id=1tDZwHivvBu9O0vA1BE2QAKUE_h3cp-Mw")</f>
        <v>https://drive.google.com/open?id=1tDZwHivvBu9O0vA1BE2QAKUE_h3cp-Mw</v>
      </c>
    </row>
    <row r="271">
      <c r="A271" s="6" t="str">
        <f>IFERROR(__xludf.DUMMYFUNCTION("""COMPUTED_VALUE"""),"dadani@mitaoe.ac.in")</f>
        <v>dadani@mitaoe.ac.in</v>
      </c>
      <c r="B271" s="6" t="str">
        <f>IFERROR(__xludf.DUMMYFUNCTION("""COMPUTED_VALUE"""),"YES")</f>
        <v>YES</v>
      </c>
      <c r="C271" s="6" t="str">
        <f>IFERROR(__xludf.DUMMYFUNCTION("""COMPUTED_VALUE"""),"YES")</f>
        <v>YES</v>
      </c>
      <c r="D271" s="49" t="str">
        <f>IFERROR(__xludf.DUMMYFUNCTION("""COMPUTED_VALUE"""),"https://drive.google.com/open?id=1rSWmjYAjVZUHgnJO-Uon-ZAdpxqxkCzT")</f>
        <v>https://drive.google.com/open?id=1rSWmjYAjVZUHgnJO-Uon-ZAdpxqxkCzT</v>
      </c>
      <c r="E271" s="49" t="str">
        <f>IFERROR(__xludf.DUMMYFUNCTION("""COMPUTED_VALUE"""),"https://drive.google.com/open?id=1ub3YMeX4ibXZgM1unqYpqfReOLVC_wl4")</f>
        <v>https://drive.google.com/open?id=1ub3YMeX4ibXZgM1unqYpqfReOLVC_wl4</v>
      </c>
    </row>
    <row r="272">
      <c r="A272" s="6" t="str">
        <f>IFERROR(__xludf.DUMMYFUNCTION("""COMPUTED_VALUE"""),"lspawle@mitaoe.ac.in")</f>
        <v>lspawle@mitaoe.ac.in</v>
      </c>
      <c r="B272" s="6" t="str">
        <f>IFERROR(__xludf.DUMMYFUNCTION("""COMPUTED_VALUE"""),"YES")</f>
        <v>YES</v>
      </c>
      <c r="C272" s="6" t="str">
        <f>IFERROR(__xludf.DUMMYFUNCTION("""COMPUTED_VALUE"""),"YES")</f>
        <v>YES</v>
      </c>
      <c r="D272" s="49" t="str">
        <f>IFERROR(__xludf.DUMMYFUNCTION("""COMPUTED_VALUE"""),"https://drive.google.com/open?id=15ZU-W9UakXm_SlDHlJfYlEj4z_s3iF92")</f>
        <v>https://drive.google.com/open?id=15ZU-W9UakXm_SlDHlJfYlEj4z_s3iF92</v>
      </c>
      <c r="E272" s="49" t="str">
        <f>IFERROR(__xludf.DUMMYFUNCTION("""COMPUTED_VALUE"""),"https://drive.google.com/open?id=1JNsYVXgNvuyiSiexPB1bO-HEmPU_dHf_")</f>
        <v>https://drive.google.com/open?id=1JNsYVXgNvuyiSiexPB1bO-HEmPU_dHf_</v>
      </c>
    </row>
    <row r="273">
      <c r="A273" s="6" t="str">
        <f>IFERROR(__xludf.DUMMYFUNCTION("""COMPUTED_VALUE"""),"rvmeshram@mitaoe.ac.in")</f>
        <v>rvmeshram@mitaoe.ac.in</v>
      </c>
      <c r="B273" s="6" t="str">
        <f>IFERROR(__xludf.DUMMYFUNCTION("""COMPUTED_VALUE"""),"YES")</f>
        <v>YES</v>
      </c>
      <c r="C273" s="6" t="str">
        <f>IFERROR(__xludf.DUMMYFUNCTION("""COMPUTED_VALUE"""),"YES")</f>
        <v>YES</v>
      </c>
      <c r="D273" s="49" t="str">
        <f>IFERROR(__xludf.DUMMYFUNCTION("""COMPUTED_VALUE"""),"https://drive.google.com/open?id=1zevn3AlmvVMnquGpone36FLrS9qxqt0H")</f>
        <v>https://drive.google.com/open?id=1zevn3AlmvVMnquGpone36FLrS9qxqt0H</v>
      </c>
      <c r="E273" s="49" t="str">
        <f>IFERROR(__xludf.DUMMYFUNCTION("""COMPUTED_VALUE"""),"https://drive.google.com/open?id=1cdLj11PoHfX_4M-spSEiqHYl7I-KkT23")</f>
        <v>https://drive.google.com/open?id=1cdLj11PoHfX_4M-spSEiqHYl7I-KkT23</v>
      </c>
    </row>
    <row r="274">
      <c r="A274" s="6" t="str">
        <f>IFERROR(__xludf.DUMMYFUNCTION("""COMPUTED_VALUE"""),"asharat@mitaoe.ac.in")</f>
        <v>asharat@mitaoe.ac.in</v>
      </c>
      <c r="B274" s="6" t="str">
        <f>IFERROR(__xludf.DUMMYFUNCTION("""COMPUTED_VALUE"""),"NO")</f>
        <v>NO</v>
      </c>
      <c r="C274" s="6" t="str">
        <f>IFERROR(__xludf.DUMMYFUNCTION("""COMPUTED_VALUE"""),"NO")</f>
        <v>NO</v>
      </c>
      <c r="D274" s="6"/>
      <c r="E274" s="6"/>
    </row>
    <row r="275">
      <c r="A275" s="6" t="str">
        <f>IFERROR(__xludf.DUMMYFUNCTION("""COMPUTED_VALUE"""),"aniketsingh@mitaoe.ac.in")</f>
        <v>aniketsingh@mitaoe.ac.in</v>
      </c>
      <c r="B275" s="6" t="str">
        <f>IFERROR(__xludf.DUMMYFUNCTION("""COMPUTED_VALUE"""),"NO")</f>
        <v>NO</v>
      </c>
      <c r="C275" s="6" t="str">
        <f>IFERROR(__xludf.DUMMYFUNCTION("""COMPUTED_VALUE"""),"NO")</f>
        <v>NO</v>
      </c>
      <c r="D275" s="49" t="str">
        <f>IFERROR(__xludf.DUMMYFUNCTION("""COMPUTED_VALUE"""),"https://drive.google.com/open?id=1iVv4JfQzz-UUZjgo8nqa8a7PtF8Ibrro")</f>
        <v>https://drive.google.com/open?id=1iVv4JfQzz-UUZjgo8nqa8a7PtF8Ibrro</v>
      </c>
      <c r="E275" s="49" t="str">
        <f>IFERROR(__xludf.DUMMYFUNCTION("""COMPUTED_VALUE"""),"https://drive.google.com/open?id=1wSQ62mTwy27lkWRnPNdtmnH4Gium_o6Y")</f>
        <v>https://drive.google.com/open?id=1wSQ62mTwy27lkWRnPNdtmnH4Gium_o6Y</v>
      </c>
    </row>
    <row r="276">
      <c r="A276" s="6" t="str">
        <f>IFERROR(__xludf.DUMMYFUNCTION("""COMPUTED_VALUE"""),"kskumar@mitaoe.ac.in")</f>
        <v>kskumar@mitaoe.ac.in</v>
      </c>
      <c r="B276" s="6" t="str">
        <f>IFERROR(__xludf.DUMMYFUNCTION("""COMPUTED_VALUE"""),"NO")</f>
        <v>NO</v>
      </c>
      <c r="C276" s="6" t="str">
        <f>IFERROR(__xludf.DUMMYFUNCTION("""COMPUTED_VALUE"""),"YES")</f>
        <v>YES</v>
      </c>
      <c r="D276" s="6"/>
      <c r="E276" s="49" t="str">
        <f>IFERROR(__xludf.DUMMYFUNCTION("""COMPUTED_VALUE"""),"https://drive.google.com/open?id=1dp1TQQ6AqF8oD1Iu_-sNUYMzp4XGgKjM")</f>
        <v>https://drive.google.com/open?id=1dp1TQQ6AqF8oD1Iu_-sNUYMzp4XGgKjM</v>
      </c>
    </row>
    <row r="277">
      <c r="A277" s="6" t="str">
        <f>IFERROR(__xludf.DUMMYFUNCTION("""COMPUTED_VALUE"""),"smghogare@mitaoe.ac.in")</f>
        <v>smghogare@mitaoe.ac.in</v>
      </c>
      <c r="B277" s="6" t="str">
        <f>IFERROR(__xludf.DUMMYFUNCTION("""COMPUTED_VALUE"""),"YES")</f>
        <v>YES</v>
      </c>
      <c r="C277" s="6" t="str">
        <f>IFERROR(__xludf.DUMMYFUNCTION("""COMPUTED_VALUE"""),"YES")</f>
        <v>YES</v>
      </c>
      <c r="D277" s="49" t="str">
        <f>IFERROR(__xludf.DUMMYFUNCTION("""COMPUTED_VALUE"""),"https://drive.google.com/open?id=1rvCJQSZeaF_sh5m4XBcKXDFnldNBm5lz")</f>
        <v>https://drive.google.com/open?id=1rvCJQSZeaF_sh5m4XBcKXDFnldNBm5lz</v>
      </c>
      <c r="E277" s="49" t="str">
        <f>IFERROR(__xludf.DUMMYFUNCTION("""COMPUTED_VALUE"""),"https://drive.google.com/open?id=17FXG19RRGu_DGEivCgvuA3NvF5dPklry")</f>
        <v>https://drive.google.com/open?id=17FXG19RRGu_DGEivCgvuA3NvF5dPklry</v>
      </c>
    </row>
    <row r="278">
      <c r="A278" s="6" t="str">
        <f>IFERROR(__xludf.DUMMYFUNCTION("""COMPUTED_VALUE"""),"psawant@mitaoe.ac.in")</f>
        <v>psawant@mitaoe.ac.in</v>
      </c>
      <c r="B278" s="6" t="str">
        <f>IFERROR(__xludf.DUMMYFUNCTION("""COMPUTED_VALUE"""),"NO")</f>
        <v>NO</v>
      </c>
      <c r="C278" s="6" t="str">
        <f>IFERROR(__xludf.DUMMYFUNCTION("""COMPUTED_VALUE"""),"NO")</f>
        <v>NO</v>
      </c>
      <c r="D278" s="6"/>
      <c r="E278" s="6"/>
    </row>
    <row r="279">
      <c r="A279" s="6" t="str">
        <f>IFERROR(__xludf.DUMMYFUNCTION("""COMPUTED_VALUE"""),"vvwagaj@mitaoe.ac.in")</f>
        <v>vvwagaj@mitaoe.ac.in</v>
      </c>
      <c r="B279" s="6" t="str">
        <f>IFERROR(__xludf.DUMMYFUNCTION("""COMPUTED_VALUE"""),"YES")</f>
        <v>YES</v>
      </c>
      <c r="C279" s="6" t="str">
        <f>IFERROR(__xludf.DUMMYFUNCTION("""COMPUTED_VALUE"""),"YES")</f>
        <v>YES</v>
      </c>
      <c r="D279" s="49" t="str">
        <f>IFERROR(__xludf.DUMMYFUNCTION("""COMPUTED_VALUE"""),"https://drive.google.com/open?id=1TQWoXe4Ckb5IRizb8LTEP1tqoEDsh9MI")</f>
        <v>https://drive.google.com/open?id=1TQWoXe4Ckb5IRizb8LTEP1tqoEDsh9MI</v>
      </c>
      <c r="E279" s="49" t="str">
        <f>IFERROR(__xludf.DUMMYFUNCTION("""COMPUTED_VALUE"""),"https://drive.google.com/open?id=1PJ5NmKfE2nmay7q6-Rf8V_LY3hQcDspj")</f>
        <v>https://drive.google.com/open?id=1PJ5NmKfE2nmay7q6-Rf8V_LY3hQcDspj</v>
      </c>
    </row>
    <row r="280">
      <c r="A280" s="6" t="str">
        <f>IFERROR(__xludf.DUMMYFUNCTION("""COMPUTED_VALUE"""),"ypkharade@mitaoe.ac.in")</f>
        <v>ypkharade@mitaoe.ac.in</v>
      </c>
      <c r="B280" s="6" t="str">
        <f>IFERROR(__xludf.DUMMYFUNCTION("""COMPUTED_VALUE"""),"YES")</f>
        <v>YES</v>
      </c>
      <c r="C280" s="6" t="str">
        <f>IFERROR(__xludf.DUMMYFUNCTION("""COMPUTED_VALUE"""),"YES")</f>
        <v>YES</v>
      </c>
      <c r="D280" s="49" t="str">
        <f>IFERROR(__xludf.DUMMYFUNCTION("""COMPUTED_VALUE"""),"https://drive.google.com/open?id=1fdrpA3X9ODwpCfRsiG2BasHp6npxZ-_R")</f>
        <v>https://drive.google.com/open?id=1fdrpA3X9ODwpCfRsiG2BasHp6npxZ-_R</v>
      </c>
      <c r="E280" s="49" t="str">
        <f>IFERROR(__xludf.DUMMYFUNCTION("""COMPUTED_VALUE"""),"https://drive.google.com/open?id=107P3sBl5xTYrrp8ZBbnRTpaaXTFEZNDv")</f>
        <v>https://drive.google.com/open?id=107P3sBl5xTYrrp8ZBbnRTpaaXTFEZNDv</v>
      </c>
    </row>
    <row r="281">
      <c r="A281" s="6" t="str">
        <f>IFERROR(__xludf.DUMMYFUNCTION("""COMPUTED_VALUE"""),"shrutipawar@mitaoe.ac.in")</f>
        <v>shrutipawar@mitaoe.ac.in</v>
      </c>
      <c r="B281" s="6" t="str">
        <f>IFERROR(__xludf.DUMMYFUNCTION("""COMPUTED_VALUE"""),"YES")</f>
        <v>YES</v>
      </c>
      <c r="C281" s="6" t="str">
        <f>IFERROR(__xludf.DUMMYFUNCTION("""COMPUTED_VALUE"""),"YES")</f>
        <v>YES</v>
      </c>
      <c r="D281" s="49" t="str">
        <f>IFERROR(__xludf.DUMMYFUNCTION("""COMPUTED_VALUE"""),"https://drive.google.com/open?id=1InOJ2oKwuW7i-A2KeS6KziDPpCm2BI29")</f>
        <v>https://drive.google.com/open?id=1InOJ2oKwuW7i-A2KeS6KziDPpCm2BI29</v>
      </c>
      <c r="E281" s="49" t="str">
        <f>IFERROR(__xludf.DUMMYFUNCTION("""COMPUTED_VALUE"""),"https://drive.google.com/open?id=1J0dPUnxSuxcIfQoQE2pgwQBc2-amkXSe")</f>
        <v>https://drive.google.com/open?id=1J0dPUnxSuxcIfQoQE2pgwQBc2-amkXSe</v>
      </c>
    </row>
    <row r="282">
      <c r="A282" s="6" t="str">
        <f>IFERROR(__xludf.DUMMYFUNCTION("""COMPUTED_VALUE"""),"amtadvi@mitaoe.ac.in")</f>
        <v>amtadvi@mitaoe.ac.in</v>
      </c>
      <c r="B282" s="6" t="str">
        <f>IFERROR(__xludf.DUMMYFUNCTION("""COMPUTED_VALUE"""),"NO")</f>
        <v>NO</v>
      </c>
      <c r="C282" s="6" t="str">
        <f>IFERROR(__xludf.DUMMYFUNCTION("""COMPUTED_VALUE"""),"NO")</f>
        <v>NO</v>
      </c>
      <c r="D282" s="6"/>
      <c r="E282" s="6"/>
    </row>
    <row r="283">
      <c r="A283" s="6" t="str">
        <f>IFERROR(__xludf.DUMMYFUNCTION("""COMPUTED_VALUE"""),"abkapse@mitaoe.ac.in")</f>
        <v>abkapse@mitaoe.ac.in</v>
      </c>
      <c r="B283" s="6" t="str">
        <f>IFERROR(__xludf.DUMMYFUNCTION("""COMPUTED_VALUE"""),"YES")</f>
        <v>YES</v>
      </c>
      <c r="C283" s="6" t="str">
        <f>IFERROR(__xludf.DUMMYFUNCTION("""COMPUTED_VALUE"""),"YES")</f>
        <v>YES</v>
      </c>
      <c r="D283" s="49" t="str">
        <f>IFERROR(__xludf.DUMMYFUNCTION("""COMPUTED_VALUE"""),"https://drive.google.com/open?id=1G0S64yRwx26r-UopZrbH8nr41XGk06aP")</f>
        <v>https://drive.google.com/open?id=1G0S64yRwx26r-UopZrbH8nr41XGk06aP</v>
      </c>
      <c r="E283" s="49" t="str">
        <f>IFERROR(__xludf.DUMMYFUNCTION("""COMPUTED_VALUE"""),"https://drive.google.com/open?id=1Lz5WBSL24lvC1tlLVvMGBVAfINPQ5rfO")</f>
        <v>https://drive.google.com/open?id=1Lz5WBSL24lvC1tlLVvMGBVAfINPQ5rfO</v>
      </c>
    </row>
    <row r="284">
      <c r="A284" s="6" t="str">
        <f>IFERROR(__xludf.DUMMYFUNCTION("""COMPUTED_VALUE"""),"smdiwate@mitaoe.ac.in")</f>
        <v>smdiwate@mitaoe.ac.in</v>
      </c>
      <c r="B284" s="6" t="str">
        <f>IFERROR(__xludf.DUMMYFUNCTION("""COMPUTED_VALUE"""),"YES")</f>
        <v>YES</v>
      </c>
      <c r="C284" s="6" t="str">
        <f>IFERROR(__xludf.DUMMYFUNCTION("""COMPUTED_VALUE"""),"NO")</f>
        <v>NO</v>
      </c>
      <c r="D284" s="49" t="str">
        <f>IFERROR(__xludf.DUMMYFUNCTION("""COMPUTED_VALUE"""),"https://drive.google.com/open?id=1Xmd1BjxUCOEsXf2jUynBYjLxXxH6U9IX")</f>
        <v>https://drive.google.com/open?id=1Xmd1BjxUCOEsXf2jUynBYjLxXxH6U9IX</v>
      </c>
      <c r="E284" s="49" t="str">
        <f>IFERROR(__xludf.DUMMYFUNCTION("""COMPUTED_VALUE"""),"https://drive.google.com/open?id=1HHBJIQbfRPGV0L1dGg7dTsDlhgSGKEfh")</f>
        <v>https://drive.google.com/open?id=1HHBJIQbfRPGV0L1dGg7dTsDlhgSGKEfh</v>
      </c>
    </row>
    <row r="285">
      <c r="A285" s="6" t="str">
        <f>IFERROR(__xludf.DUMMYFUNCTION("""COMPUTED_VALUE"""),"kaphutane@mitaoe.ac.in")</f>
        <v>kaphutane@mitaoe.ac.in</v>
      </c>
      <c r="B285" s="6" t="str">
        <f>IFERROR(__xludf.DUMMYFUNCTION("""COMPUTED_VALUE"""),"YES")</f>
        <v>YES</v>
      </c>
      <c r="C285" s="6" t="str">
        <f>IFERROR(__xludf.DUMMYFUNCTION("""COMPUTED_VALUE"""),"YES")</f>
        <v>YES</v>
      </c>
      <c r="D285" s="49" t="str">
        <f>IFERROR(__xludf.DUMMYFUNCTION("""COMPUTED_VALUE"""),"https://drive.google.com/open?id=19OuqkP-4b-5aVwr9L9hijBUL-j2WD_f7")</f>
        <v>https://drive.google.com/open?id=19OuqkP-4b-5aVwr9L9hijBUL-j2WD_f7</v>
      </c>
      <c r="E285" s="49" t="str">
        <f>IFERROR(__xludf.DUMMYFUNCTION("""COMPUTED_VALUE"""),"https://drive.google.com/open?id=1h-nM6Dz4UZr7kQuJqdcvPHmzPv8gO4xb")</f>
        <v>https://drive.google.com/open?id=1h-nM6Dz4UZr7kQuJqdcvPHmzPv8gO4xb</v>
      </c>
    </row>
    <row r="286">
      <c r="A286" s="6" t="str">
        <f>IFERROR(__xludf.DUMMYFUNCTION("""COMPUTED_VALUE"""),"rkbawkar@mitaoe.ac.in")</f>
        <v>rkbawkar@mitaoe.ac.in</v>
      </c>
      <c r="B286" s="6" t="str">
        <f>IFERROR(__xludf.DUMMYFUNCTION("""COMPUTED_VALUE"""),"YES")</f>
        <v>YES</v>
      </c>
      <c r="C286" s="6" t="str">
        <f>IFERROR(__xludf.DUMMYFUNCTION("""COMPUTED_VALUE"""),"YES")</f>
        <v>YES</v>
      </c>
      <c r="D286" s="49" t="str">
        <f>IFERROR(__xludf.DUMMYFUNCTION("""COMPUTED_VALUE"""),"https://drive.google.com/open?id=1Tm49AeMW7u8uJKC1ZCmeX3ECIFNPIQzR")</f>
        <v>https://drive.google.com/open?id=1Tm49AeMW7u8uJKC1ZCmeX3ECIFNPIQzR</v>
      </c>
      <c r="E286" s="49" t="str">
        <f>IFERROR(__xludf.DUMMYFUNCTION("""COMPUTED_VALUE"""),"https://drive.google.com/open?id=1pRF8-F3FebfQoPxaPjs0Uk3adWAuNfzF")</f>
        <v>https://drive.google.com/open?id=1pRF8-F3FebfQoPxaPjs0Uk3adWAuNfzF</v>
      </c>
    </row>
    <row r="287">
      <c r="A287" s="6" t="str">
        <f>IFERROR(__xludf.DUMMYFUNCTION("""COMPUTED_VALUE"""),"nbkhandagale@mitaoe.ac.in")</f>
        <v>nbkhandagale@mitaoe.ac.in</v>
      </c>
      <c r="B287" s="6" t="str">
        <f>IFERROR(__xludf.DUMMYFUNCTION("""COMPUTED_VALUE"""),"NO")</f>
        <v>NO</v>
      </c>
      <c r="C287" s="6" t="str">
        <f>IFERROR(__xludf.DUMMYFUNCTION("""COMPUTED_VALUE"""),"YES")</f>
        <v>YES</v>
      </c>
      <c r="D287" s="6"/>
      <c r="E287" s="49" t="str">
        <f>IFERROR(__xludf.DUMMYFUNCTION("""COMPUTED_VALUE"""),"https://drive.google.com/open?id=1C3IATobPz_s-NRqLQjh5rX73JOOtuE5T")</f>
        <v>https://drive.google.com/open?id=1C3IATobPz_s-NRqLQjh5rX73JOOtuE5T</v>
      </c>
    </row>
    <row r="288">
      <c r="A288" s="6" t="str">
        <f>IFERROR(__xludf.DUMMYFUNCTION("""COMPUTED_VALUE"""),"hvbarge@mitaoe.ac.in")</f>
        <v>hvbarge@mitaoe.ac.in</v>
      </c>
      <c r="B288" s="6" t="str">
        <f>IFERROR(__xludf.DUMMYFUNCTION("""COMPUTED_VALUE"""),"NO")</f>
        <v>NO</v>
      </c>
      <c r="C288" s="6" t="str">
        <f>IFERROR(__xludf.DUMMYFUNCTION("""COMPUTED_VALUE"""),"NO")</f>
        <v>NO</v>
      </c>
      <c r="D288" s="49" t="str">
        <f>IFERROR(__xludf.DUMMYFUNCTION("""COMPUTED_VALUE"""),"https://drive.google.com/open?id=1ja3RUvhLOGBPo9YD8RxzBn7OTi4HelwO")</f>
        <v>https://drive.google.com/open?id=1ja3RUvhLOGBPo9YD8RxzBn7OTi4HelwO</v>
      </c>
      <c r="E288" s="49" t="str">
        <f>IFERROR(__xludf.DUMMYFUNCTION("""COMPUTED_VALUE"""),"https://drive.google.com/open?id=1mLqFuROBJ5kpv6aLom1W_wuClk4XOlPK")</f>
        <v>https://drive.google.com/open?id=1mLqFuROBJ5kpv6aLom1W_wuClk4XOlPK</v>
      </c>
    </row>
    <row r="289">
      <c r="A289" s="6" t="str">
        <f>IFERROR(__xludf.DUMMYFUNCTION("""COMPUTED_VALUE"""),"kumarsarth@mitaoe.ac.in")</f>
        <v>kumarsarth@mitaoe.ac.in</v>
      </c>
      <c r="B289" s="6" t="str">
        <f>IFERROR(__xludf.DUMMYFUNCTION("""COMPUTED_VALUE"""),"NO")</f>
        <v>NO</v>
      </c>
      <c r="C289" s="6" t="str">
        <f>IFERROR(__xludf.DUMMYFUNCTION("""COMPUTED_VALUE"""),"NO")</f>
        <v>NO</v>
      </c>
      <c r="D289" s="6"/>
      <c r="E289" s="6"/>
    </row>
    <row r="290">
      <c r="A290" s="6" t="str">
        <f>IFERROR(__xludf.DUMMYFUNCTION("""COMPUTED_VALUE"""),"amsingh@mitaoe.ac.in")</f>
        <v>amsingh@mitaoe.ac.in</v>
      </c>
      <c r="B290" s="6" t="str">
        <f>IFERROR(__xludf.DUMMYFUNCTION("""COMPUTED_VALUE"""),"YES")</f>
        <v>YES</v>
      </c>
      <c r="C290" s="6" t="str">
        <f>IFERROR(__xludf.DUMMYFUNCTION("""COMPUTED_VALUE"""),"YES")</f>
        <v>YES</v>
      </c>
      <c r="D290" s="49" t="str">
        <f>IFERROR(__xludf.DUMMYFUNCTION("""COMPUTED_VALUE"""),"https://drive.google.com/open?id=1UyWxseFwcVfUVMguTsy5GK2CZY5b9xjH")</f>
        <v>https://drive.google.com/open?id=1UyWxseFwcVfUVMguTsy5GK2CZY5b9xjH</v>
      </c>
      <c r="E290" s="49" t="str">
        <f>IFERROR(__xludf.DUMMYFUNCTION("""COMPUTED_VALUE"""),"https://drive.google.com/open?id=1Up7hskVR8TbrEqvRNA06CqxSHVuPK6NU")</f>
        <v>https://drive.google.com/open?id=1Up7hskVR8TbrEqvRNA06CqxSHVuPK6NU</v>
      </c>
    </row>
    <row r="291">
      <c r="A291" s="6" t="str">
        <f>IFERROR(__xludf.DUMMYFUNCTION("""COMPUTED_VALUE"""),"ubbhosale@mitaoe.ac.in")</f>
        <v>ubbhosale@mitaoe.ac.in</v>
      </c>
      <c r="B291" s="6" t="str">
        <f>IFERROR(__xludf.DUMMYFUNCTION("""COMPUTED_VALUE"""),"YES")</f>
        <v>YES</v>
      </c>
      <c r="C291" s="6" t="str">
        <f>IFERROR(__xludf.DUMMYFUNCTION("""COMPUTED_VALUE"""),"NO")</f>
        <v>NO</v>
      </c>
      <c r="D291" s="49" t="str">
        <f>IFERROR(__xludf.DUMMYFUNCTION("""COMPUTED_VALUE"""),"https://drive.google.com/open?id=16paxBCcV2mQd_AI8R92THO6-qABD81Si")</f>
        <v>https://drive.google.com/open?id=16paxBCcV2mQd_AI8R92THO6-qABD81Si</v>
      </c>
      <c r="E291" s="6"/>
    </row>
    <row r="292">
      <c r="A292" s="6" t="str">
        <f>IFERROR(__xludf.DUMMYFUNCTION("""COMPUTED_VALUE"""),"mgbedmutha@mitaoe.ac.in")</f>
        <v>mgbedmutha@mitaoe.ac.in</v>
      </c>
      <c r="B292" s="6" t="str">
        <f>IFERROR(__xludf.DUMMYFUNCTION("""COMPUTED_VALUE"""),"YES")</f>
        <v>YES</v>
      </c>
      <c r="C292" s="6" t="str">
        <f>IFERROR(__xludf.DUMMYFUNCTION("""COMPUTED_VALUE"""),"YES")</f>
        <v>YES</v>
      </c>
      <c r="D292" s="49" t="str">
        <f>IFERROR(__xludf.DUMMYFUNCTION("""COMPUTED_VALUE"""),"https://drive.google.com/open?id=14C35uHQO1gU-eNRXjhLWtnc8fDUe8I6L")</f>
        <v>https://drive.google.com/open?id=14C35uHQO1gU-eNRXjhLWtnc8fDUe8I6L</v>
      </c>
      <c r="E292" s="49" t="str">
        <f>IFERROR(__xludf.DUMMYFUNCTION("""COMPUTED_VALUE"""),"https://drive.google.com/open?id=1UN__OpTgPvL8e5tphEcJr4UaFzXm8rz4")</f>
        <v>https://drive.google.com/open?id=1UN__OpTgPvL8e5tphEcJr4UaFzXm8rz4</v>
      </c>
    </row>
    <row r="293">
      <c r="A293" s="6" t="str">
        <f>IFERROR(__xludf.DUMMYFUNCTION("""COMPUTED_VALUE"""),"kvbangde@mitaoe.ac.in")</f>
        <v>kvbangde@mitaoe.ac.in</v>
      </c>
      <c r="B293" s="6" t="str">
        <f>IFERROR(__xludf.DUMMYFUNCTION("""COMPUTED_VALUE"""),"YES")</f>
        <v>YES</v>
      </c>
      <c r="C293" s="6" t="str">
        <f>IFERROR(__xludf.DUMMYFUNCTION("""COMPUTED_VALUE"""),"YES")</f>
        <v>YES</v>
      </c>
      <c r="D293" s="49" t="str">
        <f>IFERROR(__xludf.DUMMYFUNCTION("""COMPUTED_VALUE"""),"https://drive.google.com/open?id=1-yL9nAGLfrUHK6QkQ1iDqOu9_EyKzumT")</f>
        <v>https://drive.google.com/open?id=1-yL9nAGLfrUHK6QkQ1iDqOu9_EyKzumT</v>
      </c>
      <c r="E293" s="49" t="str">
        <f>IFERROR(__xludf.DUMMYFUNCTION("""COMPUTED_VALUE"""),"https://drive.google.com/open?id=1OBSehv7q1-renDCSlYTxeQEbSwd-Wq7q")</f>
        <v>https://drive.google.com/open?id=1OBSehv7q1-renDCSlYTxeQEbSwd-Wq7q</v>
      </c>
    </row>
    <row r="294">
      <c r="A294" s="6" t="str">
        <f>IFERROR(__xludf.DUMMYFUNCTION("""COMPUTED_VALUE"""),"dmpatil@mitaoe.ac.in")</f>
        <v>dmpatil@mitaoe.ac.in</v>
      </c>
      <c r="B294" s="6" t="str">
        <f>IFERROR(__xludf.DUMMYFUNCTION("""COMPUTED_VALUE"""),"YES")</f>
        <v>YES</v>
      </c>
      <c r="C294" s="6" t="str">
        <f>IFERROR(__xludf.DUMMYFUNCTION("""COMPUTED_VALUE"""),"YES")</f>
        <v>YES</v>
      </c>
      <c r="D294" s="49" t="str">
        <f>IFERROR(__xludf.DUMMYFUNCTION("""COMPUTED_VALUE"""),"https://drive.google.com/open?id=1lp3I17Mi_Grw432vMz25bZ_MnB8sv7Ep")</f>
        <v>https://drive.google.com/open?id=1lp3I17Mi_Grw432vMz25bZ_MnB8sv7Ep</v>
      </c>
      <c r="E294" s="49" t="str">
        <f>IFERROR(__xludf.DUMMYFUNCTION("""COMPUTED_VALUE"""),"https://drive.google.com/open?id=1PcuHb4HnTJt-jlw88CB5w8IK2V88yPjA")</f>
        <v>https://drive.google.com/open?id=1PcuHb4HnTJt-jlw88CB5w8IK2V88yPjA</v>
      </c>
    </row>
    <row r="295">
      <c r="A295" s="6" t="str">
        <f>IFERROR(__xludf.DUMMYFUNCTION("""COMPUTED_VALUE"""),"nskutwal@mitaoe.ac.in")</f>
        <v>nskutwal@mitaoe.ac.in</v>
      </c>
      <c r="B295" s="6" t="str">
        <f>IFERROR(__xludf.DUMMYFUNCTION("""COMPUTED_VALUE"""),"YES")</f>
        <v>YES</v>
      </c>
      <c r="C295" s="6" t="str">
        <f>IFERROR(__xludf.DUMMYFUNCTION("""COMPUTED_VALUE"""),"YES")</f>
        <v>YES</v>
      </c>
      <c r="D295" s="49" t="str">
        <f>IFERROR(__xludf.DUMMYFUNCTION("""COMPUTED_VALUE"""),"https://drive.google.com/open?id=1tzZgKc0WZkgVOjWOjB2o5k69MFY2b0_j")</f>
        <v>https://drive.google.com/open?id=1tzZgKc0WZkgVOjWOjB2o5k69MFY2b0_j</v>
      </c>
      <c r="E295" s="49" t="str">
        <f>IFERROR(__xludf.DUMMYFUNCTION("""COMPUTED_VALUE"""),"https://drive.google.com/open?id=1a5k69x5xBsr0_42LGVihwiGBzPc5SrTj")</f>
        <v>https://drive.google.com/open?id=1a5k69x5xBsr0_42LGVihwiGBzPc5SrTj</v>
      </c>
    </row>
    <row r="296">
      <c r="A296" s="6" t="str">
        <f>IFERROR(__xludf.DUMMYFUNCTION("""COMPUTED_VALUE"""),"aumane@mitaoe.ac.in")</f>
        <v>aumane@mitaoe.ac.in</v>
      </c>
      <c r="B296" s="6" t="str">
        <f>IFERROR(__xludf.DUMMYFUNCTION("""COMPUTED_VALUE"""),"YES")</f>
        <v>YES</v>
      </c>
      <c r="C296" s="6" t="str">
        <f>IFERROR(__xludf.DUMMYFUNCTION("""COMPUTED_VALUE"""),"YES")</f>
        <v>YES</v>
      </c>
      <c r="D296" s="49" t="str">
        <f>IFERROR(__xludf.DUMMYFUNCTION("""COMPUTED_VALUE"""),"https://drive.google.com/open?id=14of9h1mEHXBNdv3_Y1pj4Vdk_t3awqBj")</f>
        <v>https://drive.google.com/open?id=14of9h1mEHXBNdv3_Y1pj4Vdk_t3awqBj</v>
      </c>
      <c r="E296" s="49" t="str">
        <f>IFERROR(__xludf.DUMMYFUNCTION("""COMPUTED_VALUE"""),"https://drive.google.com/open?id=1CiHxLTdCPYlbAJ1hXa6SzNwo7gKfzPEX")</f>
        <v>https://drive.google.com/open?id=1CiHxLTdCPYlbAJ1hXa6SzNwo7gKfzPEX</v>
      </c>
    </row>
    <row r="297">
      <c r="A297" s="6" t="str">
        <f>IFERROR(__xludf.DUMMYFUNCTION("""COMPUTED_VALUE"""),"avmukund@mitaoe.ac.in")</f>
        <v>avmukund@mitaoe.ac.in</v>
      </c>
      <c r="B297" s="6" t="str">
        <f>IFERROR(__xludf.DUMMYFUNCTION("""COMPUTED_VALUE"""),"YES")</f>
        <v>YES</v>
      </c>
      <c r="C297" s="6" t="str">
        <f>IFERROR(__xludf.DUMMYFUNCTION("""COMPUTED_VALUE"""),"YES")</f>
        <v>YES</v>
      </c>
      <c r="D297" s="49" t="str">
        <f>IFERROR(__xludf.DUMMYFUNCTION("""COMPUTED_VALUE"""),"https://drive.google.com/open?id=1gzyQIHA8Flk_EGlQt3uT2iExNSnfLG4d")</f>
        <v>https://drive.google.com/open?id=1gzyQIHA8Flk_EGlQt3uT2iExNSnfLG4d</v>
      </c>
      <c r="E297" s="49" t="str">
        <f>IFERROR(__xludf.DUMMYFUNCTION("""COMPUTED_VALUE"""),"https://drive.google.com/open?id=1fw-Ou5NfLmLhTOtuCprbmUKHiZnILA8u")</f>
        <v>https://drive.google.com/open?id=1fw-Ou5NfLmLhTOtuCprbmUKHiZnILA8u</v>
      </c>
    </row>
    <row r="298">
      <c r="A298" s="6" t="str">
        <f>IFERROR(__xludf.DUMMYFUNCTION("""COMPUTED_VALUE"""),"vdgaikwad@mitaoe.ac.in")</f>
        <v>vdgaikwad@mitaoe.ac.in</v>
      </c>
      <c r="B298" s="6" t="str">
        <f>IFERROR(__xludf.DUMMYFUNCTION("""COMPUTED_VALUE"""),"NO")</f>
        <v>NO</v>
      </c>
      <c r="C298" s="6" t="str">
        <f>IFERROR(__xludf.DUMMYFUNCTION("""COMPUTED_VALUE"""),"NO")</f>
        <v>NO</v>
      </c>
      <c r="D298" s="6"/>
      <c r="E298" s="6"/>
    </row>
    <row r="299">
      <c r="A299" s="6" t="str">
        <f>IFERROR(__xludf.DUMMYFUNCTION("""COMPUTED_VALUE"""),"harshsharma@mitaoe.ac.in")</f>
        <v>harshsharma@mitaoe.ac.in</v>
      </c>
      <c r="B299" s="6" t="str">
        <f>IFERROR(__xludf.DUMMYFUNCTION("""COMPUTED_VALUE"""),"YES")</f>
        <v>YES</v>
      </c>
      <c r="C299" s="6" t="str">
        <f>IFERROR(__xludf.DUMMYFUNCTION("""COMPUTED_VALUE"""),"NO")</f>
        <v>NO</v>
      </c>
      <c r="D299" s="49" t="str">
        <f>IFERROR(__xludf.DUMMYFUNCTION("""COMPUTED_VALUE"""),"https://drive.google.com/open?id=16zYO2aMoMT5fZKYjCjdHIuFtqlo1-18M")</f>
        <v>https://drive.google.com/open?id=16zYO2aMoMT5fZKYjCjdHIuFtqlo1-18M</v>
      </c>
      <c r="E299" s="6"/>
    </row>
    <row r="300">
      <c r="A300" s="6" t="str">
        <f>IFERROR(__xludf.DUMMYFUNCTION("""COMPUTED_VALUE"""),"osjagadale@mitaoe.ac.in")</f>
        <v>osjagadale@mitaoe.ac.in</v>
      </c>
      <c r="B300" s="6" t="str">
        <f>IFERROR(__xludf.DUMMYFUNCTION("""COMPUTED_VALUE"""),"YES")</f>
        <v>YES</v>
      </c>
      <c r="C300" s="6" t="str">
        <f>IFERROR(__xludf.DUMMYFUNCTION("""COMPUTED_VALUE"""),"YES")</f>
        <v>YES</v>
      </c>
      <c r="D300" s="49" t="str">
        <f>IFERROR(__xludf.DUMMYFUNCTION("""COMPUTED_VALUE"""),"https://drive.google.com/open?id=1REGDJGlt3U8I14Ty664bf9W0VTG-YM2Y")</f>
        <v>https://drive.google.com/open?id=1REGDJGlt3U8I14Ty664bf9W0VTG-YM2Y</v>
      </c>
      <c r="E300" s="49" t="str">
        <f>IFERROR(__xludf.DUMMYFUNCTION("""COMPUTED_VALUE"""),"https://drive.google.com/open?id=1F1SAjCYLVLsQE0u521imKnNpMwJxcyLc")</f>
        <v>https://drive.google.com/open?id=1F1SAjCYLVLsQE0u521imKnNpMwJxcyLc</v>
      </c>
    </row>
    <row r="301">
      <c r="A301" s="6" t="str">
        <f>IFERROR(__xludf.DUMMYFUNCTION("""COMPUTED_VALUE"""),"sseknathe@mitaoe.ac.in")</f>
        <v>sseknathe@mitaoe.ac.in</v>
      </c>
      <c r="B301" s="6" t="str">
        <f>IFERROR(__xludf.DUMMYFUNCTION("""COMPUTED_VALUE"""),"NO")</f>
        <v>NO</v>
      </c>
      <c r="C301" s="6" t="str">
        <f>IFERROR(__xludf.DUMMYFUNCTION("""COMPUTED_VALUE"""),"YES")</f>
        <v>YES</v>
      </c>
      <c r="D301" s="6"/>
      <c r="E301" s="49" t="str">
        <f>IFERROR(__xludf.DUMMYFUNCTION("""COMPUTED_VALUE"""),"https://drive.google.com/open?id=1JgVhpcdY7Gb7pwF17vLcfAoiax5K6s8I")</f>
        <v>https://drive.google.com/open?id=1JgVhpcdY7Gb7pwF17vLcfAoiax5K6s8I</v>
      </c>
    </row>
    <row r="302">
      <c r="A302" s="6" t="str">
        <f>IFERROR(__xludf.DUMMYFUNCTION("""COMPUTED_VALUE"""),"anbhosle@mitaoe.ac.in")</f>
        <v>anbhosle@mitaoe.ac.in</v>
      </c>
      <c r="B302" s="6" t="str">
        <f>IFERROR(__xludf.DUMMYFUNCTION("""COMPUTED_VALUE"""),"YES")</f>
        <v>YES</v>
      </c>
      <c r="C302" s="6" t="str">
        <f>IFERROR(__xludf.DUMMYFUNCTION("""COMPUTED_VALUE"""),"YES")</f>
        <v>YES</v>
      </c>
      <c r="D302" s="49" t="str">
        <f>IFERROR(__xludf.DUMMYFUNCTION("""COMPUTED_VALUE"""),"https://drive.google.com/open?id=1hPnee9mZKN8EZbdR_Cm41QScN-9tdFsJ")</f>
        <v>https://drive.google.com/open?id=1hPnee9mZKN8EZbdR_Cm41QScN-9tdFsJ</v>
      </c>
      <c r="E302" s="49" t="str">
        <f>IFERROR(__xludf.DUMMYFUNCTION("""COMPUTED_VALUE"""),"https://drive.google.com/open?id=19OGhrrsN12-sjG4M8BgL6OhPvmzyb-Y4")</f>
        <v>https://drive.google.com/open?id=19OGhrrsN12-sjG4M8BgL6OhPvmzyb-Y4</v>
      </c>
    </row>
    <row r="303">
      <c r="A303" s="6" t="str">
        <f>IFERROR(__xludf.DUMMYFUNCTION("""COMPUTED_VALUE"""),"ppwalde@mitaoe.ac.in")</f>
        <v>ppwalde@mitaoe.ac.in</v>
      </c>
      <c r="B303" s="6" t="str">
        <f>IFERROR(__xludf.DUMMYFUNCTION("""COMPUTED_VALUE"""),"YES")</f>
        <v>YES</v>
      </c>
      <c r="C303" s="6" t="str">
        <f>IFERROR(__xludf.DUMMYFUNCTION("""COMPUTED_VALUE"""),"NO")</f>
        <v>NO</v>
      </c>
      <c r="D303" s="49" t="str">
        <f>IFERROR(__xludf.DUMMYFUNCTION("""COMPUTED_VALUE"""),"https://drive.google.com/open?id=1W3QfP7sUjknPjcZ3GjTphjkBHMb0pUgn")</f>
        <v>https://drive.google.com/open?id=1W3QfP7sUjknPjcZ3GjTphjkBHMb0pUgn</v>
      </c>
      <c r="E303" s="49" t="str">
        <f>IFERROR(__xludf.DUMMYFUNCTION("""COMPUTED_VALUE"""),"https://drive.google.com/open?id=1xS9hNVNAA9186EuB5fIK_9q1BdTadBBE")</f>
        <v>https://drive.google.com/open?id=1xS9hNVNAA9186EuB5fIK_9q1BdTadBBE</v>
      </c>
    </row>
    <row r="304">
      <c r="A304" s="6" t="str">
        <f>IFERROR(__xludf.DUMMYFUNCTION("""COMPUTED_VALUE"""),"ardhote@mitaoe.ac.in")</f>
        <v>ardhote@mitaoe.ac.in</v>
      </c>
      <c r="B304" s="6" t="str">
        <f>IFERROR(__xludf.DUMMYFUNCTION("""COMPUTED_VALUE"""),"YES")</f>
        <v>YES</v>
      </c>
      <c r="C304" s="6" t="str">
        <f>IFERROR(__xludf.DUMMYFUNCTION("""COMPUTED_VALUE"""),"YES")</f>
        <v>YES</v>
      </c>
      <c r="D304" s="49" t="str">
        <f>IFERROR(__xludf.DUMMYFUNCTION("""COMPUTED_VALUE"""),"https://drive.google.com/open?id=1I6OchFodM88EV3JrDAdeqYQMAtlsdX-k")</f>
        <v>https://drive.google.com/open?id=1I6OchFodM88EV3JrDAdeqYQMAtlsdX-k</v>
      </c>
      <c r="E304" s="49" t="str">
        <f>IFERROR(__xludf.DUMMYFUNCTION("""COMPUTED_VALUE"""),"https://drive.google.com/open?id=1TvErzqSoCKX_rIVTFWYJOAm8T0r_CzK3")</f>
        <v>https://drive.google.com/open?id=1TvErzqSoCKX_rIVTFWYJOAm8T0r_CzK3</v>
      </c>
    </row>
    <row r="305">
      <c r="A305" s="6" t="str">
        <f>IFERROR(__xludf.DUMMYFUNCTION("""COMPUTED_VALUE"""),"trsangale@mitaoe.ac.in")</f>
        <v>trsangale@mitaoe.ac.in</v>
      </c>
      <c r="B305" s="6" t="str">
        <f>IFERROR(__xludf.DUMMYFUNCTION("""COMPUTED_VALUE"""),"YES")</f>
        <v>YES</v>
      </c>
      <c r="C305" s="6" t="str">
        <f>IFERROR(__xludf.DUMMYFUNCTION("""COMPUTED_VALUE"""),"YES")</f>
        <v>YES</v>
      </c>
      <c r="D305" s="49" t="str">
        <f>IFERROR(__xludf.DUMMYFUNCTION("""COMPUTED_VALUE"""),"https://drive.google.com/open?id=1WvhbjeO1RNP2ap527D1Z4uQHrElK3AHq")</f>
        <v>https://drive.google.com/open?id=1WvhbjeO1RNP2ap527D1Z4uQHrElK3AHq</v>
      </c>
      <c r="E305" s="49" t="str">
        <f>IFERROR(__xludf.DUMMYFUNCTION("""COMPUTED_VALUE"""),"https://drive.google.com/open?id=1sBaQ2I6jPXEVjDye17qe_xvOm60gdDTh")</f>
        <v>https://drive.google.com/open?id=1sBaQ2I6jPXEVjDye17qe_xvOm60gdDTh</v>
      </c>
    </row>
    <row r="306">
      <c r="A306" s="6" t="str">
        <f>IFERROR(__xludf.DUMMYFUNCTION("""COMPUTED_VALUE"""),"aanarkhede@mitaoe.ac.in")</f>
        <v>aanarkhede@mitaoe.ac.in</v>
      </c>
      <c r="B306" s="6" t="str">
        <f>IFERROR(__xludf.DUMMYFUNCTION("""COMPUTED_VALUE"""),"NO")</f>
        <v>NO</v>
      </c>
      <c r="C306" s="6" t="str">
        <f>IFERROR(__xludf.DUMMYFUNCTION("""COMPUTED_VALUE"""),"YES")</f>
        <v>YES</v>
      </c>
      <c r="D306" s="6"/>
      <c r="E306" s="49" t="str">
        <f>IFERROR(__xludf.DUMMYFUNCTION("""COMPUTED_VALUE"""),"https://drive.google.com/open?id=1WTBFoREeuxVlmNPqycjJYPzLfWLXsLp6")</f>
        <v>https://drive.google.com/open?id=1WTBFoREeuxVlmNPqycjJYPzLfWLXsLp6</v>
      </c>
    </row>
    <row r="307">
      <c r="A307" s="6" t="str">
        <f>IFERROR(__xludf.DUMMYFUNCTION("""COMPUTED_VALUE"""),"ddmandal@mitaoe.ac.in")</f>
        <v>ddmandal@mitaoe.ac.in</v>
      </c>
      <c r="B307" s="6" t="str">
        <f>IFERROR(__xludf.DUMMYFUNCTION("""COMPUTED_VALUE"""),"YES")</f>
        <v>YES</v>
      </c>
      <c r="C307" s="6" t="str">
        <f>IFERROR(__xludf.DUMMYFUNCTION("""COMPUTED_VALUE"""),"YES")</f>
        <v>YES</v>
      </c>
      <c r="D307" s="49" t="str">
        <f>IFERROR(__xludf.DUMMYFUNCTION("""COMPUTED_VALUE"""),"https://drive.google.com/open?id=1T9YehY40795_trVAqdR-fZG_47OaYH3m")</f>
        <v>https://drive.google.com/open?id=1T9YehY40795_trVAqdR-fZG_47OaYH3m</v>
      </c>
      <c r="E307" s="49" t="str">
        <f>IFERROR(__xludf.DUMMYFUNCTION("""COMPUTED_VALUE"""),"https://drive.google.com/open?id=1Wf7fXCJ1yq91XfPnTKYOHwT6KsUIvs_T")</f>
        <v>https://drive.google.com/open?id=1Wf7fXCJ1yq91XfPnTKYOHwT6KsUIvs_T</v>
      </c>
    </row>
    <row r="308">
      <c r="A308" s="6" t="str">
        <f>IFERROR(__xludf.DUMMYFUNCTION("""COMPUTED_VALUE"""),"anchavan@mitaoe.ac.in")</f>
        <v>anchavan@mitaoe.ac.in</v>
      </c>
      <c r="B308" s="6" t="str">
        <f>IFERROR(__xludf.DUMMYFUNCTION("""COMPUTED_VALUE"""),"YES")</f>
        <v>YES</v>
      </c>
      <c r="C308" s="6" t="str">
        <f>IFERROR(__xludf.DUMMYFUNCTION("""COMPUTED_VALUE"""),"YES")</f>
        <v>YES</v>
      </c>
      <c r="D308" s="49" t="str">
        <f>IFERROR(__xludf.DUMMYFUNCTION("""COMPUTED_VALUE"""),"https://drive.google.com/open?id=1OwMIR_YnllhUMZk-8cTQfxP17a6NnF-F")</f>
        <v>https://drive.google.com/open?id=1OwMIR_YnllhUMZk-8cTQfxP17a6NnF-F</v>
      </c>
      <c r="E308" s="49" t="str">
        <f>IFERROR(__xludf.DUMMYFUNCTION("""COMPUTED_VALUE"""),"https://drive.google.com/open?id=1e1qvJrqVI8M-bafXMpVtuSye4WVXE4pX")</f>
        <v>https://drive.google.com/open?id=1e1qvJrqVI8M-bafXMpVtuSye4WVXE4pX</v>
      </c>
    </row>
    <row r="309">
      <c r="A309" s="6" t="str">
        <f>IFERROR(__xludf.DUMMYFUNCTION("""COMPUTED_VALUE"""),"achoudhary@mitaoe.ac.in")</f>
        <v>achoudhary@mitaoe.ac.in</v>
      </c>
      <c r="B309" s="6" t="str">
        <f>IFERROR(__xludf.DUMMYFUNCTION("""COMPUTED_VALUE"""),"YES")</f>
        <v>YES</v>
      </c>
      <c r="C309" s="6" t="str">
        <f>IFERROR(__xludf.DUMMYFUNCTION("""COMPUTED_VALUE"""),"YES")</f>
        <v>YES</v>
      </c>
      <c r="D309" s="49" t="str">
        <f>IFERROR(__xludf.DUMMYFUNCTION("""COMPUTED_VALUE"""),"https://drive.google.com/open?id=1brW6B44Qh84h6GCdihmmoMJEynSjdv_I")</f>
        <v>https://drive.google.com/open?id=1brW6B44Qh84h6GCdihmmoMJEynSjdv_I</v>
      </c>
      <c r="E309" s="49" t="str">
        <f>IFERROR(__xludf.DUMMYFUNCTION("""COMPUTED_VALUE"""),"https://drive.google.com/open?id=1THrzHydszHGCA1WF4tdiAXUK8w0euWtI")</f>
        <v>https://drive.google.com/open?id=1THrzHydszHGCA1WF4tdiAXUK8w0euWtI</v>
      </c>
    </row>
    <row r="310">
      <c r="A310" s="6" t="str">
        <f>IFERROR(__xludf.DUMMYFUNCTION("""COMPUTED_VALUE"""),"ydchaube@mitaoe.ac.in")</f>
        <v>ydchaube@mitaoe.ac.in</v>
      </c>
      <c r="B310" s="6" t="str">
        <f>IFERROR(__xludf.DUMMYFUNCTION("""COMPUTED_VALUE"""),"NO")</f>
        <v>NO</v>
      </c>
      <c r="C310" s="6" t="str">
        <f>IFERROR(__xludf.DUMMYFUNCTION("""COMPUTED_VALUE"""),"NO")</f>
        <v>NO</v>
      </c>
      <c r="D310" s="49" t="str">
        <f>IFERROR(__xludf.DUMMYFUNCTION("""COMPUTED_VALUE"""),"https://drive.google.com/open?id=1fkiIWJ5UXmHQ23b069XgtoCGBmj2oVpm")</f>
        <v>https://drive.google.com/open?id=1fkiIWJ5UXmHQ23b069XgtoCGBmj2oVpm</v>
      </c>
      <c r="E310" s="49" t="str">
        <f>IFERROR(__xludf.DUMMYFUNCTION("""COMPUTED_VALUE"""),"https://drive.google.com/open?id=1AlmEpRsxkUSXLOV1fWyHBEc_Ip03UL_B")</f>
        <v>https://drive.google.com/open?id=1AlmEpRsxkUSXLOV1fWyHBEc_Ip03UL_B</v>
      </c>
    </row>
    <row r="311">
      <c r="A311" s="6" t="str">
        <f>IFERROR(__xludf.DUMMYFUNCTION("""COMPUTED_VALUE"""),"aupatil@mitaoe.ac.in")</f>
        <v>aupatil@mitaoe.ac.in</v>
      </c>
      <c r="B311" s="6" t="str">
        <f>IFERROR(__xludf.DUMMYFUNCTION("""COMPUTED_VALUE"""),"NO")</f>
        <v>NO</v>
      </c>
      <c r="C311" s="6" t="str">
        <f>IFERROR(__xludf.DUMMYFUNCTION("""COMPUTED_VALUE"""),"NO")</f>
        <v>NO</v>
      </c>
      <c r="D311" s="6"/>
      <c r="E311" s="6"/>
    </row>
    <row r="312">
      <c r="A312" s="6" t="str">
        <f>IFERROR(__xludf.DUMMYFUNCTION("""COMPUTED_VALUE"""),"snbabhulkar@mitaoe.ac.in")</f>
        <v>snbabhulkar@mitaoe.ac.in</v>
      </c>
      <c r="B312" s="6" t="str">
        <f>IFERROR(__xludf.DUMMYFUNCTION("""COMPUTED_VALUE"""),"YES")</f>
        <v>YES</v>
      </c>
      <c r="C312" s="6" t="str">
        <f>IFERROR(__xludf.DUMMYFUNCTION("""COMPUTED_VALUE"""),"YES")</f>
        <v>YES</v>
      </c>
      <c r="D312" s="49" t="str">
        <f>IFERROR(__xludf.DUMMYFUNCTION("""COMPUTED_VALUE"""),"https://drive.google.com/open?id=1wWvUeOGXIDXv820nDt4LNNuQoN3PG-uu")</f>
        <v>https://drive.google.com/open?id=1wWvUeOGXIDXv820nDt4LNNuQoN3PG-uu</v>
      </c>
      <c r="E312" s="49" t="str">
        <f>IFERROR(__xludf.DUMMYFUNCTION("""COMPUTED_VALUE"""),"https://drive.google.com/open?id=1oSaJR6N-1htGwebKZyho_S8RSxAoQMjm")</f>
        <v>https://drive.google.com/open?id=1oSaJR6N-1htGwebKZyho_S8RSxAoQMjm</v>
      </c>
    </row>
    <row r="313">
      <c r="A313" s="6" t="str">
        <f>IFERROR(__xludf.DUMMYFUNCTION("""COMPUTED_VALUE"""),"vaibhav.kale@mitaoe.ac.in")</f>
        <v>vaibhav.kale@mitaoe.ac.in</v>
      </c>
      <c r="B313" s="6" t="str">
        <f>IFERROR(__xludf.DUMMYFUNCTION("""COMPUTED_VALUE"""),"NO")</f>
        <v>NO</v>
      </c>
      <c r="C313" s="6" t="str">
        <f>IFERROR(__xludf.DUMMYFUNCTION("""COMPUTED_VALUE"""),"YES")</f>
        <v>YES</v>
      </c>
      <c r="D313" s="6"/>
      <c r="E313" s="49" t="str">
        <f>IFERROR(__xludf.DUMMYFUNCTION("""COMPUTED_VALUE"""),"https://drive.google.com/open?id=1t7YuxhJcgvB0k9p8NF3hcRwY0RgiDsrS")</f>
        <v>https://drive.google.com/open?id=1t7YuxhJcgvB0k9p8NF3hcRwY0RgiDsrS</v>
      </c>
    </row>
    <row r="314">
      <c r="A314" s="6" t="str">
        <f>IFERROR(__xludf.DUMMYFUNCTION("""COMPUTED_VALUE"""),"megha.jadhav@mitaoe.ac.in")</f>
        <v>megha.jadhav@mitaoe.ac.in</v>
      </c>
      <c r="B314" s="6" t="str">
        <f>IFERROR(__xludf.DUMMYFUNCTION("""COMPUTED_VALUE"""),"NO")</f>
        <v>NO</v>
      </c>
      <c r="C314" s="6" t="str">
        <f>IFERROR(__xludf.DUMMYFUNCTION("""COMPUTED_VALUE"""),"YES")</f>
        <v>YES</v>
      </c>
      <c r="D314" s="6"/>
      <c r="E314" s="49" t="str">
        <f>IFERROR(__xludf.DUMMYFUNCTION("""COMPUTED_VALUE"""),"https://drive.google.com/open?id=1N9KgfLWB9a3IJheg9XC_ZJF5f52uUzm3")</f>
        <v>https://drive.google.com/open?id=1N9KgfLWB9a3IJheg9XC_ZJF5f52uUzm3</v>
      </c>
    </row>
    <row r="315">
      <c r="A315" s="6" t="str">
        <f>IFERROR(__xludf.DUMMYFUNCTION("""COMPUTED_VALUE"""),"sayali.pawar@mitaoe.ac.in")</f>
        <v>sayali.pawar@mitaoe.ac.in</v>
      </c>
      <c r="B315" s="6" t="str">
        <f>IFERROR(__xludf.DUMMYFUNCTION("""COMPUTED_VALUE"""),"YES")</f>
        <v>YES</v>
      </c>
      <c r="C315" s="6" t="str">
        <f>IFERROR(__xludf.DUMMYFUNCTION("""COMPUTED_VALUE"""),"YES")</f>
        <v>YES</v>
      </c>
      <c r="D315" s="49" t="str">
        <f>IFERROR(__xludf.DUMMYFUNCTION("""COMPUTED_VALUE"""),"https://drive.google.com/open?id=1B7kLRgsSyfSY7CD6c9AO_3z8SKknBCVc")</f>
        <v>https://drive.google.com/open?id=1B7kLRgsSyfSY7CD6c9AO_3z8SKknBCVc</v>
      </c>
      <c r="E315" s="49" t="str">
        <f>IFERROR(__xludf.DUMMYFUNCTION("""COMPUTED_VALUE"""),"https://drive.google.com/open?id=14s2fy0w2gXM9Jn2bqLZ8E6fKCKXgtSmi")</f>
        <v>https://drive.google.com/open?id=14s2fy0w2gXM9Jn2bqLZ8E6fKCKXgtSmi</v>
      </c>
    </row>
    <row r="316">
      <c r="A316" s="6" t="str">
        <f>IFERROR(__xludf.DUMMYFUNCTION("""COMPUTED_VALUE"""),"avbhingare@mitaoe.ac.in")</f>
        <v>avbhingare@mitaoe.ac.in</v>
      </c>
      <c r="B316" s="6" t="str">
        <f>IFERROR(__xludf.DUMMYFUNCTION("""COMPUTED_VALUE"""),"NO")</f>
        <v>NO</v>
      </c>
      <c r="C316" s="6" t="str">
        <f>IFERROR(__xludf.DUMMYFUNCTION("""COMPUTED_VALUE"""),"NO")</f>
        <v>NO</v>
      </c>
      <c r="D316" s="49" t="str">
        <f>IFERROR(__xludf.DUMMYFUNCTION("""COMPUTED_VALUE"""),"https://drive.google.com/open?id=1M8mJ_vN-0XsCFqEXM4k4qf7BaZ8YNwdW")</f>
        <v>https://drive.google.com/open?id=1M8mJ_vN-0XsCFqEXM4k4qf7BaZ8YNwdW</v>
      </c>
      <c r="E316" s="49" t="str">
        <f>IFERROR(__xludf.DUMMYFUNCTION("""COMPUTED_VALUE"""),"https://drive.google.com/open?id=1ViA8pmSRIY-qFTg1b7exoBwGy7f4YEYF")</f>
        <v>https://drive.google.com/open?id=1ViA8pmSRIY-qFTg1b7exoBwGy7f4YEYF</v>
      </c>
    </row>
    <row r="317">
      <c r="A317" s="6" t="str">
        <f>IFERROR(__xludf.DUMMYFUNCTION("""COMPUTED_VALUE"""),"prachi.shinkar@mitaoe.ac.in")</f>
        <v>prachi.shinkar@mitaoe.ac.in</v>
      </c>
      <c r="B317" s="6" t="str">
        <f>IFERROR(__xludf.DUMMYFUNCTION("""COMPUTED_VALUE"""),"YES")</f>
        <v>YES</v>
      </c>
      <c r="C317" s="6" t="str">
        <f>IFERROR(__xludf.DUMMYFUNCTION("""COMPUTED_VALUE"""),"YES")</f>
        <v>YES</v>
      </c>
      <c r="D317" s="49" t="str">
        <f>IFERROR(__xludf.DUMMYFUNCTION("""COMPUTED_VALUE"""),"https://drive.google.com/open?id=11iDR-lbbuCJ1LVgvriOmh4q-ZtoEG6Z0")</f>
        <v>https://drive.google.com/open?id=11iDR-lbbuCJ1LVgvriOmh4q-ZtoEG6Z0</v>
      </c>
      <c r="E317" s="49" t="str">
        <f>IFERROR(__xludf.DUMMYFUNCTION("""COMPUTED_VALUE"""),"https://drive.google.com/open?id=1p7JS_diuzLueHn0JV016Ht1TadvKjeN0")</f>
        <v>https://drive.google.com/open?id=1p7JS_diuzLueHn0JV016Ht1TadvKjeN0</v>
      </c>
    </row>
    <row r="318">
      <c r="A318" s="6" t="str">
        <f>IFERROR(__xludf.DUMMYFUNCTION("""COMPUTED_VALUE"""),"venkatesh.yanganti@mitaoe.ac.in")</f>
        <v>venkatesh.yanganti@mitaoe.ac.in</v>
      </c>
      <c r="B318" s="6" t="str">
        <f>IFERROR(__xludf.DUMMYFUNCTION("""COMPUTED_VALUE"""),"YES")</f>
        <v>YES</v>
      </c>
      <c r="C318" s="6" t="str">
        <f>IFERROR(__xludf.DUMMYFUNCTION("""COMPUTED_VALUE"""),"YES")</f>
        <v>YES</v>
      </c>
      <c r="D318" s="49" t="str">
        <f>IFERROR(__xludf.DUMMYFUNCTION("""COMPUTED_VALUE"""),"https://drive.google.com/open?id=1POrf-ofdQFNuvBe-xUs-RK_TpZKXu9jb")</f>
        <v>https://drive.google.com/open?id=1POrf-ofdQFNuvBe-xUs-RK_TpZKXu9jb</v>
      </c>
      <c r="E318" s="49" t="str">
        <f>IFERROR(__xludf.DUMMYFUNCTION("""COMPUTED_VALUE"""),"https://drive.google.com/open?id=1RCyhXrp-1N9kwTRrlOefuJBNcCemhvuf")</f>
        <v>https://drive.google.com/open?id=1RCyhXrp-1N9kwTRrlOefuJBNcCemhvuf</v>
      </c>
    </row>
    <row r="319">
      <c r="A319" s="6" t="str">
        <f>IFERROR(__xludf.DUMMYFUNCTION("""COMPUTED_VALUE"""),"asshirsat@mitaoe.ac.in")</f>
        <v>asshirsat@mitaoe.ac.in</v>
      </c>
      <c r="B319" s="6" t="str">
        <f>IFERROR(__xludf.DUMMYFUNCTION("""COMPUTED_VALUE"""),"NO")</f>
        <v>NO</v>
      </c>
      <c r="C319" s="6" t="str">
        <f>IFERROR(__xludf.DUMMYFUNCTION("""COMPUTED_VALUE"""),"NO")</f>
        <v>NO</v>
      </c>
      <c r="D319" s="6"/>
      <c r="E319" s="6"/>
    </row>
    <row r="320">
      <c r="A320" s="6" t="str">
        <f>IFERROR(__xludf.DUMMYFUNCTION("""COMPUTED_VALUE"""),"asathani@mitaoe.ac.in")</f>
        <v>asathani@mitaoe.ac.in</v>
      </c>
      <c r="B320" s="6" t="str">
        <f>IFERROR(__xludf.DUMMYFUNCTION("""COMPUTED_VALUE"""),"YES")</f>
        <v>YES</v>
      </c>
      <c r="C320" s="6" t="str">
        <f>IFERROR(__xludf.DUMMYFUNCTION("""COMPUTED_VALUE"""),"YES")</f>
        <v>YES</v>
      </c>
      <c r="D320" s="49" t="str">
        <f>IFERROR(__xludf.DUMMYFUNCTION("""COMPUTED_VALUE"""),"https://drive.google.com/open?id=19lFp6C1IZsXHcqoogfsgWowAf41sDgNE")</f>
        <v>https://drive.google.com/open?id=19lFp6C1IZsXHcqoogfsgWowAf41sDgNE</v>
      </c>
      <c r="E320" s="49" t="str">
        <f>IFERROR(__xludf.DUMMYFUNCTION("""COMPUTED_VALUE"""),"https://drive.google.com/open?id=1twYsmfcBM8ak9z376C9jqDA4OJCgt3p9")</f>
        <v>https://drive.google.com/open?id=1twYsmfcBM8ak9z376C9jqDA4OJCgt3p9</v>
      </c>
    </row>
    <row r="321">
      <c r="A321" s="6" t="str">
        <f>IFERROR(__xludf.DUMMYFUNCTION("""COMPUTED_VALUE"""),"suraj.jaybhaye@mitaoe.ac.in")</f>
        <v>suraj.jaybhaye@mitaoe.ac.in</v>
      </c>
      <c r="B321" s="6" t="str">
        <f>IFERROR(__xludf.DUMMYFUNCTION("""COMPUTED_VALUE"""),"YES")</f>
        <v>YES</v>
      </c>
      <c r="C321" s="6" t="str">
        <f>IFERROR(__xludf.DUMMYFUNCTION("""COMPUTED_VALUE"""),"YES")</f>
        <v>YES</v>
      </c>
      <c r="D321" s="49" t="str">
        <f>IFERROR(__xludf.DUMMYFUNCTION("""COMPUTED_VALUE"""),"https://drive.google.com/open?id=1sJkXrdTcLMxyPiLRlYjSJBJYDAZgTcLm")</f>
        <v>https://drive.google.com/open?id=1sJkXrdTcLMxyPiLRlYjSJBJYDAZgTcLm</v>
      </c>
      <c r="E321" s="49" t="str">
        <f>IFERROR(__xludf.DUMMYFUNCTION("""COMPUTED_VALUE"""),"https://drive.google.com/open?id=1jr9xQkJz61DNqObUwJtIbAze5EL3684B")</f>
        <v>https://drive.google.com/open?id=1jr9xQkJz61DNqObUwJtIbAze5EL3684B</v>
      </c>
    </row>
    <row r="322">
      <c r="A322" s="6" t="str">
        <f>IFERROR(__xludf.DUMMYFUNCTION("""COMPUTED_VALUE"""),"abhishek.sandhan@mitaoe.ac.in")</f>
        <v>abhishek.sandhan@mitaoe.ac.in</v>
      </c>
      <c r="B322" s="6" t="str">
        <f>IFERROR(__xludf.DUMMYFUNCTION("""COMPUTED_VALUE"""),"YES")</f>
        <v>YES</v>
      </c>
      <c r="C322" s="6" t="str">
        <f>IFERROR(__xludf.DUMMYFUNCTION("""COMPUTED_VALUE"""),"YES")</f>
        <v>YES</v>
      </c>
      <c r="D322" s="49" t="str">
        <f>IFERROR(__xludf.DUMMYFUNCTION("""COMPUTED_VALUE"""),"https://drive.google.com/open?id=1QRokcxOVuTbw6PnD20mftwUiXyg1AFxe")</f>
        <v>https://drive.google.com/open?id=1QRokcxOVuTbw6PnD20mftwUiXyg1AFxe</v>
      </c>
      <c r="E322" s="49" t="str">
        <f>IFERROR(__xludf.DUMMYFUNCTION("""COMPUTED_VALUE"""),"https://drive.google.com/open?id=1ExVNgltIrZ7nPsIuOVmxCLCxBIyNH4As")</f>
        <v>https://drive.google.com/open?id=1ExVNgltIrZ7nPsIuOVmxCLCxBIyNH4As</v>
      </c>
    </row>
    <row r="323">
      <c r="A323" s="6" t="str">
        <f>IFERROR(__xludf.DUMMYFUNCTION("""COMPUTED_VALUE"""),"sagar.bokefode@mitaoe.ac.in")</f>
        <v>sagar.bokefode@mitaoe.ac.in</v>
      </c>
      <c r="B323" s="6" t="str">
        <f>IFERROR(__xludf.DUMMYFUNCTION("""COMPUTED_VALUE"""),"NO")</f>
        <v>NO</v>
      </c>
      <c r="C323" s="6" t="str">
        <f>IFERROR(__xludf.DUMMYFUNCTION("""COMPUTED_VALUE"""),"YES")</f>
        <v>YES</v>
      </c>
      <c r="D323" s="6"/>
      <c r="E323" s="49" t="str">
        <f>IFERROR(__xludf.DUMMYFUNCTION("""COMPUTED_VALUE"""),"https://drive.google.com/open?id=13FEjzcWEjocXYvtaOeyaX2ZI2i6Ph1jY")</f>
        <v>https://drive.google.com/open?id=13FEjzcWEjocXYvtaOeyaX2ZI2i6Ph1jY</v>
      </c>
    </row>
    <row r="324">
      <c r="A324" s="6" t="str">
        <f>IFERROR(__xludf.DUMMYFUNCTION("""COMPUTED_VALUE"""),"abhishek.morope@mitaoe.ac.in")</f>
        <v>abhishek.morope@mitaoe.ac.in</v>
      </c>
      <c r="B324" s="6" t="str">
        <f>IFERROR(__xludf.DUMMYFUNCTION("""COMPUTED_VALUE"""),"NO")</f>
        <v>NO</v>
      </c>
      <c r="C324" s="6" t="str">
        <f>IFERROR(__xludf.DUMMYFUNCTION("""COMPUTED_VALUE"""),"YES")</f>
        <v>YES</v>
      </c>
      <c r="D324" s="6"/>
      <c r="E324" s="49" t="str">
        <f>IFERROR(__xludf.DUMMYFUNCTION("""COMPUTED_VALUE"""),"https://drive.google.com/open?id=1Jp4TrOC1uVsl8tryaIGqfd1iOwDtY2IF")</f>
        <v>https://drive.google.com/open?id=1Jp4TrOC1uVsl8tryaIGqfd1iOwDtY2IF</v>
      </c>
    </row>
    <row r="325">
      <c r="A325" s="6" t="str">
        <f>IFERROR(__xludf.DUMMYFUNCTION("""COMPUTED_VALUE"""),"jaya.sonawane@mitaoe.ac.in")</f>
        <v>jaya.sonawane@mitaoe.ac.in</v>
      </c>
      <c r="B325" s="6" t="str">
        <f>IFERROR(__xludf.DUMMYFUNCTION("""COMPUTED_VALUE"""),"NO")</f>
        <v>NO</v>
      </c>
      <c r="C325" s="6" t="str">
        <f>IFERROR(__xludf.DUMMYFUNCTION("""COMPUTED_VALUE"""),"NO")</f>
        <v>NO</v>
      </c>
      <c r="D325" s="6"/>
      <c r="E325" s="6"/>
    </row>
    <row r="326">
      <c r="A326" s="6" t="str">
        <f>IFERROR(__xludf.DUMMYFUNCTION("""COMPUTED_VALUE"""),"aarti.chaure@mitaoe.ac.in")</f>
        <v>aarti.chaure@mitaoe.ac.in</v>
      </c>
      <c r="B326" s="6" t="str">
        <f>IFERROR(__xludf.DUMMYFUNCTION("""COMPUTED_VALUE"""),"NO")</f>
        <v>NO</v>
      </c>
      <c r="C326" s="6" t="str">
        <f>IFERROR(__xludf.DUMMYFUNCTION("""COMPUTED_VALUE"""),"NO")</f>
        <v>NO</v>
      </c>
      <c r="D326" s="6"/>
      <c r="E326" s="6"/>
    </row>
    <row r="327">
      <c r="A327" s="6" t="str">
        <f>IFERROR(__xludf.DUMMYFUNCTION("""COMPUTED_VALUE"""),"jadhavvr@mitaoe.ac.in")</f>
        <v>jadhavvr@mitaoe.ac.in</v>
      </c>
      <c r="B327" s="6" t="str">
        <f>IFERROR(__xludf.DUMMYFUNCTION("""COMPUTED_VALUE"""),"NO")</f>
        <v>NO</v>
      </c>
      <c r="C327" s="6" t="str">
        <f>IFERROR(__xludf.DUMMYFUNCTION("""COMPUTED_VALUE"""),"NO")</f>
        <v>NO</v>
      </c>
      <c r="D327" s="6"/>
      <c r="E327" s="6"/>
    </row>
    <row r="328">
      <c r="A328" s="6" t="str">
        <f>IFERROR(__xludf.DUMMYFUNCTION("""COMPUTED_VALUE"""),"vaishnavi.limbhore@mitaoe.ac.in")</f>
        <v>vaishnavi.limbhore@mitaoe.ac.in</v>
      </c>
      <c r="B328" s="6" t="str">
        <f>IFERROR(__xludf.DUMMYFUNCTION("""COMPUTED_VALUE"""),"YES")</f>
        <v>YES</v>
      </c>
      <c r="C328" s="6" t="str">
        <f>IFERROR(__xludf.DUMMYFUNCTION("""COMPUTED_VALUE"""),"YES")</f>
        <v>YES</v>
      </c>
      <c r="D328" s="49" t="str">
        <f>IFERROR(__xludf.DUMMYFUNCTION("""COMPUTED_VALUE"""),"https://drive.google.com/open?id=1B0fyMEcYUfh12DBVUwWRCpXBIShOO1hf")</f>
        <v>https://drive.google.com/open?id=1B0fyMEcYUfh12DBVUwWRCpXBIShOO1hf</v>
      </c>
      <c r="E328" s="49" t="str">
        <f>IFERROR(__xludf.DUMMYFUNCTION("""COMPUTED_VALUE"""),"https://drive.google.com/open?id=1vKR-vSXzVb3rw19E9YEdZu1zZFPqtk8U")</f>
        <v>https://drive.google.com/open?id=1vKR-vSXzVb3rw19E9YEdZu1zZFPqtk8U</v>
      </c>
    </row>
    <row r="329">
      <c r="A329" s="6" t="str">
        <f>IFERROR(__xludf.DUMMYFUNCTION("""COMPUTED_VALUE"""),"asmishra@mitaoe.ac.in")</f>
        <v>asmishra@mitaoe.ac.in</v>
      </c>
      <c r="B329" s="6" t="str">
        <f>IFERROR(__xludf.DUMMYFUNCTION("""COMPUTED_VALUE"""),"YES")</f>
        <v>YES</v>
      </c>
      <c r="C329" s="6" t="str">
        <f>IFERROR(__xludf.DUMMYFUNCTION("""COMPUTED_VALUE"""),"YES")</f>
        <v>YES</v>
      </c>
      <c r="D329" s="49" t="str">
        <f>IFERROR(__xludf.DUMMYFUNCTION("""COMPUTED_VALUE"""),"https://drive.google.com/open?id=1WZqhcLB8cdWNDaIs6d_QzI3r94QPQvhV")</f>
        <v>https://drive.google.com/open?id=1WZqhcLB8cdWNDaIs6d_QzI3r94QPQvhV</v>
      </c>
      <c r="E329" s="49" t="str">
        <f>IFERROR(__xludf.DUMMYFUNCTION("""COMPUTED_VALUE"""),"https://drive.google.com/open?id=13XgBsSixejvpdGHtByt0mxklZX9VuuEm")</f>
        <v>https://drive.google.com/open?id=13XgBsSixejvpdGHtByt0mxklZX9VuuEm</v>
      </c>
    </row>
    <row r="330">
      <c r="A330" s="6" t="str">
        <f>IFERROR(__xludf.DUMMYFUNCTION("""COMPUTED_VALUE"""),"vaibhavshinde@mitaoe.ac.in")</f>
        <v>vaibhavshinde@mitaoe.ac.in</v>
      </c>
      <c r="B330" s="6" t="str">
        <f>IFERROR(__xludf.DUMMYFUNCTION("""COMPUTED_VALUE"""),"YES")</f>
        <v>YES</v>
      </c>
      <c r="C330" s="6" t="str">
        <f>IFERROR(__xludf.DUMMYFUNCTION("""COMPUTED_VALUE"""),"YES")</f>
        <v>YES</v>
      </c>
      <c r="D330" s="49" t="str">
        <f>IFERROR(__xludf.DUMMYFUNCTION("""COMPUTED_VALUE"""),"https://drive.google.com/open?id=1bHRkT8iAgMLRgGsiNIBpm7aSf0bqft6L")</f>
        <v>https://drive.google.com/open?id=1bHRkT8iAgMLRgGsiNIBpm7aSf0bqft6L</v>
      </c>
      <c r="E330" s="49" t="str">
        <f>IFERROR(__xludf.DUMMYFUNCTION("""COMPUTED_VALUE"""),"https://drive.google.com/open?id=1HznaLvg8_Ww_bscY7jGE24w1uNHdGiiD")</f>
        <v>https://drive.google.com/open?id=1HznaLvg8_Ww_bscY7jGE24w1uNHdGiiD</v>
      </c>
    </row>
    <row r="331">
      <c r="A331" s="6" t="str">
        <f>IFERROR(__xludf.DUMMYFUNCTION("""COMPUTED_VALUE"""),"anthangan@mitaoe.ac.in")</f>
        <v>anthangan@mitaoe.ac.in</v>
      </c>
      <c r="B331" s="6" t="str">
        <f>IFERROR(__xludf.DUMMYFUNCTION("""COMPUTED_VALUE"""),"NO")</f>
        <v>NO</v>
      </c>
      <c r="C331" s="6" t="str">
        <f>IFERROR(__xludf.DUMMYFUNCTION("""COMPUTED_VALUE"""),"YES")</f>
        <v>YES</v>
      </c>
      <c r="D331" s="6"/>
      <c r="E331" s="49" t="str">
        <f>IFERROR(__xludf.DUMMYFUNCTION("""COMPUTED_VALUE"""),"https://drive.google.com/open?id=1l0hbUnPb9OIIsOCuWMLUM5BrgBg4k3wb")</f>
        <v>https://drive.google.com/open?id=1l0hbUnPb9OIIsOCuWMLUM5BrgBg4k3wb</v>
      </c>
    </row>
    <row r="332">
      <c r="A332" s="6" t="str">
        <f>IFERROR(__xludf.DUMMYFUNCTION("""COMPUTED_VALUE"""),"snehankita.bankar@mitaoe.ac.in")</f>
        <v>snehankita.bankar@mitaoe.ac.in</v>
      </c>
      <c r="B332" s="6" t="str">
        <f>IFERROR(__xludf.DUMMYFUNCTION("""COMPUTED_VALUE"""),"YES")</f>
        <v>YES</v>
      </c>
      <c r="C332" s="6" t="str">
        <f>IFERROR(__xludf.DUMMYFUNCTION("""COMPUTED_VALUE"""),"YES")</f>
        <v>YES</v>
      </c>
      <c r="D332" s="49" t="str">
        <f>IFERROR(__xludf.DUMMYFUNCTION("""COMPUTED_VALUE"""),"https://drive.google.com/open?id=1lKCH_rpgQBy2ukjl_HstPNnnpomKTxBD")</f>
        <v>https://drive.google.com/open?id=1lKCH_rpgQBy2ukjl_HstPNnnpomKTxBD</v>
      </c>
      <c r="E332" s="49" t="str">
        <f>IFERROR(__xludf.DUMMYFUNCTION("""COMPUTED_VALUE"""),"https://drive.google.com/open?id=13zJXoabka-yiRmWl_2Bxodx7elas-Onx")</f>
        <v>https://drive.google.com/open?id=13zJXoabka-yiRmWl_2Bxodx7elas-Onx</v>
      </c>
    </row>
    <row r="333">
      <c r="A333" s="6" t="str">
        <f>IFERROR(__xludf.DUMMYFUNCTION("""COMPUTED_VALUE"""),"susayyad@mitaoe.ac.in")</f>
        <v>susayyad@mitaoe.ac.in</v>
      </c>
      <c r="B333" s="6" t="str">
        <f>IFERROR(__xludf.DUMMYFUNCTION("""COMPUTED_VALUE"""),"NO")</f>
        <v>NO</v>
      </c>
      <c r="C333" s="6" t="str">
        <f>IFERROR(__xludf.DUMMYFUNCTION("""COMPUTED_VALUE"""),"NO")</f>
        <v>NO</v>
      </c>
      <c r="D333" s="6"/>
      <c r="E333" s="6"/>
    </row>
    <row r="334">
      <c r="A334" s="6" t="str">
        <f>IFERROR(__xludf.DUMMYFUNCTION("""COMPUTED_VALUE"""),"psparekh@mitaoe.ac.in")</f>
        <v>psparekh@mitaoe.ac.in</v>
      </c>
      <c r="B334" s="6" t="str">
        <f>IFERROR(__xludf.DUMMYFUNCTION("""COMPUTED_VALUE"""),"YES")</f>
        <v>YES</v>
      </c>
      <c r="C334" s="6" t="str">
        <f>IFERROR(__xludf.DUMMYFUNCTION("""COMPUTED_VALUE"""),"YES")</f>
        <v>YES</v>
      </c>
      <c r="D334" s="49" t="str">
        <f>IFERROR(__xludf.DUMMYFUNCTION("""COMPUTED_VALUE"""),"https://drive.google.com/open?id=1oRBNO5qANWQ3WuBXyZbtqNn7N3qg-kCi")</f>
        <v>https://drive.google.com/open?id=1oRBNO5qANWQ3WuBXyZbtqNn7N3qg-kCi</v>
      </c>
      <c r="E334" s="49" t="str">
        <f>IFERROR(__xludf.DUMMYFUNCTION("""COMPUTED_VALUE"""),"https://drive.google.com/open?id=1GbS2-YR9agUOfr03xsKdVJPuozMPpYI0")</f>
        <v>https://drive.google.com/open?id=1GbS2-YR9agUOfr03xsKdVJPuozMPpYI0</v>
      </c>
    </row>
    <row r="335">
      <c r="A335" s="6" t="str">
        <f>IFERROR(__xludf.DUMMYFUNCTION("""COMPUTED_VALUE"""),"knpatil@mitaoe.ac.in")</f>
        <v>knpatil@mitaoe.ac.in</v>
      </c>
      <c r="B335" s="6" t="str">
        <f>IFERROR(__xludf.DUMMYFUNCTION("""COMPUTED_VALUE"""),"YES")</f>
        <v>YES</v>
      </c>
      <c r="C335" s="6" t="str">
        <f>IFERROR(__xludf.DUMMYFUNCTION("""COMPUTED_VALUE"""),"YES")</f>
        <v>YES</v>
      </c>
      <c r="D335" s="49" t="str">
        <f>IFERROR(__xludf.DUMMYFUNCTION("""COMPUTED_VALUE"""),"https://drive.google.com/open?id=1HPmn6g_VgiWm6JWTTlrUYdmwUn12jn7n")</f>
        <v>https://drive.google.com/open?id=1HPmn6g_VgiWm6JWTTlrUYdmwUn12jn7n</v>
      </c>
      <c r="E335" s="49" t="str">
        <f>IFERROR(__xludf.DUMMYFUNCTION("""COMPUTED_VALUE"""),"https://drive.google.com/open?id=1oA6T5lFmijM7ejEfSQXxwZaon4ddZ7sL")</f>
        <v>https://drive.google.com/open?id=1oA6T5lFmijM7ejEfSQXxwZaon4ddZ7sL</v>
      </c>
    </row>
    <row r="336">
      <c r="A336" s="6" t="str">
        <f>IFERROR(__xludf.DUMMYFUNCTION("""COMPUTED_VALUE"""),"vdabgotra@mitaoe.ac.in")</f>
        <v>vdabgotra@mitaoe.ac.in</v>
      </c>
      <c r="B336" s="6" t="str">
        <f>IFERROR(__xludf.DUMMYFUNCTION("""COMPUTED_VALUE"""),"NO")</f>
        <v>NO</v>
      </c>
      <c r="C336" s="6"/>
      <c r="D336" s="6"/>
      <c r="E336" s="49" t="str">
        <f>IFERROR(__xludf.DUMMYFUNCTION("""COMPUTED_VALUE"""),"https://drive.google.com/open?id=1Gf1dbWfhkq1pc0ZqA0Iwe79RZUBvrely")</f>
        <v>https://drive.google.com/open?id=1Gf1dbWfhkq1pc0ZqA0Iwe79RZUBvrely</v>
      </c>
    </row>
    <row r="337">
      <c r="A337" s="6" t="str">
        <f>IFERROR(__xludf.DUMMYFUNCTION("""COMPUTED_VALUE"""),"sgdere@mitaoe.ac.in")</f>
        <v>sgdere@mitaoe.ac.in</v>
      </c>
      <c r="B337" s="6" t="str">
        <f>IFERROR(__xludf.DUMMYFUNCTION("""COMPUTED_VALUE"""),"NO")</f>
        <v>NO</v>
      </c>
      <c r="C337" s="6" t="str">
        <f>IFERROR(__xludf.DUMMYFUNCTION("""COMPUTED_VALUE"""),"NO")</f>
        <v>NO</v>
      </c>
      <c r="D337" s="6"/>
      <c r="E337" s="6"/>
    </row>
    <row r="338">
      <c r="A338" s="6" t="str">
        <f>IFERROR(__xludf.DUMMYFUNCTION("""COMPUTED_VALUE"""),"pritijadhav@mitaoe.ac.in")</f>
        <v>pritijadhav@mitaoe.ac.in</v>
      </c>
      <c r="B338" s="6" t="str">
        <f>IFERROR(__xludf.DUMMYFUNCTION("""COMPUTED_VALUE"""),"YES")</f>
        <v>YES</v>
      </c>
      <c r="C338" s="6" t="str">
        <f>IFERROR(__xludf.DUMMYFUNCTION("""COMPUTED_VALUE"""),"YES")</f>
        <v>YES</v>
      </c>
      <c r="D338" s="49" t="str">
        <f>IFERROR(__xludf.DUMMYFUNCTION("""COMPUTED_VALUE"""),"https://drive.google.com/open?id=1DKoqaBIAtxESofvGAXkZTTPdpaq-Y7dp")</f>
        <v>https://drive.google.com/open?id=1DKoqaBIAtxESofvGAXkZTTPdpaq-Y7dp</v>
      </c>
      <c r="E338" s="49" t="str">
        <f>IFERROR(__xludf.DUMMYFUNCTION("""COMPUTED_VALUE"""),"https://drive.google.com/open?id=15-p5VdfumgCrrCPtIpKHvQqDbDH1EvJ4")</f>
        <v>https://drive.google.com/open?id=15-p5VdfumgCrrCPtIpKHvQqDbDH1EvJ4</v>
      </c>
    </row>
    <row r="339">
      <c r="A339" s="6" t="str">
        <f>IFERROR(__xludf.DUMMYFUNCTION("""COMPUTED_VALUE"""),"rhushikesh.parkhad@mitaoe.ac.in")</f>
        <v>rhushikesh.parkhad@mitaoe.ac.in</v>
      </c>
      <c r="B339" s="6" t="str">
        <f>IFERROR(__xludf.DUMMYFUNCTION("""COMPUTED_VALUE"""),"YES")</f>
        <v>YES</v>
      </c>
      <c r="C339" s="6" t="str">
        <f>IFERROR(__xludf.DUMMYFUNCTION("""COMPUTED_VALUE"""),"YES")</f>
        <v>YES</v>
      </c>
      <c r="D339" s="49" t="str">
        <f>IFERROR(__xludf.DUMMYFUNCTION("""COMPUTED_VALUE"""),"https://drive.google.com/open?id=1WTq6EJK-TkWz9vxTxvu4J-IHnU2qPdnl")</f>
        <v>https://drive.google.com/open?id=1WTq6EJK-TkWz9vxTxvu4J-IHnU2qPdnl</v>
      </c>
      <c r="E339" s="49" t="str">
        <f>IFERROR(__xludf.DUMMYFUNCTION("""COMPUTED_VALUE"""),"https://drive.google.com/open?id=1PF5JorjVNA8TGNF-oNQQjTZhqGiG5fr_")</f>
        <v>https://drive.google.com/open?id=1PF5JorjVNA8TGNF-oNQQjTZhqGiG5fr_</v>
      </c>
    </row>
    <row r="340">
      <c r="A340" s="6" t="str">
        <f>IFERROR(__xludf.DUMMYFUNCTION("""COMPUTED_VALUE"""),"ikpawar@mitaoe.ac.in")</f>
        <v>ikpawar@mitaoe.ac.in</v>
      </c>
      <c r="B340" s="6" t="str">
        <f>IFERROR(__xludf.DUMMYFUNCTION("""COMPUTED_VALUE"""),"NO")</f>
        <v>NO</v>
      </c>
      <c r="C340" s="6" t="str">
        <f>IFERROR(__xludf.DUMMYFUNCTION("""COMPUTED_VALUE"""),"YES")</f>
        <v>YES</v>
      </c>
      <c r="D340" s="6"/>
      <c r="E340" s="49" t="str">
        <f>IFERROR(__xludf.DUMMYFUNCTION("""COMPUTED_VALUE"""),"https://drive.google.com/open?id=19x5uBI20ZYe0bl4uT3Us9WMSOFDOi8TI")</f>
        <v>https://drive.google.com/open?id=19x5uBI20ZYe0bl4uT3Us9WMSOFDOi8TI</v>
      </c>
    </row>
    <row r="341">
      <c r="A341" s="6" t="str">
        <f>IFERROR(__xludf.DUMMYFUNCTION("""COMPUTED_VALUE"""),"piyush.gunde@mitaoe.ac.in")</f>
        <v>piyush.gunde@mitaoe.ac.in</v>
      </c>
      <c r="B341" s="6" t="str">
        <f>IFERROR(__xludf.DUMMYFUNCTION("""COMPUTED_VALUE"""),"YES")</f>
        <v>YES</v>
      </c>
      <c r="C341" s="6" t="str">
        <f>IFERROR(__xludf.DUMMYFUNCTION("""COMPUTED_VALUE"""),"YES")</f>
        <v>YES</v>
      </c>
      <c r="D341" s="49" t="str">
        <f>IFERROR(__xludf.DUMMYFUNCTION("""COMPUTED_VALUE"""),"https://drive.google.com/open?id=1ATNf4IkzIwG82eKxZhH4dChfZXmaP3Zz")</f>
        <v>https://drive.google.com/open?id=1ATNf4IkzIwG82eKxZhH4dChfZXmaP3Zz</v>
      </c>
      <c r="E341" s="49" t="str">
        <f>IFERROR(__xludf.DUMMYFUNCTION("""COMPUTED_VALUE"""),"https://drive.google.com/open?id=1jJSOwk3MXZYWPrxBbECi0iGTmSF8g1n6")</f>
        <v>https://drive.google.com/open?id=1jJSOwk3MXZYWPrxBbECi0iGTmSF8g1n6</v>
      </c>
    </row>
    <row r="342">
      <c r="A342" s="6" t="str">
        <f>IFERROR(__xludf.DUMMYFUNCTION("""COMPUTED_VALUE"""),"vansh.gaikwad@mitaoe.ac.in")</f>
        <v>vansh.gaikwad@mitaoe.ac.in</v>
      </c>
      <c r="B342" s="6" t="str">
        <f>IFERROR(__xludf.DUMMYFUNCTION("""COMPUTED_VALUE"""),"NO")</f>
        <v>NO</v>
      </c>
      <c r="C342" s="6" t="str">
        <f>IFERROR(__xludf.DUMMYFUNCTION("""COMPUTED_VALUE"""),"YES")</f>
        <v>YES</v>
      </c>
      <c r="D342" s="6"/>
      <c r="E342" s="49" t="str">
        <f>IFERROR(__xludf.DUMMYFUNCTION("""COMPUTED_VALUE"""),"https://drive.google.com/open?id=1_dhyL4h79Aru3KBHyB-fGeF1mSG_8ND-")</f>
        <v>https://drive.google.com/open?id=1_dhyL4h79Aru3KBHyB-fGeF1mSG_8ND-</v>
      </c>
    </row>
    <row r="343">
      <c r="A343" s="6" t="str">
        <f>IFERROR(__xludf.DUMMYFUNCTION("""COMPUTED_VALUE"""),"ddhemane@mitaoe.ac.in")</f>
        <v>ddhemane@mitaoe.ac.in</v>
      </c>
      <c r="B343" s="6" t="str">
        <f>IFERROR(__xludf.DUMMYFUNCTION("""COMPUTED_VALUE"""),"YES")</f>
        <v>YES</v>
      </c>
      <c r="C343" s="6" t="str">
        <f>IFERROR(__xludf.DUMMYFUNCTION("""COMPUTED_VALUE"""),"YES")</f>
        <v>YES</v>
      </c>
      <c r="D343" s="49" t="str">
        <f>IFERROR(__xludf.DUMMYFUNCTION("""COMPUTED_VALUE"""),"https://drive.google.com/open?id=1yCysJE9HqA6gOR_Gksf8BpMfUx7NVA2j")</f>
        <v>https://drive.google.com/open?id=1yCysJE9HqA6gOR_Gksf8BpMfUx7NVA2j</v>
      </c>
      <c r="E343" s="49" t="str">
        <f>IFERROR(__xludf.DUMMYFUNCTION("""COMPUTED_VALUE"""),"https://drive.google.com/open?id=1UPJXJ7lXM58_lLCMTzsO73DsdAVcq4YA")</f>
        <v>https://drive.google.com/open?id=1UPJXJ7lXM58_lLCMTzsO73DsdAVcq4YA</v>
      </c>
    </row>
    <row r="344">
      <c r="A344" s="6" t="str">
        <f>IFERROR(__xludf.DUMMYFUNCTION("""COMPUTED_VALUE"""),"kbnikam@mitaoe.ac.in")</f>
        <v>kbnikam@mitaoe.ac.in</v>
      </c>
      <c r="B344" s="6" t="str">
        <f>IFERROR(__xludf.DUMMYFUNCTION("""COMPUTED_VALUE"""),"YES")</f>
        <v>YES</v>
      </c>
      <c r="C344" s="6" t="str">
        <f>IFERROR(__xludf.DUMMYFUNCTION("""COMPUTED_VALUE"""),"YES")</f>
        <v>YES</v>
      </c>
      <c r="D344" s="49" t="str">
        <f>IFERROR(__xludf.DUMMYFUNCTION("""COMPUTED_VALUE"""),"https://drive.google.com/open?id=1n6I7k-pwPQu9xxlZbCwc42qr6OYILi-W")</f>
        <v>https://drive.google.com/open?id=1n6I7k-pwPQu9xxlZbCwc42qr6OYILi-W</v>
      </c>
      <c r="E344" s="49" t="str">
        <f>IFERROR(__xludf.DUMMYFUNCTION("""COMPUTED_VALUE"""),"https://drive.google.com/open?id=1cjUvb1p5vRHt3pSkZPwMO9m0E6lKGbRM")</f>
        <v>https://drive.google.com/open?id=1cjUvb1p5vRHt3pSkZPwMO9m0E6lKGbRM</v>
      </c>
    </row>
    <row r="345">
      <c r="A345" s="6" t="str">
        <f>IFERROR(__xludf.DUMMYFUNCTION("""COMPUTED_VALUE"""),"vaishnavijadhav@mitaoe.ac.in")</f>
        <v>vaishnavijadhav@mitaoe.ac.in</v>
      </c>
      <c r="B345" s="6" t="str">
        <f>IFERROR(__xludf.DUMMYFUNCTION("""COMPUTED_VALUE"""),"NO")</f>
        <v>NO</v>
      </c>
      <c r="C345" s="6" t="str">
        <f>IFERROR(__xludf.DUMMYFUNCTION("""COMPUTED_VALUE"""),"NO")</f>
        <v>NO</v>
      </c>
      <c r="D345" s="6"/>
      <c r="E345" s="6"/>
    </row>
    <row r="346">
      <c r="A346" s="6" t="str">
        <f>IFERROR(__xludf.DUMMYFUNCTION("""COMPUTED_VALUE"""),"andeshmukh@mitaoe.ac.in")</f>
        <v>andeshmukh@mitaoe.ac.in</v>
      </c>
      <c r="B346" s="6" t="str">
        <f>IFERROR(__xludf.DUMMYFUNCTION("""COMPUTED_VALUE"""),"NO")</f>
        <v>NO</v>
      </c>
      <c r="C346" s="6" t="str">
        <f>IFERROR(__xludf.DUMMYFUNCTION("""COMPUTED_VALUE"""),"NO")</f>
        <v>NO</v>
      </c>
      <c r="D346" s="6"/>
      <c r="E346" s="6"/>
    </row>
    <row r="347">
      <c r="A347" s="6" t="str">
        <f>IFERROR(__xludf.DUMMYFUNCTION("""COMPUTED_VALUE"""),"akhabya@mitaoe.ac.in")</f>
        <v>akhabya@mitaoe.ac.in</v>
      </c>
      <c r="B347" s="6" t="str">
        <f>IFERROR(__xludf.DUMMYFUNCTION("""COMPUTED_VALUE"""),"YES")</f>
        <v>YES</v>
      </c>
      <c r="C347" s="6" t="str">
        <f>IFERROR(__xludf.DUMMYFUNCTION("""COMPUTED_VALUE"""),"YES")</f>
        <v>YES</v>
      </c>
      <c r="D347" s="49" t="str">
        <f>IFERROR(__xludf.DUMMYFUNCTION("""COMPUTED_VALUE"""),"https://drive.google.com/open?id=1evMnkbP6sUnOJrzM90ioADSuZmg1YDsj")</f>
        <v>https://drive.google.com/open?id=1evMnkbP6sUnOJrzM90ioADSuZmg1YDsj</v>
      </c>
      <c r="E347" s="49" t="str">
        <f>IFERROR(__xludf.DUMMYFUNCTION("""COMPUTED_VALUE"""),"https://drive.google.com/open?id=1PYqdhQGoHPCM0fcuoi38qmfoZK2NIboU")</f>
        <v>https://drive.google.com/open?id=1PYqdhQGoHPCM0fcuoi38qmfoZK2NIboU</v>
      </c>
    </row>
    <row r="348">
      <c r="A348" s="6" t="str">
        <f>IFERROR(__xludf.DUMMYFUNCTION("""COMPUTED_VALUE"""),"abhishek.khandagale@mitaoe.ac.in")</f>
        <v>abhishek.khandagale@mitaoe.ac.in</v>
      </c>
      <c r="B348" s="6" t="str">
        <f>IFERROR(__xludf.DUMMYFUNCTION("""COMPUTED_VALUE"""),"NO")</f>
        <v>NO</v>
      </c>
      <c r="C348" s="6" t="str">
        <f>IFERROR(__xludf.DUMMYFUNCTION("""COMPUTED_VALUE"""),"YES")</f>
        <v>YES</v>
      </c>
      <c r="D348" s="49" t="str">
        <f>IFERROR(__xludf.DUMMYFUNCTION("""COMPUTED_VALUE"""),"https://drive.google.com/open?id=1xtRYmtujm2wy4oP9F7Hu0BZms8dtZhRj")</f>
        <v>https://drive.google.com/open?id=1xtRYmtujm2wy4oP9F7Hu0BZms8dtZhRj</v>
      </c>
      <c r="E348" s="49" t="str">
        <f>IFERROR(__xludf.DUMMYFUNCTION("""COMPUTED_VALUE"""),"https://drive.google.com/open?id=1oQbHkaeQQTntiZApocRSa9qHWmOyZGpL")</f>
        <v>https://drive.google.com/open?id=1oQbHkaeQQTntiZApocRSa9qHWmOyZGpL</v>
      </c>
    </row>
    <row r="349">
      <c r="A349" s="6" t="str">
        <f>IFERROR(__xludf.DUMMYFUNCTION("""COMPUTED_VALUE"""),"skkhatane@mitaoe.ac.in")</f>
        <v>skkhatane@mitaoe.ac.in</v>
      </c>
      <c r="B349" s="6" t="str">
        <f>IFERROR(__xludf.DUMMYFUNCTION("""COMPUTED_VALUE"""),"YES")</f>
        <v>YES</v>
      </c>
      <c r="C349" s="6" t="str">
        <f>IFERROR(__xludf.DUMMYFUNCTION("""COMPUTED_VALUE"""),"YES")</f>
        <v>YES</v>
      </c>
      <c r="D349" s="49" t="str">
        <f>IFERROR(__xludf.DUMMYFUNCTION("""COMPUTED_VALUE"""),"https://drive.google.com/open?id=1MPv3nP9tLi14yCRRAlD2yJfpdrAVEe20")</f>
        <v>https://drive.google.com/open?id=1MPv3nP9tLi14yCRRAlD2yJfpdrAVEe20</v>
      </c>
      <c r="E349" s="49" t="str">
        <f>IFERROR(__xludf.DUMMYFUNCTION("""COMPUTED_VALUE"""),"https://drive.google.com/open?id=1a2FUtQBgzYgbdnZ__1VZVZ3Bjn7qhWsB")</f>
        <v>https://drive.google.com/open?id=1a2FUtQBgzYgbdnZ__1VZVZ3Bjn7qhWsB</v>
      </c>
    </row>
    <row r="350">
      <c r="A350" s="6" t="str">
        <f>IFERROR(__xludf.DUMMYFUNCTION("""COMPUTED_VALUE"""),"rgchavan@mitaoe.ac.in")</f>
        <v>rgchavan@mitaoe.ac.in</v>
      </c>
      <c r="B350" s="6" t="str">
        <f>IFERROR(__xludf.DUMMYFUNCTION("""COMPUTED_VALUE"""),"NO")</f>
        <v>NO</v>
      </c>
      <c r="C350" s="6" t="str">
        <f>IFERROR(__xludf.DUMMYFUNCTION("""COMPUTED_VALUE"""),"YES")</f>
        <v>YES</v>
      </c>
      <c r="D350" s="6"/>
      <c r="E350" s="49" t="str">
        <f>IFERROR(__xludf.DUMMYFUNCTION("""COMPUTED_VALUE"""),"https://drive.google.com/open?id=1NJEPvGvkSWks4MrWSh0L3uN2zmSz8r6O")</f>
        <v>https://drive.google.com/open?id=1NJEPvGvkSWks4MrWSh0L3uN2zmSz8r6O</v>
      </c>
    </row>
    <row r="351">
      <c r="A351" s="6" t="str">
        <f>IFERROR(__xludf.DUMMYFUNCTION("""COMPUTED_VALUE"""),"sdzodape@mitaoe.ac.in")</f>
        <v>sdzodape@mitaoe.ac.in</v>
      </c>
      <c r="B351" s="6" t="str">
        <f>IFERROR(__xludf.DUMMYFUNCTION("""COMPUTED_VALUE"""),"NO")</f>
        <v>NO</v>
      </c>
      <c r="C351" s="6" t="str">
        <f>IFERROR(__xludf.DUMMYFUNCTION("""COMPUTED_VALUE"""),"NO")</f>
        <v>NO</v>
      </c>
      <c r="D351" s="6"/>
      <c r="E351" s="6"/>
    </row>
    <row r="352">
      <c r="A352" s="6" t="str">
        <f>IFERROR(__xludf.DUMMYFUNCTION("""COMPUTED_VALUE"""),"sonekarvr@mitaoe.ac.in")</f>
        <v>sonekarvr@mitaoe.ac.in</v>
      </c>
      <c r="B352" s="6" t="str">
        <f>IFERROR(__xludf.DUMMYFUNCTION("""COMPUTED_VALUE"""),"YES")</f>
        <v>YES</v>
      </c>
      <c r="C352" s="6" t="str">
        <f>IFERROR(__xludf.DUMMYFUNCTION("""COMPUTED_VALUE"""),"NO")</f>
        <v>NO</v>
      </c>
      <c r="D352" s="49" t="str">
        <f>IFERROR(__xludf.DUMMYFUNCTION("""COMPUTED_VALUE"""),"https://drive.google.com/open?id=1bvBMK9hY_zHoTPKjfgafFtB9cTuiCx8X")</f>
        <v>https://drive.google.com/open?id=1bvBMK9hY_zHoTPKjfgafFtB9cTuiCx8X</v>
      </c>
      <c r="E352" s="49" t="str">
        <f>IFERROR(__xludf.DUMMYFUNCTION("""COMPUTED_VALUE"""),"https://drive.google.com/open?id=1BRVaMIyWABxZbdompnvw4kbdWq0ppmEb")</f>
        <v>https://drive.google.com/open?id=1BRVaMIyWABxZbdompnvw4kbdWq0ppmEb</v>
      </c>
    </row>
    <row r="353">
      <c r="A353" s="6" t="str">
        <f>IFERROR(__xludf.DUMMYFUNCTION("""COMPUTED_VALUE"""),"ayush.jadhao@mitaoe.ac.in")</f>
        <v>ayush.jadhao@mitaoe.ac.in</v>
      </c>
      <c r="B353" s="6" t="str">
        <f>IFERROR(__xludf.DUMMYFUNCTION("""COMPUTED_VALUE"""),"YES")</f>
        <v>YES</v>
      </c>
      <c r="C353" s="6" t="str">
        <f>IFERROR(__xludf.DUMMYFUNCTION("""COMPUTED_VALUE"""),"YES")</f>
        <v>YES</v>
      </c>
      <c r="D353" s="49" t="str">
        <f>IFERROR(__xludf.DUMMYFUNCTION("""COMPUTED_VALUE"""),"https://drive.google.com/open?id=1ZG1Y0hQOT14XC4humiTbHRHypwQ1wEVM")</f>
        <v>https://drive.google.com/open?id=1ZG1Y0hQOT14XC4humiTbHRHypwQ1wEVM</v>
      </c>
      <c r="E353" s="49" t="str">
        <f>IFERROR(__xludf.DUMMYFUNCTION("""COMPUTED_VALUE"""),"https://drive.google.com/open?id=1cMmFkBVJW1_kQIqtzNinRh2L8k-3pOto")</f>
        <v>https://drive.google.com/open?id=1cMmFkBVJW1_kQIqtzNinRh2L8k-3pOto</v>
      </c>
    </row>
    <row r="354">
      <c r="A354" s="6" t="str">
        <f>IFERROR(__xludf.DUMMYFUNCTION("""COMPUTED_VALUE"""),"rushikesh.bhuyekar@mitaoe.ac.in")</f>
        <v>rushikesh.bhuyekar@mitaoe.ac.in</v>
      </c>
      <c r="B354" s="6" t="str">
        <f>IFERROR(__xludf.DUMMYFUNCTION("""COMPUTED_VALUE"""),"NO")</f>
        <v>NO</v>
      </c>
      <c r="C354" s="6" t="str">
        <f>IFERROR(__xludf.DUMMYFUNCTION("""COMPUTED_VALUE"""),"NO")</f>
        <v>NO</v>
      </c>
      <c r="D354" s="6"/>
      <c r="E354" s="6"/>
    </row>
    <row r="355">
      <c r="A355" s="6" t="str">
        <f>IFERROR(__xludf.DUMMYFUNCTION("""COMPUTED_VALUE"""),"shivlila.vishwakarma@mitaoe.ac.in")</f>
        <v>shivlila.vishwakarma@mitaoe.ac.in</v>
      </c>
      <c r="B355" s="6" t="str">
        <f>IFERROR(__xludf.DUMMYFUNCTION("""COMPUTED_VALUE"""),"NO")</f>
        <v>NO</v>
      </c>
      <c r="C355" s="6" t="str">
        <f>IFERROR(__xludf.DUMMYFUNCTION("""COMPUTED_VALUE"""),"NO")</f>
        <v>NO</v>
      </c>
      <c r="D355" s="6"/>
      <c r="E355" s="6"/>
    </row>
    <row r="356">
      <c r="A356" s="6" t="str">
        <f>IFERROR(__xludf.DUMMYFUNCTION("""COMPUTED_VALUE"""),"mayuri.ambegawe@mitaoe.ac.in")</f>
        <v>mayuri.ambegawe@mitaoe.ac.in</v>
      </c>
      <c r="B356" s="6" t="str">
        <f>IFERROR(__xludf.DUMMYFUNCTION("""COMPUTED_VALUE"""),"NO")</f>
        <v>NO</v>
      </c>
      <c r="C356" s="6" t="str">
        <f>IFERROR(__xludf.DUMMYFUNCTION("""COMPUTED_VALUE"""),"NO")</f>
        <v>NO</v>
      </c>
      <c r="D356" s="6"/>
      <c r="E356" s="6"/>
    </row>
    <row r="357">
      <c r="A357" s="6" t="str">
        <f>IFERROR(__xludf.DUMMYFUNCTION("""COMPUTED_VALUE"""),"pallavi.gundre@mitaoe.ac.in")</f>
        <v>pallavi.gundre@mitaoe.ac.in</v>
      </c>
      <c r="B357" s="6" t="str">
        <f>IFERROR(__xludf.DUMMYFUNCTION("""COMPUTED_VALUE"""),"NO")</f>
        <v>NO</v>
      </c>
      <c r="C357" s="6" t="str">
        <f>IFERROR(__xludf.DUMMYFUNCTION("""COMPUTED_VALUE"""),"NO")</f>
        <v>NO</v>
      </c>
      <c r="D357" s="6"/>
      <c r="E357" s="6"/>
    </row>
    <row r="358">
      <c r="A358" s="6" t="str">
        <f>IFERROR(__xludf.DUMMYFUNCTION("""COMPUTED_VALUE"""),"rushikesh.karanjkar@mitaoe.ac.in")</f>
        <v>rushikesh.karanjkar@mitaoe.ac.in</v>
      </c>
      <c r="B358" s="6" t="str">
        <f>IFERROR(__xludf.DUMMYFUNCTION("""COMPUTED_VALUE"""),"NO")</f>
        <v>NO</v>
      </c>
      <c r="C358" s="6" t="str">
        <f>IFERROR(__xludf.DUMMYFUNCTION("""COMPUTED_VALUE"""),"NO")</f>
        <v>NO</v>
      </c>
      <c r="D358" s="6"/>
      <c r="E358" s="6"/>
    </row>
    <row r="359">
      <c r="A359" s="6" t="str">
        <f>IFERROR(__xludf.DUMMYFUNCTION("""COMPUTED_VALUE"""),"kpphate@mitaoe.ac.in")</f>
        <v>kpphate@mitaoe.ac.in</v>
      </c>
      <c r="B359" s="6" t="str">
        <f>IFERROR(__xludf.DUMMYFUNCTION("""COMPUTED_VALUE"""),"YES")</f>
        <v>YES</v>
      </c>
      <c r="C359" s="6" t="str">
        <f>IFERROR(__xludf.DUMMYFUNCTION("""COMPUTED_VALUE"""),"YES")</f>
        <v>YES</v>
      </c>
      <c r="D359" s="49" t="str">
        <f>IFERROR(__xludf.DUMMYFUNCTION("""COMPUTED_VALUE"""),"https://drive.google.com/open?id=1xgyCVAk_GS9VyBILAsl3OQrM-5nYwu7f")</f>
        <v>https://drive.google.com/open?id=1xgyCVAk_GS9VyBILAsl3OQrM-5nYwu7f</v>
      </c>
      <c r="E359" s="49" t="str">
        <f>IFERROR(__xludf.DUMMYFUNCTION("""COMPUTED_VALUE"""),"https://drive.google.com/open?id=1t9RXbJAc9ywnCH_P92BxXa149vpWwDJB")</f>
        <v>https://drive.google.com/open?id=1t9RXbJAc9ywnCH_P92BxXa149vpWwDJB</v>
      </c>
    </row>
    <row r="360">
      <c r="A360" s="6" t="str">
        <f>IFERROR(__xludf.DUMMYFUNCTION("""COMPUTED_VALUE"""),"mmgaikwad@mitaoe.ac.in")</f>
        <v>mmgaikwad@mitaoe.ac.in</v>
      </c>
      <c r="B360" s="6" t="str">
        <f>IFERROR(__xludf.DUMMYFUNCTION("""COMPUTED_VALUE"""),"NO")</f>
        <v>NO</v>
      </c>
      <c r="C360" s="6" t="str">
        <f>IFERROR(__xludf.DUMMYFUNCTION("""COMPUTED_VALUE"""),"NO")</f>
        <v>NO</v>
      </c>
      <c r="D360" s="6"/>
      <c r="E360" s="6"/>
    </row>
    <row r="361">
      <c r="A361" s="6" t="str">
        <f>IFERROR(__xludf.DUMMYFUNCTION("""COMPUTED_VALUE"""),"djkumar@mitaoe.ac.in")</f>
        <v>djkumar@mitaoe.ac.in</v>
      </c>
      <c r="B361" s="6" t="str">
        <f>IFERROR(__xludf.DUMMYFUNCTION("""COMPUTED_VALUE"""),"NO")</f>
        <v>NO</v>
      </c>
      <c r="C361" s="6" t="str">
        <f>IFERROR(__xludf.DUMMYFUNCTION("""COMPUTED_VALUE"""),"NO")</f>
        <v>NO</v>
      </c>
      <c r="D361" s="6"/>
      <c r="E361" s="6"/>
    </row>
    <row r="362">
      <c r="A362" s="6" t="str">
        <f>IFERROR(__xludf.DUMMYFUNCTION("""COMPUTED_VALUE"""),"vssule@mitaoe.ac.in")</f>
        <v>vssule@mitaoe.ac.in</v>
      </c>
      <c r="B362" s="6" t="str">
        <f>IFERROR(__xludf.DUMMYFUNCTION("""COMPUTED_VALUE"""),"YES")</f>
        <v>YES</v>
      </c>
      <c r="C362" s="6" t="str">
        <f>IFERROR(__xludf.DUMMYFUNCTION("""COMPUTED_VALUE"""),"YES")</f>
        <v>YES</v>
      </c>
      <c r="D362" s="49" t="str">
        <f>IFERROR(__xludf.DUMMYFUNCTION("""COMPUTED_VALUE"""),"https://drive.google.com/open?id=1zaZ6AhxkaFGXqTHkEeTLhZJEaZ1g_yPN")</f>
        <v>https://drive.google.com/open?id=1zaZ6AhxkaFGXqTHkEeTLhZJEaZ1g_yPN</v>
      </c>
      <c r="E362" s="49" t="str">
        <f>IFERROR(__xludf.DUMMYFUNCTION("""COMPUTED_VALUE"""),"https://drive.google.com/open?id=1s1GokcihHTh1T2YLIcOXKths4Kl6Y6ze")</f>
        <v>https://drive.google.com/open?id=1s1GokcihHTh1T2YLIcOXKths4Kl6Y6ze</v>
      </c>
    </row>
    <row r="363">
      <c r="A363" s="6" t="str">
        <f>IFERROR(__xludf.DUMMYFUNCTION("""COMPUTED_VALUE"""),"vvdivnale@mitaoe.ac.in")</f>
        <v>vvdivnale@mitaoe.ac.in</v>
      </c>
      <c r="B363" s="6" t="str">
        <f>IFERROR(__xludf.DUMMYFUNCTION("""COMPUTED_VALUE"""),"YES")</f>
        <v>YES</v>
      </c>
      <c r="C363" s="6" t="str">
        <f>IFERROR(__xludf.DUMMYFUNCTION("""COMPUTED_VALUE"""),"YES")</f>
        <v>YES</v>
      </c>
      <c r="D363" s="49" t="str">
        <f>IFERROR(__xludf.DUMMYFUNCTION("""COMPUTED_VALUE"""),"https://drive.google.com/open?id=13Amy0uXnAPYnnR7euNdfKletoXmUOGnj")</f>
        <v>https://drive.google.com/open?id=13Amy0uXnAPYnnR7euNdfKletoXmUOGnj</v>
      </c>
      <c r="E363" s="49" t="str">
        <f>IFERROR(__xludf.DUMMYFUNCTION("""COMPUTED_VALUE"""),"https://drive.google.com/open?id=1lOWWDHUpZUG6phpoVZeXH6aA6SyDpvcg")</f>
        <v>https://drive.google.com/open?id=1lOWWDHUpZUG6phpoVZeXH6aA6SyDpvcg</v>
      </c>
    </row>
    <row r="364">
      <c r="A364" s="6" t="str">
        <f>IFERROR(__xludf.DUMMYFUNCTION("""COMPUTED_VALUE"""),"ngdhobale@mitaoe.ac.in")</f>
        <v>ngdhobale@mitaoe.ac.in</v>
      </c>
      <c r="B364" s="6" t="str">
        <f>IFERROR(__xludf.DUMMYFUNCTION("""COMPUTED_VALUE"""),"YES")</f>
        <v>YES</v>
      </c>
      <c r="C364" s="6" t="str">
        <f>IFERROR(__xludf.DUMMYFUNCTION("""COMPUTED_VALUE"""),"YES")</f>
        <v>YES</v>
      </c>
      <c r="D364" s="49" t="str">
        <f>IFERROR(__xludf.DUMMYFUNCTION("""COMPUTED_VALUE"""),"https://drive.google.com/open?id=1W13jwKGGJMCeTeubHfHr9Q_R7eLlQfi3")</f>
        <v>https://drive.google.com/open?id=1W13jwKGGJMCeTeubHfHr9Q_R7eLlQfi3</v>
      </c>
      <c r="E364" s="49" t="str">
        <f>IFERROR(__xludf.DUMMYFUNCTION("""COMPUTED_VALUE"""),"https://drive.google.com/open?id=1JajwLbDgf13G7fEVU3EDEUnK0VUWx2Ce")</f>
        <v>https://drive.google.com/open?id=1JajwLbDgf13G7fEVU3EDEUnK0VUWx2Ce</v>
      </c>
    </row>
    <row r="365">
      <c r="A365" s="6" t="str">
        <f>IFERROR(__xludf.DUMMYFUNCTION("""COMPUTED_VALUE"""),"sskotkar@mitaoe.ac.in")</f>
        <v>sskotkar@mitaoe.ac.in</v>
      </c>
      <c r="B365" s="6" t="str">
        <f>IFERROR(__xludf.DUMMYFUNCTION("""COMPUTED_VALUE"""),"YES")</f>
        <v>YES</v>
      </c>
      <c r="C365" s="6" t="str">
        <f>IFERROR(__xludf.DUMMYFUNCTION("""COMPUTED_VALUE"""),"YES")</f>
        <v>YES</v>
      </c>
      <c r="D365" s="49" t="str">
        <f>IFERROR(__xludf.DUMMYFUNCTION("""COMPUTED_VALUE"""),"https://drive.google.com/open?id=1BUG9oACrwqBrTgVVj91A_PojX2XqIA7J")</f>
        <v>https://drive.google.com/open?id=1BUG9oACrwqBrTgVVj91A_PojX2XqIA7J</v>
      </c>
      <c r="E365" s="49" t="str">
        <f>IFERROR(__xludf.DUMMYFUNCTION("""COMPUTED_VALUE"""),"https://drive.google.com/open?id=1dtuJwrlQnogiTOuuNYNPwBATnpXGEfnh")</f>
        <v>https://drive.google.com/open?id=1dtuJwrlQnogiTOuuNYNPwBATnpXGEfnh</v>
      </c>
    </row>
    <row r="366">
      <c r="A366" s="6" t="str">
        <f>IFERROR(__xludf.DUMMYFUNCTION("""COMPUTED_VALUE"""),"hdbhosale@mitaoe.ac.in")</f>
        <v>hdbhosale@mitaoe.ac.in</v>
      </c>
      <c r="B366" s="6" t="str">
        <f>IFERROR(__xludf.DUMMYFUNCTION("""COMPUTED_VALUE"""),"YES")</f>
        <v>YES</v>
      </c>
      <c r="C366" s="6" t="str">
        <f>IFERROR(__xludf.DUMMYFUNCTION("""COMPUTED_VALUE"""),"YES")</f>
        <v>YES</v>
      </c>
      <c r="D366" s="49" t="str">
        <f>IFERROR(__xludf.DUMMYFUNCTION("""COMPUTED_VALUE"""),"https://drive.google.com/open?id=1vXUoaoy6BPxHyCfODyLaoFMdeu3TKbs-")</f>
        <v>https://drive.google.com/open?id=1vXUoaoy6BPxHyCfODyLaoFMdeu3TKbs-</v>
      </c>
      <c r="E366" s="49" t="str">
        <f>IFERROR(__xludf.DUMMYFUNCTION("""COMPUTED_VALUE"""),"https://drive.google.com/open?id=1Yf3jezDIzBv9CB0PSYQYC9X2G4LISFUl")</f>
        <v>https://drive.google.com/open?id=1Yf3jezDIzBv9CB0PSYQYC9X2G4LISFUl</v>
      </c>
    </row>
    <row r="367">
      <c r="A367" s="6" t="str">
        <f>IFERROR(__xludf.DUMMYFUNCTION("""COMPUTED_VALUE"""),"salondhe@mitaoe.ac.in")</f>
        <v>salondhe@mitaoe.ac.in</v>
      </c>
      <c r="B367" s="6" t="str">
        <f>IFERROR(__xludf.DUMMYFUNCTION("""COMPUTED_VALUE"""),"YES")</f>
        <v>YES</v>
      </c>
      <c r="C367" s="6" t="str">
        <f>IFERROR(__xludf.DUMMYFUNCTION("""COMPUTED_VALUE"""),"YES")</f>
        <v>YES</v>
      </c>
      <c r="D367" s="49" t="str">
        <f>IFERROR(__xludf.DUMMYFUNCTION("""COMPUTED_VALUE"""),"https://drive.google.com/open?id=1Fsiki8KGWPehrxobl2QSGVq5ljbdSF0Y")</f>
        <v>https://drive.google.com/open?id=1Fsiki8KGWPehrxobl2QSGVq5ljbdSF0Y</v>
      </c>
      <c r="E367" s="49" t="str">
        <f>IFERROR(__xludf.DUMMYFUNCTION("""COMPUTED_VALUE"""),"https://drive.google.com/open?id=1-iRK_k7ZDi1RBpp_vGRUZR5mhPcriExg")</f>
        <v>https://drive.google.com/open?id=1-iRK_k7ZDi1RBpp_vGRUZR5mhPcriExg</v>
      </c>
    </row>
    <row r="368">
      <c r="A368" s="6" t="str">
        <f>IFERROR(__xludf.DUMMYFUNCTION("""COMPUTED_VALUE"""),"agkumar@mitaoe.ac.in")</f>
        <v>agkumar@mitaoe.ac.in</v>
      </c>
      <c r="B368" s="6" t="str">
        <f>IFERROR(__xludf.DUMMYFUNCTION("""COMPUTED_VALUE"""),"NO")</f>
        <v>NO</v>
      </c>
      <c r="C368" s="6" t="str">
        <f>IFERROR(__xludf.DUMMYFUNCTION("""COMPUTED_VALUE"""),"NO")</f>
        <v>NO</v>
      </c>
      <c r="D368" s="6"/>
      <c r="E368" s="6"/>
    </row>
    <row r="369">
      <c r="A369" s="6" t="str">
        <f>IFERROR(__xludf.DUMMYFUNCTION("""COMPUTED_VALUE"""),"mansisingh@mitaoe.ac.in")</f>
        <v>mansisingh@mitaoe.ac.in</v>
      </c>
      <c r="B369" s="6" t="str">
        <f>IFERROR(__xludf.DUMMYFUNCTION("""COMPUTED_VALUE"""),"YES")</f>
        <v>YES</v>
      </c>
      <c r="C369" s="6" t="str">
        <f>IFERROR(__xludf.DUMMYFUNCTION("""COMPUTED_VALUE"""),"YES")</f>
        <v>YES</v>
      </c>
      <c r="D369" s="49" t="str">
        <f>IFERROR(__xludf.DUMMYFUNCTION("""COMPUTED_VALUE"""),"https://drive.google.com/open?id=1vv8hEbHArh2gxo4FIMIYRFA_GazWyK0-")</f>
        <v>https://drive.google.com/open?id=1vv8hEbHArh2gxo4FIMIYRFA_GazWyK0-</v>
      </c>
      <c r="E369" s="49" t="str">
        <f>IFERROR(__xludf.DUMMYFUNCTION("""COMPUTED_VALUE"""),"https://drive.google.com/open?id=1nBpwyVHCBSDbBk12kkvDguyBlQsk7Mcc")</f>
        <v>https://drive.google.com/open?id=1nBpwyVHCBSDbBk12kkvDguyBlQsk7Mcc</v>
      </c>
    </row>
    <row r="370">
      <c r="A370" s="6" t="str">
        <f>IFERROR(__xludf.DUMMYFUNCTION("""COMPUTED_VALUE"""),"eakhajuria@mitaoe.ac.in")</f>
        <v>eakhajuria@mitaoe.ac.in</v>
      </c>
      <c r="B370" s="6" t="str">
        <f>IFERROR(__xludf.DUMMYFUNCTION("""COMPUTED_VALUE"""),"YES")</f>
        <v>YES</v>
      </c>
      <c r="C370" s="6" t="str">
        <f>IFERROR(__xludf.DUMMYFUNCTION("""COMPUTED_VALUE"""),"YES")</f>
        <v>YES</v>
      </c>
      <c r="D370" s="49" t="str">
        <f>IFERROR(__xludf.DUMMYFUNCTION("""COMPUTED_VALUE"""),"https://drive.google.com/open?id=1citbGfsiCwjM5WyzxQsoqtx8cK0wxAeL")</f>
        <v>https://drive.google.com/open?id=1citbGfsiCwjM5WyzxQsoqtx8cK0wxAeL</v>
      </c>
      <c r="E370" s="49" t="str">
        <f>IFERROR(__xludf.DUMMYFUNCTION("""COMPUTED_VALUE"""),"https://drive.google.com/open?id=1b4LejSpqiFeNkoTDxXNzQegv5wE_VcOL")</f>
        <v>https://drive.google.com/open?id=1b4LejSpqiFeNkoTDxXNzQegv5wE_VcOL</v>
      </c>
    </row>
    <row r="371">
      <c r="A371" s="6" t="str">
        <f>IFERROR(__xludf.DUMMYFUNCTION("""COMPUTED_VALUE"""),"aabirangal@mitaoe.ac.in")</f>
        <v>aabirangal@mitaoe.ac.in</v>
      </c>
      <c r="B371" s="6" t="str">
        <f>IFERROR(__xludf.DUMMYFUNCTION("""COMPUTED_VALUE"""),"YES")</f>
        <v>YES</v>
      </c>
      <c r="C371" s="6" t="str">
        <f>IFERROR(__xludf.DUMMYFUNCTION("""COMPUTED_VALUE"""),"YES")</f>
        <v>YES</v>
      </c>
      <c r="D371" s="49" t="str">
        <f>IFERROR(__xludf.DUMMYFUNCTION("""COMPUTED_VALUE"""),"https://drive.google.com/open?id=1QsqvO9xu0SxFBz30tqKe_9BC9vHMTmCX")</f>
        <v>https://drive.google.com/open?id=1QsqvO9xu0SxFBz30tqKe_9BC9vHMTmCX</v>
      </c>
      <c r="E371" s="49" t="str">
        <f>IFERROR(__xludf.DUMMYFUNCTION("""COMPUTED_VALUE"""),"https://drive.google.com/open?id=1Zm3eEQcfLhulqzP7YyIIu2mdj-LWjzDT")</f>
        <v>https://drive.google.com/open?id=1Zm3eEQcfLhulqzP7YyIIu2mdj-LWjzDT</v>
      </c>
    </row>
    <row r="372">
      <c r="A372" s="6" t="str">
        <f>IFERROR(__xludf.DUMMYFUNCTION("""COMPUTED_VALUE"""),"sanskrutijoshi@mitaoe.ac.in")</f>
        <v>sanskrutijoshi@mitaoe.ac.in</v>
      </c>
      <c r="B372" s="6" t="str">
        <f>IFERROR(__xludf.DUMMYFUNCTION("""COMPUTED_VALUE"""),"YES")</f>
        <v>YES</v>
      </c>
      <c r="C372" s="6" t="str">
        <f>IFERROR(__xludf.DUMMYFUNCTION("""COMPUTED_VALUE"""),"YES")</f>
        <v>YES</v>
      </c>
      <c r="D372" s="49" t="str">
        <f>IFERROR(__xludf.DUMMYFUNCTION("""COMPUTED_VALUE"""),"https://drive.google.com/open?id=1TclLHYwOFi3utFunXPGK1JrwuS_3NBhB")</f>
        <v>https://drive.google.com/open?id=1TclLHYwOFi3utFunXPGK1JrwuS_3NBhB</v>
      </c>
      <c r="E372" s="49" t="str">
        <f>IFERROR(__xludf.DUMMYFUNCTION("""COMPUTED_VALUE"""),"https://drive.google.com/open?id=1wwOanonrrnzgiFPou0mhclNku2uAeWqC")</f>
        <v>https://drive.google.com/open?id=1wwOanonrrnzgiFPou0mhclNku2uAeWqC</v>
      </c>
    </row>
    <row r="373">
      <c r="A373" s="6" t="str">
        <f>IFERROR(__xludf.DUMMYFUNCTION("""COMPUTED_VALUE"""),"hpdeshmukh@mitaoe.ac.in")</f>
        <v>hpdeshmukh@mitaoe.ac.in</v>
      </c>
      <c r="B373" s="6" t="str">
        <f>IFERROR(__xludf.DUMMYFUNCTION("""COMPUTED_VALUE"""),"YES")</f>
        <v>YES</v>
      </c>
      <c r="C373" s="6" t="str">
        <f>IFERROR(__xludf.DUMMYFUNCTION("""COMPUTED_VALUE"""),"YES")</f>
        <v>YES</v>
      </c>
      <c r="D373" s="49" t="str">
        <f>IFERROR(__xludf.DUMMYFUNCTION("""COMPUTED_VALUE"""),"https://drive.google.com/open?id=1zNbXVmzm0QeigGd5oGgAEGwAQTANFuOt")</f>
        <v>https://drive.google.com/open?id=1zNbXVmzm0QeigGd5oGgAEGwAQTANFuOt</v>
      </c>
      <c r="E373" s="49" t="str">
        <f>IFERROR(__xludf.DUMMYFUNCTION("""COMPUTED_VALUE"""),"https://drive.google.com/open?id=1DyLHHajgbSsrHtccjK177WkaGBSCQ2k1")</f>
        <v>https://drive.google.com/open?id=1DyLHHajgbSsrHtccjK177WkaGBSCQ2k1</v>
      </c>
    </row>
    <row r="374">
      <c r="A374" s="6" t="str">
        <f>IFERROR(__xludf.DUMMYFUNCTION("""COMPUTED_VALUE"""),"trikare@mitaoe.ac.in")</f>
        <v>trikare@mitaoe.ac.in</v>
      </c>
      <c r="B374" s="6" t="str">
        <f>IFERROR(__xludf.DUMMYFUNCTION("""COMPUTED_VALUE"""),"YES")</f>
        <v>YES</v>
      </c>
      <c r="C374" s="6" t="str">
        <f>IFERROR(__xludf.DUMMYFUNCTION("""COMPUTED_VALUE"""),"YES")</f>
        <v>YES</v>
      </c>
      <c r="D374" s="6"/>
      <c r="E374" s="6"/>
    </row>
    <row r="375">
      <c r="A375" s="6" t="str">
        <f>IFERROR(__xludf.DUMMYFUNCTION("""COMPUTED_VALUE"""),"msghodekar@mitaoe.ac.in")</f>
        <v>msghodekar@mitaoe.ac.in</v>
      </c>
      <c r="B375" s="6" t="str">
        <f>IFERROR(__xludf.DUMMYFUNCTION("""COMPUTED_VALUE"""),"YES")</f>
        <v>YES</v>
      </c>
      <c r="C375" s="6" t="str">
        <f>IFERROR(__xludf.DUMMYFUNCTION("""COMPUTED_VALUE"""),"YES")</f>
        <v>YES</v>
      </c>
      <c r="D375" s="49" t="str">
        <f>IFERROR(__xludf.DUMMYFUNCTION("""COMPUTED_VALUE"""),"https://drive.google.com/open?id=1gxTK5v24evnKybw4ianTnowU4hHoqn5S")</f>
        <v>https://drive.google.com/open?id=1gxTK5v24evnKybw4ianTnowU4hHoqn5S</v>
      </c>
      <c r="E375" s="49" t="str">
        <f>IFERROR(__xludf.DUMMYFUNCTION("""COMPUTED_VALUE"""),"https://drive.google.com/open?id=1wuJ3k_TouCV0ZpjNL5gkwuMmrG6L6d2s")</f>
        <v>https://drive.google.com/open?id=1wuJ3k_TouCV0ZpjNL5gkwuMmrG6L6d2s</v>
      </c>
    </row>
    <row r="376">
      <c r="A376" s="6" t="str">
        <f>IFERROR(__xludf.DUMMYFUNCTION("""COMPUTED_VALUE"""),"sohamraut@mitaoe.ac.in")</f>
        <v>sohamraut@mitaoe.ac.in</v>
      </c>
      <c r="B376" s="6" t="str">
        <f>IFERROR(__xludf.DUMMYFUNCTION("""COMPUTED_VALUE"""),"YES")</f>
        <v>YES</v>
      </c>
      <c r="C376" s="6" t="str">
        <f>IFERROR(__xludf.DUMMYFUNCTION("""COMPUTED_VALUE"""),"YES")</f>
        <v>YES</v>
      </c>
      <c r="D376" s="49" t="str">
        <f>IFERROR(__xludf.DUMMYFUNCTION("""COMPUTED_VALUE"""),"https://drive.google.com/open?id=1A1Wwidb-uSplJK3FjKSGWOTesBjyVfhx")</f>
        <v>https://drive.google.com/open?id=1A1Wwidb-uSplJK3FjKSGWOTesBjyVfhx</v>
      </c>
      <c r="E376" s="49" t="str">
        <f>IFERROR(__xludf.DUMMYFUNCTION("""COMPUTED_VALUE"""),"https://drive.google.com/open?id=11QjIRwBMZAmtJ9krj6O_rxVSjFTl81-2")</f>
        <v>https://drive.google.com/open?id=11QjIRwBMZAmtJ9krj6O_rxVSjFTl81-2</v>
      </c>
    </row>
    <row r="377">
      <c r="A377" s="6" t="str">
        <f>IFERROR(__xludf.DUMMYFUNCTION("""COMPUTED_VALUE"""),"makasture@mitaoe.ac.in")</f>
        <v>makasture@mitaoe.ac.in</v>
      </c>
      <c r="B377" s="6" t="str">
        <f>IFERROR(__xludf.DUMMYFUNCTION("""COMPUTED_VALUE"""),"YES")</f>
        <v>YES</v>
      </c>
      <c r="C377" s="6" t="str">
        <f>IFERROR(__xludf.DUMMYFUNCTION("""COMPUTED_VALUE"""),"YES")</f>
        <v>YES</v>
      </c>
      <c r="D377" s="49" t="str">
        <f>IFERROR(__xludf.DUMMYFUNCTION("""COMPUTED_VALUE"""),"https://drive.google.com/open?id=16GYMe_4S95t2ULTFWTuwGYcL4Eys-Htz")</f>
        <v>https://drive.google.com/open?id=16GYMe_4S95t2ULTFWTuwGYcL4Eys-Htz</v>
      </c>
      <c r="E377" s="49" t="str">
        <f>IFERROR(__xludf.DUMMYFUNCTION("""COMPUTED_VALUE"""),"https://drive.google.com/open?id=1MTaqj3GjXowLpWA-HyIOJL8Bk0oT_aTm")</f>
        <v>https://drive.google.com/open?id=1MTaqj3GjXowLpWA-HyIOJL8Bk0oT_aTm</v>
      </c>
    </row>
    <row r="378">
      <c r="A378" s="6" t="str">
        <f>IFERROR(__xludf.DUMMYFUNCTION("""COMPUTED_VALUE"""),"aapawar@mitaoe.ac.in")</f>
        <v>aapawar@mitaoe.ac.in</v>
      </c>
      <c r="B378" s="6" t="str">
        <f>IFERROR(__xludf.DUMMYFUNCTION("""COMPUTED_VALUE"""),"YES")</f>
        <v>YES</v>
      </c>
      <c r="C378" s="6" t="str">
        <f>IFERROR(__xludf.DUMMYFUNCTION("""COMPUTED_VALUE"""),"YES")</f>
        <v>YES</v>
      </c>
      <c r="D378" s="49" t="str">
        <f>IFERROR(__xludf.DUMMYFUNCTION("""COMPUTED_VALUE"""),"https://drive.google.com/open?id=1b3avxbnPNwzoE4ZyxFuBkPaJqek8Rwni")</f>
        <v>https://drive.google.com/open?id=1b3avxbnPNwzoE4ZyxFuBkPaJqek8Rwni</v>
      </c>
      <c r="E378" s="49" t="str">
        <f>IFERROR(__xludf.DUMMYFUNCTION("""COMPUTED_VALUE"""),"https://drive.google.com/open?id=1aUmgXImbLImpHQNJkftKI7YEZiphsbp_")</f>
        <v>https://drive.google.com/open?id=1aUmgXImbLImpHQNJkftKI7YEZiphsbp_</v>
      </c>
    </row>
    <row r="379">
      <c r="A379" s="6" t="str">
        <f>IFERROR(__xludf.DUMMYFUNCTION("""COMPUTED_VALUE"""),"sbkotgire@mitaoe.ac.in")</f>
        <v>sbkotgire@mitaoe.ac.in</v>
      </c>
      <c r="B379" s="6" t="str">
        <f>IFERROR(__xludf.DUMMYFUNCTION("""COMPUTED_VALUE"""),"NO")</f>
        <v>NO</v>
      </c>
      <c r="C379" s="6" t="str">
        <f>IFERROR(__xludf.DUMMYFUNCTION("""COMPUTED_VALUE"""),"YES")</f>
        <v>YES</v>
      </c>
      <c r="D379" s="49" t="str">
        <f>IFERROR(__xludf.DUMMYFUNCTION("""COMPUTED_VALUE"""),"https://drive.google.com/open?id=1Eco7VzVVehUdmmJn8KlHss_QttUN4wEa")</f>
        <v>https://drive.google.com/open?id=1Eco7VzVVehUdmmJn8KlHss_QttUN4wEa</v>
      </c>
      <c r="E379" s="49" t="str">
        <f>IFERROR(__xludf.DUMMYFUNCTION("""COMPUTED_VALUE"""),"https://drive.google.com/open?id=1-DQrUNRudmSY2cLQ7dkjsXjHQnbXf1rn")</f>
        <v>https://drive.google.com/open?id=1-DQrUNRudmSY2cLQ7dkjsXjHQnbXf1rn</v>
      </c>
    </row>
    <row r="380">
      <c r="A380" s="6" t="str">
        <f>IFERROR(__xludf.DUMMYFUNCTION("""COMPUTED_VALUE"""),"tsthawari@mitaoe.ac.in")</f>
        <v>tsthawari@mitaoe.ac.in</v>
      </c>
      <c r="B380" s="6" t="str">
        <f>IFERROR(__xludf.DUMMYFUNCTION("""COMPUTED_VALUE"""),"YES")</f>
        <v>YES</v>
      </c>
      <c r="C380" s="6" t="str">
        <f>IFERROR(__xludf.DUMMYFUNCTION("""COMPUTED_VALUE"""),"YES")</f>
        <v>YES</v>
      </c>
      <c r="D380" s="49" t="str">
        <f>IFERROR(__xludf.DUMMYFUNCTION("""COMPUTED_VALUE"""),"https://drive.google.com/open?id=1AipjSwALJzlDjm_YhJuwLagz0l93daGO")</f>
        <v>https://drive.google.com/open?id=1AipjSwALJzlDjm_YhJuwLagz0l93daGO</v>
      </c>
      <c r="E380" s="49" t="str">
        <f>IFERROR(__xludf.DUMMYFUNCTION("""COMPUTED_VALUE"""),"https://drive.google.com/open?id=1CXitPwF_dku1jK-_s5ZonWRrY5O5LIyy")</f>
        <v>https://drive.google.com/open?id=1CXitPwF_dku1jK-_s5ZonWRrY5O5LIyy</v>
      </c>
    </row>
    <row r="381">
      <c r="A381" s="6" t="str">
        <f>IFERROR(__xludf.DUMMYFUNCTION("""COMPUTED_VALUE"""),"aabatwe@mitaoe.ac.in")</f>
        <v>aabatwe@mitaoe.ac.in</v>
      </c>
      <c r="B381" s="6" t="str">
        <f>IFERROR(__xludf.DUMMYFUNCTION("""COMPUTED_VALUE"""),"NO")</f>
        <v>NO</v>
      </c>
      <c r="C381" s="6" t="str">
        <f>IFERROR(__xludf.DUMMYFUNCTION("""COMPUTED_VALUE"""),"YES")</f>
        <v>YES</v>
      </c>
      <c r="D381" s="6"/>
      <c r="E381" s="49" t="str">
        <f>IFERROR(__xludf.DUMMYFUNCTION("""COMPUTED_VALUE"""),"https://drive.google.com/open?id=1qMF6nW3xFi2vncEQoYFIYZ31nVs4W37N")</f>
        <v>https://drive.google.com/open?id=1qMF6nW3xFi2vncEQoYFIYZ31nVs4W37N</v>
      </c>
    </row>
    <row r="382">
      <c r="A382" s="6" t="str">
        <f>IFERROR(__xludf.DUMMYFUNCTION("""COMPUTED_VALUE"""),"datadas@mitaoe.ac.in")</f>
        <v>datadas@mitaoe.ac.in</v>
      </c>
      <c r="B382" s="6" t="str">
        <f>IFERROR(__xludf.DUMMYFUNCTION("""COMPUTED_VALUE"""),"YES")</f>
        <v>YES</v>
      </c>
      <c r="C382" s="6" t="str">
        <f>IFERROR(__xludf.DUMMYFUNCTION("""COMPUTED_VALUE"""),"YES")</f>
        <v>YES</v>
      </c>
      <c r="D382" s="49" t="str">
        <f>IFERROR(__xludf.DUMMYFUNCTION("""COMPUTED_VALUE"""),"https://drive.google.com/open?id=1X7jhXFjE8eUoV0VQDhSFbQSkd9dpwEes")</f>
        <v>https://drive.google.com/open?id=1X7jhXFjE8eUoV0VQDhSFbQSkd9dpwEes</v>
      </c>
      <c r="E382" s="49" t="str">
        <f>IFERROR(__xludf.DUMMYFUNCTION("""COMPUTED_VALUE"""),"https://drive.google.com/open?id=1BKGKF995y2d9UxzY_IFg7TArDEfBWd84")</f>
        <v>https://drive.google.com/open?id=1BKGKF995y2d9UxzY_IFg7TArDEfBWd84</v>
      </c>
    </row>
    <row r="383">
      <c r="A383" s="6" t="str">
        <f>IFERROR(__xludf.DUMMYFUNCTION("""COMPUTED_VALUE"""),"lnrajput@mitaoe.ac.in")</f>
        <v>lnrajput@mitaoe.ac.in</v>
      </c>
      <c r="B383" s="6" t="str">
        <f>IFERROR(__xludf.DUMMYFUNCTION("""COMPUTED_VALUE"""),"YES")</f>
        <v>YES</v>
      </c>
      <c r="C383" s="6" t="str">
        <f>IFERROR(__xludf.DUMMYFUNCTION("""COMPUTED_VALUE"""),"YES")</f>
        <v>YES</v>
      </c>
      <c r="D383" s="49" t="str">
        <f>IFERROR(__xludf.DUMMYFUNCTION("""COMPUTED_VALUE"""),"https://drive.google.com/open?id=1xHbuljmaQA2sBWDML4Yf1mMz4bmHluYf")</f>
        <v>https://drive.google.com/open?id=1xHbuljmaQA2sBWDML4Yf1mMz4bmHluYf</v>
      </c>
      <c r="E383" s="49" t="str">
        <f>IFERROR(__xludf.DUMMYFUNCTION("""COMPUTED_VALUE"""),"https://drive.google.com/open?id=1PYq4xsF8XOBGAXKwPg6lGixxh6sAsquR")</f>
        <v>https://drive.google.com/open?id=1PYq4xsF8XOBGAXKwPg6lGixxh6sAsquR</v>
      </c>
    </row>
    <row r="384">
      <c r="A384" s="6" t="str">
        <f>IFERROR(__xludf.DUMMYFUNCTION("""COMPUTED_VALUE"""),"ssmahajan@mitaoe.ac.in")</f>
        <v>ssmahajan@mitaoe.ac.in</v>
      </c>
      <c r="B384" s="6" t="str">
        <f>IFERROR(__xludf.DUMMYFUNCTION("""COMPUTED_VALUE"""),"YES")</f>
        <v>YES</v>
      </c>
      <c r="C384" s="6" t="str">
        <f>IFERROR(__xludf.DUMMYFUNCTION("""COMPUTED_VALUE"""),"YES")</f>
        <v>YES</v>
      </c>
      <c r="D384" s="49" t="str">
        <f>IFERROR(__xludf.DUMMYFUNCTION("""COMPUTED_VALUE"""),"https://drive.google.com/open?id=1G-0WL1Fd_nEglNfKO9lB1rZDgRn58BEz")</f>
        <v>https://drive.google.com/open?id=1G-0WL1Fd_nEglNfKO9lB1rZDgRn58BEz</v>
      </c>
      <c r="E384" s="49" t="str">
        <f>IFERROR(__xludf.DUMMYFUNCTION("""COMPUTED_VALUE"""),"https://drive.google.com/open?id=1qz30iD159Shx4G8kpBdJjEogAe9DmgYs")</f>
        <v>https://drive.google.com/open?id=1qz30iD159Shx4G8kpBdJjEogAe9DmgYs</v>
      </c>
    </row>
    <row r="385">
      <c r="A385" s="6" t="str">
        <f>IFERROR(__xludf.DUMMYFUNCTION("""COMPUTED_VALUE"""),"astonshaji@mitaoe.ac.in")</f>
        <v>astonshaji@mitaoe.ac.in</v>
      </c>
      <c r="B385" s="6" t="str">
        <f>IFERROR(__xludf.DUMMYFUNCTION("""COMPUTED_VALUE"""),"YES")</f>
        <v>YES</v>
      </c>
      <c r="C385" s="6" t="str">
        <f>IFERROR(__xludf.DUMMYFUNCTION("""COMPUTED_VALUE"""),"YES")</f>
        <v>YES</v>
      </c>
      <c r="D385" s="49" t="str">
        <f>IFERROR(__xludf.DUMMYFUNCTION("""COMPUTED_VALUE"""),"https://drive.google.com/open?id=1VDkbqdL0U9u-4SML3S1euf6OqAd5EaTM")</f>
        <v>https://drive.google.com/open?id=1VDkbqdL0U9u-4SML3S1euf6OqAd5EaTM</v>
      </c>
      <c r="E385" s="49" t="str">
        <f>IFERROR(__xludf.DUMMYFUNCTION("""COMPUTED_VALUE"""),"https://drive.google.com/open?id=15ceRsux_-4ZzX_Mbzn1Y7chgVB4elQuX")</f>
        <v>https://drive.google.com/open?id=15ceRsux_-4ZzX_Mbzn1Y7chgVB4elQuX</v>
      </c>
    </row>
    <row r="386">
      <c r="A386" s="6" t="str">
        <f>IFERROR(__xludf.DUMMYFUNCTION("""COMPUTED_VALUE"""),"vaendole@mitaoe.ac.in")</f>
        <v>vaendole@mitaoe.ac.in</v>
      </c>
      <c r="B386" s="6" t="str">
        <f>IFERROR(__xludf.DUMMYFUNCTION("""COMPUTED_VALUE"""),"NO")</f>
        <v>NO</v>
      </c>
      <c r="C386" s="6" t="str">
        <f>IFERROR(__xludf.DUMMYFUNCTION("""COMPUTED_VALUE"""),"YES")</f>
        <v>YES</v>
      </c>
      <c r="D386" s="6"/>
      <c r="E386" s="49" t="str">
        <f>IFERROR(__xludf.DUMMYFUNCTION("""COMPUTED_VALUE"""),"https://drive.google.com/open?id=1ZUp0lL8Pyc5Ea5Q4G3asoocZis2YCwkU")</f>
        <v>https://drive.google.com/open?id=1ZUp0lL8Pyc5Ea5Q4G3asoocZis2YCwkU</v>
      </c>
    </row>
    <row r="387">
      <c r="A387" s="6" t="str">
        <f>IFERROR(__xludf.DUMMYFUNCTION("""COMPUTED_VALUE"""),"ayyeole@mitaoe.ac.in")</f>
        <v>ayyeole@mitaoe.ac.in</v>
      </c>
      <c r="B387" s="6" t="str">
        <f>IFERROR(__xludf.DUMMYFUNCTION("""COMPUTED_VALUE"""),"YES")</f>
        <v>YES</v>
      </c>
      <c r="C387" s="6" t="str">
        <f>IFERROR(__xludf.DUMMYFUNCTION("""COMPUTED_VALUE"""),"YES")</f>
        <v>YES</v>
      </c>
      <c r="D387" s="49" t="str">
        <f>IFERROR(__xludf.DUMMYFUNCTION("""COMPUTED_VALUE"""),"https://drive.google.com/open?id=1NEDufNhGgBPLutnpGfaW5eQWuFf_Pi1X")</f>
        <v>https://drive.google.com/open?id=1NEDufNhGgBPLutnpGfaW5eQWuFf_Pi1X</v>
      </c>
      <c r="E387" s="49" t="str">
        <f>IFERROR(__xludf.DUMMYFUNCTION("""COMPUTED_VALUE"""),"https://drive.google.com/open?id=16MW7BeKW_yg_5BeILeglLeFLIJXk6EBB")</f>
        <v>https://drive.google.com/open?id=16MW7BeKW_yg_5BeILeglLeFLIJXk6EBB</v>
      </c>
    </row>
    <row r="388">
      <c r="A388" s="6" t="str">
        <f>IFERROR(__xludf.DUMMYFUNCTION("""COMPUTED_VALUE"""),"smkhairkar@mitaoe.ac.in")</f>
        <v>smkhairkar@mitaoe.ac.in</v>
      </c>
      <c r="B388" s="6" t="str">
        <f>IFERROR(__xludf.DUMMYFUNCTION("""COMPUTED_VALUE"""),"YES")</f>
        <v>YES</v>
      </c>
      <c r="C388" s="6" t="str">
        <f>IFERROR(__xludf.DUMMYFUNCTION("""COMPUTED_VALUE"""),"YES")</f>
        <v>YES</v>
      </c>
      <c r="D388" s="49" t="str">
        <f>IFERROR(__xludf.DUMMYFUNCTION("""COMPUTED_VALUE"""),"https://drive.google.com/open?id=12w-q6peL5wbJ---_fcegCB9QXQ4RXRNb")</f>
        <v>https://drive.google.com/open?id=12w-q6peL5wbJ---_fcegCB9QXQ4RXRNb</v>
      </c>
      <c r="E388" s="49" t="str">
        <f>IFERROR(__xludf.DUMMYFUNCTION("""COMPUTED_VALUE"""),"https://drive.google.com/open?id=1OZdxQvEzukX8vR9DRQIbqeo-KYnDUE7c")</f>
        <v>https://drive.google.com/open?id=1OZdxQvEzukX8vR9DRQIbqeo-KYnDUE7c</v>
      </c>
    </row>
    <row r="389">
      <c r="A389" s="6" t="str">
        <f>IFERROR(__xludf.DUMMYFUNCTION("""COMPUTED_VALUE"""),"akzamwar@mitaoe.ac.in")</f>
        <v>akzamwar@mitaoe.ac.in</v>
      </c>
      <c r="B389" s="6" t="str">
        <f>IFERROR(__xludf.DUMMYFUNCTION("""COMPUTED_VALUE"""),"YES")</f>
        <v>YES</v>
      </c>
      <c r="C389" s="6" t="str">
        <f>IFERROR(__xludf.DUMMYFUNCTION("""COMPUTED_VALUE"""),"YES")</f>
        <v>YES</v>
      </c>
      <c r="D389" s="49" t="str">
        <f>IFERROR(__xludf.DUMMYFUNCTION("""COMPUTED_VALUE"""),"https://drive.google.com/open?id=1HRY_6O90Bw5WD5EJVsk958PxWyrc3rsi")</f>
        <v>https://drive.google.com/open?id=1HRY_6O90Bw5WD5EJVsk958PxWyrc3rsi</v>
      </c>
      <c r="E389" s="49" t="str">
        <f>IFERROR(__xludf.DUMMYFUNCTION("""COMPUTED_VALUE"""),"https://drive.google.com/open?id=1bZyKBvu6kA82U-ASIZbFcnnASPhxRFH5")</f>
        <v>https://drive.google.com/open?id=1bZyKBvu6kA82U-ASIZbFcnnASPhxRFH5</v>
      </c>
    </row>
    <row r="390">
      <c r="A390" s="6" t="str">
        <f>IFERROR(__xludf.DUMMYFUNCTION("""COMPUTED_VALUE"""),"aniketsharma@mitaoe.ac.in")</f>
        <v>aniketsharma@mitaoe.ac.in</v>
      </c>
      <c r="B390" s="6" t="str">
        <f>IFERROR(__xludf.DUMMYFUNCTION("""COMPUTED_VALUE"""),"NO")</f>
        <v>NO</v>
      </c>
      <c r="C390" s="6" t="str">
        <f>IFERROR(__xludf.DUMMYFUNCTION("""COMPUTED_VALUE"""),"NO")</f>
        <v>NO</v>
      </c>
      <c r="D390" s="6"/>
      <c r="E390" s="6"/>
    </row>
    <row r="391">
      <c r="A391" s="6" t="str">
        <f>IFERROR(__xludf.DUMMYFUNCTION("""COMPUTED_VALUE"""),"fmpatel@mitaoe.ac.in")</f>
        <v>fmpatel@mitaoe.ac.in</v>
      </c>
      <c r="B391" s="6" t="str">
        <f>IFERROR(__xludf.DUMMYFUNCTION("""COMPUTED_VALUE"""),"YES")</f>
        <v>YES</v>
      </c>
      <c r="C391" s="6" t="str">
        <f>IFERROR(__xludf.DUMMYFUNCTION("""COMPUTED_VALUE"""),"YES")</f>
        <v>YES</v>
      </c>
      <c r="D391" s="49" t="str">
        <f>IFERROR(__xludf.DUMMYFUNCTION("""COMPUTED_VALUE"""),"https://drive.google.com/open?id=1W9f96jTJxezEvjgzpmcU-9Hh-yffK1zx")</f>
        <v>https://drive.google.com/open?id=1W9f96jTJxezEvjgzpmcU-9Hh-yffK1zx</v>
      </c>
      <c r="E391" s="49" t="str">
        <f>IFERROR(__xludf.DUMMYFUNCTION("""COMPUTED_VALUE"""),"https://drive.google.com/open?id=1uCsP5cGd_Bfk4ZbhOiRcT8RDls0YO_b9")</f>
        <v>https://drive.google.com/open?id=1uCsP5cGd_Bfk4ZbhOiRcT8RDls0YO_b9</v>
      </c>
    </row>
    <row r="392">
      <c r="A392" s="6" t="str">
        <f>IFERROR(__xludf.DUMMYFUNCTION("""COMPUTED_VALUE"""),"hkjade@mitaoe.ac.in")</f>
        <v>hkjade@mitaoe.ac.in</v>
      </c>
      <c r="B392" s="6" t="str">
        <f>IFERROR(__xludf.DUMMYFUNCTION("""COMPUTED_VALUE"""),"NO")</f>
        <v>NO</v>
      </c>
      <c r="C392" s="6" t="str">
        <f>IFERROR(__xludf.DUMMYFUNCTION("""COMPUTED_VALUE"""),"NO")</f>
        <v>NO</v>
      </c>
      <c r="D392" s="6"/>
      <c r="E392" s="6"/>
    </row>
    <row r="393">
      <c r="A393" s="6" t="str">
        <f>IFERROR(__xludf.DUMMYFUNCTION("""COMPUTED_VALUE"""),"hrshimpi@mitaoe.ac.in")</f>
        <v>hrshimpi@mitaoe.ac.in</v>
      </c>
      <c r="B393" s="6" t="str">
        <f>IFERROR(__xludf.DUMMYFUNCTION("""COMPUTED_VALUE"""),"YES")</f>
        <v>YES</v>
      </c>
      <c r="C393" s="6" t="str">
        <f>IFERROR(__xludf.DUMMYFUNCTION("""COMPUTED_VALUE"""),"YES")</f>
        <v>YES</v>
      </c>
      <c r="D393" s="49" t="str">
        <f>IFERROR(__xludf.DUMMYFUNCTION("""COMPUTED_VALUE"""),"https://drive.google.com/open?id=1fVQYJa83xk0_jQTyQn55bErwufL6JoB2")</f>
        <v>https://drive.google.com/open?id=1fVQYJa83xk0_jQTyQn55bErwufL6JoB2</v>
      </c>
      <c r="E393" s="49" t="str">
        <f>IFERROR(__xludf.DUMMYFUNCTION("""COMPUTED_VALUE"""),"https://drive.google.com/open?id=1zGQVTy6T9TXgPlJ5YPNJOXIAm7No9Q4Z")</f>
        <v>https://drive.google.com/open?id=1zGQVTy6T9TXgPlJ5YPNJOXIAm7No9Q4Z</v>
      </c>
    </row>
    <row r="394">
      <c r="A394" s="6" t="str">
        <f>IFERROR(__xludf.DUMMYFUNCTION("""COMPUTED_VALUE"""),"aaraddekar@mitaoe.ac.in")</f>
        <v>aaraddekar@mitaoe.ac.in</v>
      </c>
      <c r="B394" s="6" t="str">
        <f>IFERROR(__xludf.DUMMYFUNCTION("""COMPUTED_VALUE"""),"YES")</f>
        <v>YES</v>
      </c>
      <c r="C394" s="6" t="str">
        <f>IFERROR(__xludf.DUMMYFUNCTION("""COMPUTED_VALUE"""),"YES")</f>
        <v>YES</v>
      </c>
      <c r="D394" s="49" t="str">
        <f>IFERROR(__xludf.DUMMYFUNCTION("""COMPUTED_VALUE"""),"https://drive.google.com/open?id=10wVHN1pJB7aesqbfC-CTOBAFhTM9kD16")</f>
        <v>https://drive.google.com/open?id=10wVHN1pJB7aesqbfC-CTOBAFhTM9kD16</v>
      </c>
      <c r="E394" s="49" t="str">
        <f>IFERROR(__xludf.DUMMYFUNCTION("""COMPUTED_VALUE"""),"https://drive.google.com/open?id=1WV6GYfBxrGZsdy2Ift8cfX7DnmC_6pem")</f>
        <v>https://drive.google.com/open?id=1WV6GYfBxrGZsdy2Ift8cfX7DnmC_6pem</v>
      </c>
    </row>
    <row r="395">
      <c r="A395" s="6" t="str">
        <f>IFERROR(__xludf.DUMMYFUNCTION("""COMPUTED_VALUE"""),"ffkhan@mitaoe.ac.in")</f>
        <v>ffkhan@mitaoe.ac.in</v>
      </c>
      <c r="B395" s="6" t="str">
        <f>IFERROR(__xludf.DUMMYFUNCTION("""COMPUTED_VALUE"""),"YES")</f>
        <v>YES</v>
      </c>
      <c r="C395" s="6" t="str">
        <f>IFERROR(__xludf.DUMMYFUNCTION("""COMPUTED_VALUE"""),"YES")</f>
        <v>YES</v>
      </c>
      <c r="D395" s="49" t="str">
        <f>IFERROR(__xludf.DUMMYFUNCTION("""COMPUTED_VALUE"""),"https://drive.google.com/open?id=1xwj6oqAFuYByztRSmPz58cgAPX3BxaUK")</f>
        <v>https://drive.google.com/open?id=1xwj6oqAFuYByztRSmPz58cgAPX3BxaUK</v>
      </c>
      <c r="E395" s="49" t="str">
        <f>IFERROR(__xludf.DUMMYFUNCTION("""COMPUTED_VALUE"""),"https://drive.google.com/open?id=14NsEAxsvf0WS_dUfm-bSuMqBA-gwBFmp")</f>
        <v>https://drive.google.com/open?id=14NsEAxsvf0WS_dUfm-bSuMqBA-gwBFmp</v>
      </c>
    </row>
    <row r="396">
      <c r="A396" s="6" t="str">
        <f>IFERROR(__xludf.DUMMYFUNCTION("""COMPUTED_VALUE"""),"prgayake@mitaoe.ac.in")</f>
        <v>prgayake@mitaoe.ac.in</v>
      </c>
      <c r="B396" s="6" t="str">
        <f>IFERROR(__xludf.DUMMYFUNCTION("""COMPUTED_VALUE"""),"YES")</f>
        <v>YES</v>
      </c>
      <c r="C396" s="6" t="str">
        <f>IFERROR(__xludf.DUMMYFUNCTION("""COMPUTED_VALUE"""),"YES")</f>
        <v>YES</v>
      </c>
      <c r="D396" s="49" t="str">
        <f>IFERROR(__xludf.DUMMYFUNCTION("""COMPUTED_VALUE"""),"https://drive.google.com/open?id=10l7YJX5J6WenP1t3p0_L5YmVB7b7sBGm")</f>
        <v>https://drive.google.com/open?id=10l7YJX5J6WenP1t3p0_L5YmVB7b7sBGm</v>
      </c>
      <c r="E396" s="49" t="str">
        <f>IFERROR(__xludf.DUMMYFUNCTION("""COMPUTED_VALUE"""),"https://drive.google.com/open?id=1_DzESrLA21I9SqJ7tb_zgtO4pE-iS9Hz")</f>
        <v>https://drive.google.com/open?id=1_DzESrLA21I9SqJ7tb_zgtO4pE-iS9Hz</v>
      </c>
    </row>
    <row r="397">
      <c r="A397" s="6" t="str">
        <f>IFERROR(__xludf.DUMMYFUNCTION("""COMPUTED_VALUE"""),"ssroy@mitaoe.ac.in")</f>
        <v>ssroy@mitaoe.ac.in</v>
      </c>
      <c r="B397" s="6" t="str">
        <f>IFERROR(__xludf.DUMMYFUNCTION("""COMPUTED_VALUE"""),"NO")</f>
        <v>NO</v>
      </c>
      <c r="C397" s="6" t="str">
        <f>IFERROR(__xludf.DUMMYFUNCTION("""COMPUTED_VALUE"""),"NO")</f>
        <v>NO</v>
      </c>
      <c r="D397" s="6"/>
      <c r="E397" s="6"/>
    </row>
    <row r="398">
      <c r="A398" s="6" t="str">
        <f>IFERROR(__xludf.DUMMYFUNCTION("""COMPUTED_VALUE"""),"harshalpatil@mitaoe.ac.in")</f>
        <v>harshalpatil@mitaoe.ac.in</v>
      </c>
      <c r="B398" s="6" t="str">
        <f>IFERROR(__xludf.DUMMYFUNCTION("""COMPUTED_VALUE"""),"NO")</f>
        <v>NO</v>
      </c>
      <c r="C398" s="6" t="str">
        <f>IFERROR(__xludf.DUMMYFUNCTION("""COMPUTED_VALUE"""),"NO")</f>
        <v>NO</v>
      </c>
      <c r="D398" s="6"/>
      <c r="E398" s="6"/>
    </row>
    <row r="399">
      <c r="A399" s="6" t="str">
        <f>IFERROR(__xludf.DUMMYFUNCTION("""COMPUTED_VALUE"""),"askumbhar@mitaoe.ac.in")</f>
        <v>askumbhar@mitaoe.ac.in</v>
      </c>
      <c r="B399" s="6" t="str">
        <f>IFERROR(__xludf.DUMMYFUNCTION("""COMPUTED_VALUE"""),"YES")</f>
        <v>YES</v>
      </c>
      <c r="C399" s="6" t="str">
        <f>IFERROR(__xludf.DUMMYFUNCTION("""COMPUTED_VALUE"""),"YES")</f>
        <v>YES</v>
      </c>
      <c r="D399" s="49" t="str">
        <f>IFERROR(__xludf.DUMMYFUNCTION("""COMPUTED_VALUE"""),"https://drive.google.com/open?id=1H4Mf_C3zAp0l98QDEZBufMN6Qia6zhDc")</f>
        <v>https://drive.google.com/open?id=1H4Mf_C3zAp0l98QDEZBufMN6Qia6zhDc</v>
      </c>
      <c r="E399" s="49" t="str">
        <f>IFERROR(__xludf.DUMMYFUNCTION("""COMPUTED_VALUE"""),"https://drive.google.com/open?id=1zaalBsKL9OGDcZhMCZNqHN-672bAeL0-")</f>
        <v>https://drive.google.com/open?id=1zaalBsKL9OGDcZhMCZNqHN-672bAeL0-</v>
      </c>
    </row>
    <row r="400">
      <c r="A400" s="6" t="str">
        <f>IFERROR(__xludf.DUMMYFUNCTION("""COMPUTED_VALUE"""),"gclikhar@mitaoe.ac.in")</f>
        <v>gclikhar@mitaoe.ac.in</v>
      </c>
      <c r="B400" s="6" t="str">
        <f>IFERROR(__xludf.DUMMYFUNCTION("""COMPUTED_VALUE"""),"YES")</f>
        <v>YES</v>
      </c>
      <c r="C400" s="6" t="str">
        <f>IFERROR(__xludf.DUMMYFUNCTION("""COMPUTED_VALUE"""),"YES")</f>
        <v>YES</v>
      </c>
      <c r="D400" s="49" t="str">
        <f>IFERROR(__xludf.DUMMYFUNCTION("""COMPUTED_VALUE"""),"https://drive.google.com/open?id=1s5NpR_fMXHZWztw3rz0d3jlXDaUtVjnU")</f>
        <v>https://drive.google.com/open?id=1s5NpR_fMXHZWztw3rz0d3jlXDaUtVjnU</v>
      </c>
      <c r="E400" s="49" t="str">
        <f>IFERROR(__xludf.DUMMYFUNCTION("""COMPUTED_VALUE"""),"https://drive.google.com/open?id=16IY5wOfVsAZkU10DyC20X0qPg_a2dxcS")</f>
        <v>https://drive.google.com/open?id=16IY5wOfVsAZkU10DyC20X0qPg_a2dxcS</v>
      </c>
    </row>
    <row r="401">
      <c r="A401" s="6" t="str">
        <f>IFERROR(__xludf.DUMMYFUNCTION("""COMPUTED_VALUE"""),"dpsantoshwar@mitaoe.ac.in")</f>
        <v>dpsantoshwar@mitaoe.ac.in</v>
      </c>
      <c r="B401" s="6" t="str">
        <f>IFERROR(__xludf.DUMMYFUNCTION("""COMPUTED_VALUE"""),"YES")</f>
        <v>YES</v>
      </c>
      <c r="C401" s="6" t="str">
        <f>IFERROR(__xludf.DUMMYFUNCTION("""COMPUTED_VALUE"""),"YES")</f>
        <v>YES</v>
      </c>
      <c r="D401" s="49" t="str">
        <f>IFERROR(__xludf.DUMMYFUNCTION("""COMPUTED_VALUE"""),"https://drive.google.com/open?id=1-CXaomhJI7JVdA2BkMGjDmtUbI1g1FV8")</f>
        <v>https://drive.google.com/open?id=1-CXaomhJI7JVdA2BkMGjDmtUbI1g1FV8</v>
      </c>
      <c r="E401" s="49" t="str">
        <f>IFERROR(__xludf.DUMMYFUNCTION("""COMPUTED_VALUE"""),"https://drive.google.com/open?id=1vM-hFR3WMpR3k_O53-fDY9FhMFE7IXRr")</f>
        <v>https://drive.google.com/open?id=1vM-hFR3WMpR3k_O53-fDY9FhMFE7IXRr</v>
      </c>
    </row>
    <row r="402">
      <c r="A402" s="6" t="str">
        <f>IFERROR(__xludf.DUMMYFUNCTION("""COMPUTED_VALUE"""),"mahureab@mitaoe.ac.in")</f>
        <v>mahureab@mitaoe.ac.in</v>
      </c>
      <c r="B402" s="6" t="str">
        <f>IFERROR(__xludf.DUMMYFUNCTION("""COMPUTED_VALUE"""),"YES")</f>
        <v>YES</v>
      </c>
      <c r="C402" s="6" t="str">
        <f>IFERROR(__xludf.DUMMYFUNCTION("""COMPUTED_VALUE"""),"YES")</f>
        <v>YES</v>
      </c>
      <c r="D402" s="49" t="str">
        <f>IFERROR(__xludf.DUMMYFUNCTION("""COMPUTED_VALUE"""),"https://drive.google.com/open?id=1ivuudtMJvgk8ZPEvgEUVwUP6VpsCB_bL")</f>
        <v>https://drive.google.com/open?id=1ivuudtMJvgk8ZPEvgEUVwUP6VpsCB_bL</v>
      </c>
      <c r="E402" s="49" t="str">
        <f>IFERROR(__xludf.DUMMYFUNCTION("""COMPUTED_VALUE"""),"https://drive.google.com/open?id=10ijGiJ_kP6JDhn-dX5mjCmwaGKBu3YOy")</f>
        <v>https://drive.google.com/open?id=10ijGiJ_kP6JDhn-dX5mjCmwaGKBu3YOy</v>
      </c>
    </row>
    <row r="403">
      <c r="A403" s="6" t="str">
        <f>IFERROR(__xludf.DUMMYFUNCTION("""COMPUTED_VALUE"""),"hariomsingh@mitaoe.ac.in")</f>
        <v>hariomsingh@mitaoe.ac.in</v>
      </c>
      <c r="B403" s="6" t="str">
        <f>IFERROR(__xludf.DUMMYFUNCTION("""COMPUTED_VALUE"""),"YES")</f>
        <v>YES</v>
      </c>
      <c r="C403" s="6" t="str">
        <f>IFERROR(__xludf.DUMMYFUNCTION("""COMPUTED_VALUE"""),"YES")</f>
        <v>YES</v>
      </c>
      <c r="D403" s="49" t="str">
        <f>IFERROR(__xludf.DUMMYFUNCTION("""COMPUTED_VALUE"""),"https://drive.google.com/open?id=1kvNQ2woaY3nUJ2WTTB2FdvCaZA5QZofO")</f>
        <v>https://drive.google.com/open?id=1kvNQ2woaY3nUJ2WTTB2FdvCaZA5QZofO</v>
      </c>
      <c r="E403" s="49" t="str">
        <f>IFERROR(__xludf.DUMMYFUNCTION("""COMPUTED_VALUE"""),"https://drive.google.com/open?id=119H2tbKy6WZ6137Xv6PBUewkOZhyRuGE")</f>
        <v>https://drive.google.com/open?id=119H2tbKy6WZ6137Xv6PBUewkOZhyRuGE</v>
      </c>
    </row>
    <row r="404">
      <c r="A404" s="6" t="str">
        <f>IFERROR(__xludf.DUMMYFUNCTION("""COMPUTED_VALUE"""),"kumbharpj@mitaoe.ac.in")</f>
        <v>kumbharpj@mitaoe.ac.in</v>
      </c>
      <c r="B404" s="6" t="str">
        <f>IFERROR(__xludf.DUMMYFUNCTION("""COMPUTED_VALUE"""),"YES")</f>
        <v>YES</v>
      </c>
      <c r="C404" s="6" t="str">
        <f>IFERROR(__xludf.DUMMYFUNCTION("""COMPUTED_VALUE"""),"YES")</f>
        <v>YES</v>
      </c>
      <c r="D404" s="49" t="str">
        <f>IFERROR(__xludf.DUMMYFUNCTION("""COMPUTED_VALUE"""),"https://drive.google.com/open?id=1w1fUTngOXZ1wrOd4NQnXK8vzUXAt-JbF")</f>
        <v>https://drive.google.com/open?id=1w1fUTngOXZ1wrOd4NQnXK8vzUXAt-JbF</v>
      </c>
      <c r="E404" s="49" t="str">
        <f>IFERROR(__xludf.DUMMYFUNCTION("""COMPUTED_VALUE"""),"https://drive.google.com/open?id=1XQA-Wq1UWBjY4Mtu4vZJGr_bNBSTuWix")</f>
        <v>https://drive.google.com/open?id=1XQA-Wq1UWBjY4Mtu4vZJGr_bNBSTuWix</v>
      </c>
    </row>
    <row r="405">
      <c r="A405" s="6" t="str">
        <f>IFERROR(__xludf.DUMMYFUNCTION("""COMPUTED_VALUE"""),"sameer.patil@mitaoe.ac.in")</f>
        <v>sameer.patil@mitaoe.ac.in</v>
      </c>
      <c r="B405" s="6" t="str">
        <f>IFERROR(__xludf.DUMMYFUNCTION("""COMPUTED_VALUE"""),"YES")</f>
        <v>YES</v>
      </c>
      <c r="C405" s="6" t="str">
        <f>IFERROR(__xludf.DUMMYFUNCTION("""COMPUTED_VALUE"""),"YES")</f>
        <v>YES</v>
      </c>
      <c r="D405" s="49" t="str">
        <f>IFERROR(__xludf.DUMMYFUNCTION("""COMPUTED_VALUE"""),"https://drive.google.com/open?id=1d1oVvfRmGF5kliVcsmh3ULSWiRKCfG97")</f>
        <v>https://drive.google.com/open?id=1d1oVvfRmGF5kliVcsmh3ULSWiRKCfG97</v>
      </c>
      <c r="E405" s="49" t="str">
        <f>IFERROR(__xludf.DUMMYFUNCTION("""COMPUTED_VALUE"""),"https://drive.google.com/open?id=1roC_vu7g2KMie4poS1Qd6Nn2Hye6MY9Y")</f>
        <v>https://drive.google.com/open?id=1roC_vu7g2KMie4poS1Qd6Nn2Hye6MY9Y</v>
      </c>
    </row>
    <row r="406">
      <c r="A406" s="6" t="str">
        <f>IFERROR(__xludf.DUMMYFUNCTION("""COMPUTED_VALUE"""),"komal.patil@mitaoe.ac.in")</f>
        <v>komal.patil@mitaoe.ac.in</v>
      </c>
      <c r="B406" s="6" t="str">
        <f>IFERROR(__xludf.DUMMYFUNCTION("""COMPUTED_VALUE"""),"YES")</f>
        <v>YES</v>
      </c>
      <c r="C406" s="6" t="str">
        <f>IFERROR(__xludf.DUMMYFUNCTION("""COMPUTED_VALUE"""),"YES")</f>
        <v>YES</v>
      </c>
      <c r="D406" s="49" t="str">
        <f>IFERROR(__xludf.DUMMYFUNCTION("""COMPUTED_VALUE"""),"https://drive.google.com/open?id=1HY-9vecWiJJfrWHMJS3IKFOW6UEXH-8J")</f>
        <v>https://drive.google.com/open?id=1HY-9vecWiJJfrWHMJS3IKFOW6UEXH-8J</v>
      </c>
      <c r="E406" s="49" t="str">
        <f>IFERROR(__xludf.DUMMYFUNCTION("""COMPUTED_VALUE"""),"https://drive.google.com/open?id=1gAlNORynPMV4z9BN8U3Pj-gHYrqu0ASf")</f>
        <v>https://drive.google.com/open?id=1gAlNORynPMV4z9BN8U3Pj-gHYrqu0ASf</v>
      </c>
    </row>
    <row r="407">
      <c r="A407" s="6" t="str">
        <f>IFERROR(__xludf.DUMMYFUNCTION("""COMPUTED_VALUE"""),"prajyoti.patil@mitaoe.ac.in")</f>
        <v>prajyoti.patil@mitaoe.ac.in</v>
      </c>
      <c r="B407" s="6" t="str">
        <f>IFERROR(__xludf.DUMMYFUNCTION("""COMPUTED_VALUE"""),"YES")</f>
        <v>YES</v>
      </c>
      <c r="C407" s="6" t="str">
        <f>IFERROR(__xludf.DUMMYFUNCTION("""COMPUTED_VALUE"""),"YES")</f>
        <v>YES</v>
      </c>
      <c r="D407" s="49" t="str">
        <f>IFERROR(__xludf.DUMMYFUNCTION("""COMPUTED_VALUE"""),"https://drive.google.com/open?id=1qiDI7Eu2rvIqrPQjq2s_OJg3_gUYv2TF")</f>
        <v>https://drive.google.com/open?id=1qiDI7Eu2rvIqrPQjq2s_OJg3_gUYv2TF</v>
      </c>
      <c r="E407" s="49" t="str">
        <f>IFERROR(__xludf.DUMMYFUNCTION("""COMPUTED_VALUE"""),"https://drive.google.com/open?id=1OU7JjPHOBE6lqxCe80RingEKIN9svD4J")</f>
        <v>https://drive.google.com/open?id=1OU7JjPHOBE6lqxCe80RingEKIN9svD4J</v>
      </c>
    </row>
    <row r="408">
      <c r="A408" s="6" t="str">
        <f>IFERROR(__xludf.DUMMYFUNCTION("""COMPUTED_VALUE"""),"atharva.joshi@mitaoe.ac.in")</f>
        <v>atharva.joshi@mitaoe.ac.in</v>
      </c>
      <c r="B408" s="6" t="str">
        <f>IFERROR(__xludf.DUMMYFUNCTION("""COMPUTED_VALUE"""),"YES")</f>
        <v>YES</v>
      </c>
      <c r="C408" s="6" t="str">
        <f>IFERROR(__xludf.DUMMYFUNCTION("""COMPUTED_VALUE"""),"YES")</f>
        <v>YES</v>
      </c>
      <c r="D408" s="49" t="str">
        <f>IFERROR(__xludf.DUMMYFUNCTION("""COMPUTED_VALUE"""),"https://drive.google.com/open?id=1FK8yk76_4JaLGHffuzg4Vx7E2TeYR05i")</f>
        <v>https://drive.google.com/open?id=1FK8yk76_4JaLGHffuzg4Vx7E2TeYR05i</v>
      </c>
      <c r="E408" s="49" t="str">
        <f>IFERROR(__xludf.DUMMYFUNCTION("""COMPUTED_VALUE"""),"https://drive.google.com/open?id=1iQ2jLGLu39ou2000a6H8CghSZzcHhV4b")</f>
        <v>https://drive.google.com/open?id=1iQ2jLGLu39ou2000a6H8CghSZzcHhV4b</v>
      </c>
    </row>
    <row r="409">
      <c r="A409" s="6" t="str">
        <f>IFERROR(__xludf.DUMMYFUNCTION("""COMPUTED_VALUE"""),"mayuri.sathe@mitaoe.ac.in")</f>
        <v>mayuri.sathe@mitaoe.ac.in</v>
      </c>
      <c r="B409" s="6" t="str">
        <f>IFERROR(__xludf.DUMMYFUNCTION("""COMPUTED_VALUE"""),"YES")</f>
        <v>YES</v>
      </c>
      <c r="C409" s="6" t="str">
        <f>IFERROR(__xludf.DUMMYFUNCTION("""COMPUTED_VALUE"""),"YES")</f>
        <v>YES</v>
      </c>
      <c r="D409" s="49" t="str">
        <f>IFERROR(__xludf.DUMMYFUNCTION("""COMPUTED_VALUE"""),"https://drive.google.com/open?id=1Ao6Exj4McW0J_0Waco9n2GrYKgVlLt0p")</f>
        <v>https://drive.google.com/open?id=1Ao6Exj4McW0J_0Waco9n2GrYKgVlLt0p</v>
      </c>
      <c r="E409" s="49" t="str">
        <f>IFERROR(__xludf.DUMMYFUNCTION("""COMPUTED_VALUE"""),"https://drive.google.com/open?id=1m8jy7mcipoFq3V-pnJxbsYQfIvCdEpnV")</f>
        <v>https://drive.google.com/open?id=1m8jy7mcipoFq3V-pnJxbsYQfIvCdEpnV</v>
      </c>
    </row>
    <row r="410">
      <c r="A410" s="6" t="str">
        <f>IFERROR(__xludf.DUMMYFUNCTION("""COMPUTED_VALUE"""),"hdgawade@mitaoe.ac.in")</f>
        <v>hdgawade@mitaoe.ac.in</v>
      </c>
      <c r="B410" s="6" t="str">
        <f>IFERROR(__xludf.DUMMYFUNCTION("""COMPUTED_VALUE"""),"YES")</f>
        <v>YES</v>
      </c>
      <c r="C410" s="6" t="str">
        <f>IFERROR(__xludf.DUMMYFUNCTION("""COMPUTED_VALUE"""),"YES")</f>
        <v>YES</v>
      </c>
      <c r="D410" s="49" t="str">
        <f>IFERROR(__xludf.DUMMYFUNCTION("""COMPUTED_VALUE"""),"https://drive.google.com/open?id=1BFAWA4cwwg2T3bTq1ajO97JY-rsjL91n")</f>
        <v>https://drive.google.com/open?id=1BFAWA4cwwg2T3bTq1ajO97JY-rsjL91n</v>
      </c>
      <c r="E410" s="49" t="str">
        <f>IFERROR(__xludf.DUMMYFUNCTION("""COMPUTED_VALUE"""),"https://drive.google.com/open?id=17_h8Xj3BgrOVvChdGs50SEJEjiBBmr_a")</f>
        <v>https://drive.google.com/open?id=17_h8Xj3BgrOVvChdGs50SEJEjiBBmr_a</v>
      </c>
    </row>
    <row r="411">
      <c r="A411" s="6" t="str">
        <f>IFERROR(__xludf.DUMMYFUNCTION("""COMPUTED_VALUE"""),"sjkolhe@mitaoe.ac.in")</f>
        <v>sjkolhe@mitaoe.ac.in</v>
      </c>
      <c r="B411" s="6" t="str">
        <f>IFERROR(__xludf.DUMMYFUNCTION("""COMPUTED_VALUE"""),"YES")</f>
        <v>YES</v>
      </c>
      <c r="C411" s="6" t="str">
        <f>IFERROR(__xludf.DUMMYFUNCTION("""COMPUTED_VALUE"""),"YES")</f>
        <v>YES</v>
      </c>
      <c r="D411" s="49" t="str">
        <f>IFERROR(__xludf.DUMMYFUNCTION("""COMPUTED_VALUE"""),"https://drive.google.com/open?id=1JF9zT-DYzWZdxego0QurIrzaIzy7QW0g")</f>
        <v>https://drive.google.com/open?id=1JF9zT-DYzWZdxego0QurIrzaIzy7QW0g</v>
      </c>
      <c r="E411" s="49" t="str">
        <f>IFERROR(__xludf.DUMMYFUNCTION("""COMPUTED_VALUE"""),"https://drive.google.com/open?id=1klZn1l73MnOBU8tIeGyNJ4hFgBOppqlU")</f>
        <v>https://drive.google.com/open?id=1klZn1l73MnOBU8tIeGyNJ4hFgBOppqlU</v>
      </c>
    </row>
    <row r="412">
      <c r="A412" s="6" t="str">
        <f>IFERROR(__xludf.DUMMYFUNCTION("""COMPUTED_VALUE"""),"abhijeet.gandhi@mitaoe.ac.in")</f>
        <v>abhijeet.gandhi@mitaoe.ac.in</v>
      </c>
      <c r="B412" s="6" t="str">
        <f>IFERROR(__xludf.DUMMYFUNCTION("""COMPUTED_VALUE"""),"YES")</f>
        <v>YES</v>
      </c>
      <c r="C412" s="6" t="str">
        <f>IFERROR(__xludf.DUMMYFUNCTION("""COMPUTED_VALUE"""),"YES")</f>
        <v>YES</v>
      </c>
      <c r="D412" s="49" t="str">
        <f>IFERROR(__xludf.DUMMYFUNCTION("""COMPUTED_VALUE"""),"https://drive.google.com/open?id=1GcmUx74ClDwXLCoY2VQhmAp80ebR6hql")</f>
        <v>https://drive.google.com/open?id=1GcmUx74ClDwXLCoY2VQhmAp80ebR6hql</v>
      </c>
      <c r="E412" s="49" t="str">
        <f>IFERROR(__xludf.DUMMYFUNCTION("""COMPUTED_VALUE"""),"https://drive.google.com/open?id=1iwjej4NTTgfqDDay3tDiGY5IU1Y8toFf")</f>
        <v>https://drive.google.com/open?id=1iwjej4NTTgfqDDay3tDiGY5IU1Y8toFf</v>
      </c>
    </row>
    <row r="413">
      <c r="A413" s="6" t="str">
        <f>IFERROR(__xludf.DUMMYFUNCTION("""COMPUTED_VALUE"""),"pranil.ghatage@mitaoe.ac.in")</f>
        <v>pranil.ghatage@mitaoe.ac.in</v>
      </c>
      <c r="B413" s="6" t="str">
        <f>IFERROR(__xludf.DUMMYFUNCTION("""COMPUTED_VALUE"""),"NO")</f>
        <v>NO</v>
      </c>
      <c r="C413" s="6" t="str">
        <f>IFERROR(__xludf.DUMMYFUNCTION("""COMPUTED_VALUE"""),"NO")</f>
        <v>NO</v>
      </c>
      <c r="D413" s="6"/>
      <c r="E413" s="6"/>
    </row>
    <row r="414">
      <c r="A414" s="6" t="str">
        <f>IFERROR(__xludf.DUMMYFUNCTION("""COMPUTED_VALUE"""),"lmpetkule@mitaoe.ac.in")</f>
        <v>lmpetkule@mitaoe.ac.in</v>
      </c>
      <c r="B414" s="6" t="str">
        <f>IFERROR(__xludf.DUMMYFUNCTION("""COMPUTED_VALUE"""),"NO")</f>
        <v>NO</v>
      </c>
      <c r="C414" s="6" t="str">
        <f>IFERROR(__xludf.DUMMYFUNCTION("""COMPUTED_VALUE"""),"NO")</f>
        <v>NO</v>
      </c>
      <c r="D414" s="6"/>
      <c r="E414" s="6"/>
    </row>
    <row r="415">
      <c r="A415" s="6" t="str">
        <f>IFERROR(__xludf.DUMMYFUNCTION("""COMPUTED_VALUE"""),"aishwarya.chouthe@mitaoe.ac.in")</f>
        <v>aishwarya.chouthe@mitaoe.ac.in</v>
      </c>
      <c r="B415" s="6" t="str">
        <f>IFERROR(__xludf.DUMMYFUNCTION("""COMPUTED_VALUE"""),"NO")</f>
        <v>NO</v>
      </c>
      <c r="C415" s="6" t="str">
        <f>IFERROR(__xludf.DUMMYFUNCTION("""COMPUTED_VALUE"""),"YES")</f>
        <v>YES</v>
      </c>
      <c r="D415" s="6"/>
      <c r="E415" s="49" t="str">
        <f>IFERROR(__xludf.DUMMYFUNCTION("""COMPUTED_VALUE"""),"https://drive.google.com/open?id=1OBI8-6LL_NrgV6OrdLdvZ32KvOy_ZPVy")</f>
        <v>https://drive.google.com/open?id=1OBI8-6LL_NrgV6OrdLdvZ32KvOy_ZPVy</v>
      </c>
    </row>
    <row r="416">
      <c r="A416" s="6" t="str">
        <f>IFERROR(__xludf.DUMMYFUNCTION("""COMPUTED_VALUE"""),"kunal.shinde@mitaoe.ac.in")</f>
        <v>kunal.shinde@mitaoe.ac.in</v>
      </c>
      <c r="B416" s="6" t="str">
        <f>IFERROR(__xludf.DUMMYFUNCTION("""COMPUTED_VALUE"""),"NO")</f>
        <v>NO</v>
      </c>
      <c r="C416" s="6" t="str">
        <f>IFERROR(__xludf.DUMMYFUNCTION("""COMPUTED_VALUE"""),"NO")</f>
        <v>NO</v>
      </c>
      <c r="D416" s="6"/>
      <c r="E416" s="6"/>
    </row>
    <row r="417">
      <c r="A417" s="6" t="str">
        <f>IFERROR(__xludf.DUMMYFUNCTION("""COMPUTED_VALUE"""),"niraj.dete@mitaoe.ac.in")</f>
        <v>niraj.dete@mitaoe.ac.in</v>
      </c>
      <c r="B417" s="6" t="str">
        <f>IFERROR(__xludf.DUMMYFUNCTION("""COMPUTED_VALUE"""),"NO")</f>
        <v>NO</v>
      </c>
      <c r="C417" s="6" t="str">
        <f>IFERROR(__xludf.DUMMYFUNCTION("""COMPUTED_VALUE"""),"NO")</f>
        <v>NO</v>
      </c>
      <c r="D417" s="6"/>
      <c r="E417" s="6"/>
    </row>
    <row r="418">
      <c r="A418" s="6" t="str">
        <f>IFERROR(__xludf.DUMMYFUNCTION("""COMPUTED_VALUE"""),"swaraj.kurapati@mitaoe.ac.in")</f>
        <v>swaraj.kurapati@mitaoe.ac.in</v>
      </c>
      <c r="B418" s="6" t="str">
        <f>IFERROR(__xludf.DUMMYFUNCTION("""COMPUTED_VALUE"""),"YES")</f>
        <v>YES</v>
      </c>
      <c r="C418" s="6" t="str">
        <f>IFERROR(__xludf.DUMMYFUNCTION("""COMPUTED_VALUE"""),"YES")</f>
        <v>YES</v>
      </c>
      <c r="D418" s="49" t="str">
        <f>IFERROR(__xludf.DUMMYFUNCTION("""COMPUTED_VALUE"""),"https://drive.google.com/open?id=1kkE-zoilZJwETG_1Dr1jOIWUdpxp6YZB")</f>
        <v>https://drive.google.com/open?id=1kkE-zoilZJwETG_1Dr1jOIWUdpxp6YZB</v>
      </c>
      <c r="E418" s="49" t="str">
        <f>IFERROR(__xludf.DUMMYFUNCTION("""COMPUTED_VALUE"""),"https://drive.google.com/open?id=1NVN5gUiYlkjRdcfJS6ldKw1qIL_zWpBZ")</f>
        <v>https://drive.google.com/open?id=1NVN5gUiYlkjRdcfJS6ldKw1qIL_zWpBZ</v>
      </c>
    </row>
    <row r="419">
      <c r="A419" s="6" t="str">
        <f>IFERROR(__xludf.DUMMYFUNCTION("""COMPUTED_VALUE"""),"tdkathane@mitaoe.ac.in")</f>
        <v>tdkathane@mitaoe.ac.in</v>
      </c>
      <c r="B419" s="6" t="str">
        <f>IFERROR(__xludf.DUMMYFUNCTION("""COMPUTED_VALUE"""),"NO")</f>
        <v>NO</v>
      </c>
      <c r="C419" s="6" t="str">
        <f>IFERROR(__xludf.DUMMYFUNCTION("""COMPUTED_VALUE"""),"NO")</f>
        <v>NO</v>
      </c>
      <c r="D419" s="6"/>
      <c r="E419" s="6"/>
    </row>
    <row r="420">
      <c r="A420" s="6" t="str">
        <f>IFERROR(__xludf.DUMMYFUNCTION("""COMPUTED_VALUE"""),"omnehere@mitaoe.ac.in")</f>
        <v>omnehere@mitaoe.ac.in</v>
      </c>
      <c r="B420" s="6" t="str">
        <f>IFERROR(__xludf.DUMMYFUNCTION("""COMPUTED_VALUE"""),"YES")</f>
        <v>YES</v>
      </c>
      <c r="C420" s="6" t="str">
        <f>IFERROR(__xludf.DUMMYFUNCTION("""COMPUTED_VALUE"""),"YES")</f>
        <v>YES</v>
      </c>
      <c r="D420" s="49" t="str">
        <f>IFERROR(__xludf.DUMMYFUNCTION("""COMPUTED_VALUE"""),"https://drive.google.com/open?id=1kINJOANjF9luRQEl-4B3OGT7QgcR3sy0")</f>
        <v>https://drive.google.com/open?id=1kINJOANjF9luRQEl-4B3OGT7QgcR3sy0</v>
      </c>
      <c r="E420" s="49" t="str">
        <f>IFERROR(__xludf.DUMMYFUNCTION("""COMPUTED_VALUE"""),"https://drive.google.com/open?id=1ZuJs_P_Ktob40hlM_NIPtIu1En0fkYMm")</f>
        <v>https://drive.google.com/open?id=1ZuJs_P_Ktob40hlM_NIPtIu1En0fkYMm</v>
      </c>
    </row>
    <row r="421">
      <c r="A421" s="6" t="str">
        <f>IFERROR(__xludf.DUMMYFUNCTION("""COMPUTED_VALUE"""),"akkad@mitaoe.ac.in")</f>
        <v>akkad@mitaoe.ac.in</v>
      </c>
      <c r="B421" s="6" t="str">
        <f>IFERROR(__xludf.DUMMYFUNCTION("""COMPUTED_VALUE"""),"YES")</f>
        <v>YES</v>
      </c>
      <c r="C421" s="6" t="str">
        <f>IFERROR(__xludf.DUMMYFUNCTION("""COMPUTED_VALUE"""),"YES")</f>
        <v>YES</v>
      </c>
      <c r="D421" s="49" t="str">
        <f>IFERROR(__xludf.DUMMYFUNCTION("""COMPUTED_VALUE"""),"https://drive.google.com/open?id=1lL1r7tyCc62shMyJZkTjv60ZE_Fi2XCZ")</f>
        <v>https://drive.google.com/open?id=1lL1r7tyCc62shMyJZkTjv60ZE_Fi2XCZ</v>
      </c>
      <c r="E421" s="49" t="str">
        <f>IFERROR(__xludf.DUMMYFUNCTION("""COMPUTED_VALUE"""),"https://drive.google.com/open?id=1UaL2wXN6nK_prK7M2NZbQP6cxTDtZFCg")</f>
        <v>https://drive.google.com/open?id=1UaL2wXN6nK_prK7M2NZbQP6cxTDtZFCg</v>
      </c>
    </row>
    <row r="422">
      <c r="A422" s="6" t="str">
        <f>IFERROR(__xludf.DUMMYFUNCTION("""COMPUTED_VALUE"""),"ajpawar@mitaoe.ac.in")</f>
        <v>ajpawar@mitaoe.ac.in</v>
      </c>
      <c r="B422" s="6" t="str">
        <f>IFERROR(__xludf.DUMMYFUNCTION("""COMPUTED_VALUE"""),"YES")</f>
        <v>YES</v>
      </c>
      <c r="C422" s="6" t="str">
        <f>IFERROR(__xludf.DUMMYFUNCTION("""COMPUTED_VALUE"""),"YES")</f>
        <v>YES</v>
      </c>
      <c r="D422" s="49" t="str">
        <f>IFERROR(__xludf.DUMMYFUNCTION("""COMPUTED_VALUE"""),"https://drive.google.com/open?id=1voxpNRMleD3RUW2iDxXnThpnRFzhXkYD")</f>
        <v>https://drive.google.com/open?id=1voxpNRMleD3RUW2iDxXnThpnRFzhXkYD</v>
      </c>
      <c r="E422" s="49" t="str">
        <f>IFERROR(__xludf.DUMMYFUNCTION("""COMPUTED_VALUE"""),"https://drive.google.com/open?id=105wE3MudpGw-zEIhSbkFecsYE9TK3MT7")</f>
        <v>https://drive.google.com/open?id=105wE3MudpGw-zEIhSbkFecsYE9TK3MT7</v>
      </c>
    </row>
    <row r="423">
      <c r="A423" s="6" t="str">
        <f>IFERROR(__xludf.DUMMYFUNCTION("""COMPUTED_VALUE"""),"ndshegokar@mitaoe.ac.in")</f>
        <v>ndshegokar@mitaoe.ac.in</v>
      </c>
      <c r="B423" s="6" t="str">
        <f>IFERROR(__xludf.DUMMYFUNCTION("""COMPUTED_VALUE"""),"YES")</f>
        <v>YES</v>
      </c>
      <c r="C423" s="6" t="str">
        <f>IFERROR(__xludf.DUMMYFUNCTION("""COMPUTED_VALUE"""),"YES")</f>
        <v>YES</v>
      </c>
      <c r="D423" s="49" t="str">
        <f>IFERROR(__xludf.DUMMYFUNCTION("""COMPUTED_VALUE"""),"https://drive.google.com/open?id=1zzmtSeVaMSrFCeiExpCpKBgpOJN8bzsT")</f>
        <v>https://drive.google.com/open?id=1zzmtSeVaMSrFCeiExpCpKBgpOJN8bzsT</v>
      </c>
      <c r="E423" s="49" t="str">
        <f>IFERROR(__xludf.DUMMYFUNCTION("""COMPUTED_VALUE"""),"https://drive.google.com/open?id=1veZdcVYQDnceZhf3id1EgnsFYm4ylduD")</f>
        <v>https://drive.google.com/open?id=1veZdcVYQDnceZhf3id1EgnsFYm4ylduD</v>
      </c>
    </row>
    <row r="424">
      <c r="A424" s="6" t="str">
        <f>IFERROR(__xludf.DUMMYFUNCTION("""COMPUTED_VALUE"""),"aabodke@mitaoe.ac.in")</f>
        <v>aabodke@mitaoe.ac.in</v>
      </c>
      <c r="B424" s="6" t="str">
        <f>IFERROR(__xludf.DUMMYFUNCTION("""COMPUTED_VALUE"""),"YES")</f>
        <v>YES</v>
      </c>
      <c r="C424" s="6" t="str">
        <f>IFERROR(__xludf.DUMMYFUNCTION("""COMPUTED_VALUE"""),"YES")</f>
        <v>YES</v>
      </c>
      <c r="D424" s="49" t="str">
        <f>IFERROR(__xludf.DUMMYFUNCTION("""COMPUTED_VALUE"""),"https://drive.google.com/open?id=1ZFIDgn8UuS7mqshXBpgjEXoXIiZbtpp_")</f>
        <v>https://drive.google.com/open?id=1ZFIDgn8UuS7mqshXBpgjEXoXIiZbtpp_</v>
      </c>
      <c r="E424" s="49" t="str">
        <f>IFERROR(__xludf.DUMMYFUNCTION("""COMPUTED_VALUE"""),"https://drive.google.com/open?id=1oiXGSwM4R9PdJrD2hY7-Igom7Y-HUo-h")</f>
        <v>https://drive.google.com/open?id=1oiXGSwM4R9PdJrD2hY7-Igom7Y-HUo-h</v>
      </c>
    </row>
    <row r="425">
      <c r="A425" s="6" t="str">
        <f>IFERROR(__xludf.DUMMYFUNCTION("""COMPUTED_VALUE"""),"sskharate@mitaoe.ac.in")</f>
        <v>sskharate@mitaoe.ac.in</v>
      </c>
      <c r="B425" s="6" t="str">
        <f>IFERROR(__xludf.DUMMYFUNCTION("""COMPUTED_VALUE"""),"YES")</f>
        <v>YES</v>
      </c>
      <c r="C425" s="6" t="str">
        <f>IFERROR(__xludf.DUMMYFUNCTION("""COMPUTED_VALUE"""),"YES")</f>
        <v>YES</v>
      </c>
      <c r="D425" s="49" t="str">
        <f>IFERROR(__xludf.DUMMYFUNCTION("""COMPUTED_VALUE"""),"https://drive.google.com/open?id=17Swufh97E988scwbpS2RlQvFhzhdOIAZ")</f>
        <v>https://drive.google.com/open?id=17Swufh97E988scwbpS2RlQvFhzhdOIAZ</v>
      </c>
      <c r="E425" s="49" t="str">
        <f>IFERROR(__xludf.DUMMYFUNCTION("""COMPUTED_VALUE"""),"https://drive.google.com/open?id=1zzKjTZDFli5GeAZ5K3C3hNmz73mo8KLG")</f>
        <v>https://drive.google.com/open?id=1zzKjTZDFli5GeAZ5K3C3hNmz73mo8KLG</v>
      </c>
    </row>
    <row r="426">
      <c r="A426" s="6" t="str">
        <f>IFERROR(__xludf.DUMMYFUNCTION("""COMPUTED_VALUE"""),"mkumari@mitaoe.ac.in")</f>
        <v>mkumari@mitaoe.ac.in</v>
      </c>
      <c r="B426" s="6" t="str">
        <f>IFERROR(__xludf.DUMMYFUNCTION("""COMPUTED_VALUE"""),"NO")</f>
        <v>NO</v>
      </c>
      <c r="C426" s="6" t="str">
        <f>IFERROR(__xludf.DUMMYFUNCTION("""COMPUTED_VALUE"""),"NO")</f>
        <v>NO</v>
      </c>
      <c r="D426" s="6"/>
      <c r="E426" s="6"/>
    </row>
    <row r="427">
      <c r="A427" s="6" t="str">
        <f>IFERROR(__xludf.DUMMYFUNCTION("""COMPUTED_VALUE"""),"anandan@mitaoe.ac.in")</f>
        <v>anandan@mitaoe.ac.in</v>
      </c>
      <c r="B427" s="6" t="str">
        <f>IFERROR(__xludf.DUMMYFUNCTION("""COMPUTED_VALUE"""),"NO")</f>
        <v>NO</v>
      </c>
      <c r="C427" s="6" t="str">
        <f>IFERROR(__xludf.DUMMYFUNCTION("""COMPUTED_VALUE"""),"YES")</f>
        <v>YES</v>
      </c>
      <c r="D427" s="6"/>
      <c r="E427" s="49" t="str">
        <f>IFERROR(__xludf.DUMMYFUNCTION("""COMPUTED_VALUE"""),"https://drive.google.com/open?id=1QjDc50DhJiKkb82aE9croZYruCf_Bapo")</f>
        <v>https://drive.google.com/open?id=1QjDc50DhJiKkb82aE9croZYruCf_Bapo</v>
      </c>
    </row>
    <row r="428">
      <c r="A428" s="6" t="str">
        <f>IFERROR(__xludf.DUMMYFUNCTION("""COMPUTED_VALUE"""),"kumarabhishek@mitaoe.ac.in")</f>
        <v>kumarabhishek@mitaoe.ac.in</v>
      </c>
      <c r="B428" s="6" t="str">
        <f>IFERROR(__xludf.DUMMYFUNCTION("""COMPUTED_VALUE"""),"NO")</f>
        <v>NO</v>
      </c>
      <c r="C428" s="6" t="str">
        <f>IFERROR(__xludf.DUMMYFUNCTION("""COMPUTED_VALUE"""),"YES")</f>
        <v>YES</v>
      </c>
      <c r="D428" s="6"/>
      <c r="E428" s="49" t="str">
        <f>IFERROR(__xludf.DUMMYFUNCTION("""COMPUTED_VALUE"""),"https://drive.google.com/open?id=1xFUHioS_SEadHKB14irz92HZVINKq5ge")</f>
        <v>https://drive.google.com/open?id=1xFUHioS_SEadHKB14irz92HZVINKq5ge</v>
      </c>
    </row>
    <row r="429">
      <c r="A429" s="6" t="str">
        <f>IFERROR(__xludf.DUMMYFUNCTION("""COMPUTED_VALUE"""),"yprane@mitaoe.ac.in")</f>
        <v>yprane@mitaoe.ac.in</v>
      </c>
      <c r="B429" s="6" t="str">
        <f>IFERROR(__xludf.DUMMYFUNCTION("""COMPUTED_VALUE"""),"YES")</f>
        <v>YES</v>
      </c>
      <c r="C429" s="6" t="str">
        <f>IFERROR(__xludf.DUMMYFUNCTION("""COMPUTED_VALUE"""),"YES")</f>
        <v>YES</v>
      </c>
      <c r="D429" s="49" t="str">
        <f>IFERROR(__xludf.DUMMYFUNCTION("""COMPUTED_VALUE"""),"https://drive.google.com/open?id=1VodI-Bs9izGyTbi_VzmHl7mncnTuCRY9")</f>
        <v>https://drive.google.com/open?id=1VodI-Bs9izGyTbi_VzmHl7mncnTuCRY9</v>
      </c>
      <c r="E429" s="49" t="str">
        <f>IFERROR(__xludf.DUMMYFUNCTION("""COMPUTED_VALUE"""),"https://drive.google.com/open?id=1cx85Pt-Qs1SQfZbEdOOu5pZxKm7H5-jd")</f>
        <v>https://drive.google.com/open?id=1cx85Pt-Qs1SQfZbEdOOu5pZxKm7H5-jd</v>
      </c>
    </row>
    <row r="430">
      <c r="A430" s="6" t="str">
        <f>IFERROR(__xludf.DUMMYFUNCTION("""COMPUTED_VALUE"""),"rmgandre@mitaoe.ac.in")</f>
        <v>rmgandre@mitaoe.ac.in</v>
      </c>
      <c r="B430" s="6" t="str">
        <f>IFERROR(__xludf.DUMMYFUNCTION("""COMPUTED_VALUE"""),"YES")</f>
        <v>YES</v>
      </c>
      <c r="C430" s="6" t="str">
        <f>IFERROR(__xludf.DUMMYFUNCTION("""COMPUTED_VALUE"""),"YES")</f>
        <v>YES</v>
      </c>
      <c r="D430" s="49" t="str">
        <f>IFERROR(__xludf.DUMMYFUNCTION("""COMPUTED_VALUE"""),"https://drive.google.com/open?id=1sv3ngkUi0D_ZGrQ1Yh2wODSRUi5K9it0")</f>
        <v>https://drive.google.com/open?id=1sv3ngkUi0D_ZGrQ1Yh2wODSRUi5K9it0</v>
      </c>
      <c r="E430" s="49" t="str">
        <f>IFERROR(__xludf.DUMMYFUNCTION("""COMPUTED_VALUE"""),"https://drive.google.com/open?id=1IqQNYoHAhpN5oHzy4pdI8Nlx41OwiCmO")</f>
        <v>https://drive.google.com/open?id=1IqQNYoHAhpN5oHzy4pdI8Nlx41OwiCmO</v>
      </c>
    </row>
    <row r="431">
      <c r="A431" s="6" t="str">
        <f>IFERROR(__xludf.DUMMYFUNCTION("""COMPUTED_VALUE"""),"ppgaikwad@mitaoe.ac.in")</f>
        <v>ppgaikwad@mitaoe.ac.in</v>
      </c>
      <c r="B431" s="6" t="str">
        <f>IFERROR(__xludf.DUMMYFUNCTION("""COMPUTED_VALUE"""),"NO")</f>
        <v>NO</v>
      </c>
      <c r="C431" s="6" t="str">
        <f>IFERROR(__xludf.DUMMYFUNCTION("""COMPUTED_VALUE"""),"NO")</f>
        <v>NO</v>
      </c>
      <c r="D431" s="6"/>
      <c r="E431" s="6"/>
    </row>
    <row r="432">
      <c r="A432" s="6" t="str">
        <f>IFERROR(__xludf.DUMMYFUNCTION("""COMPUTED_VALUE"""),"hrmachhi@mitaoe.ac.in")</f>
        <v>hrmachhi@mitaoe.ac.in</v>
      </c>
      <c r="B432" s="6" t="str">
        <f>IFERROR(__xludf.DUMMYFUNCTION("""COMPUTED_VALUE"""),"NO")</f>
        <v>NO</v>
      </c>
      <c r="C432" s="6" t="str">
        <f>IFERROR(__xludf.DUMMYFUNCTION("""COMPUTED_VALUE"""),"YES")</f>
        <v>YES</v>
      </c>
      <c r="D432" s="6"/>
      <c r="E432" s="49" t="str">
        <f>IFERROR(__xludf.DUMMYFUNCTION("""COMPUTED_VALUE"""),"https://drive.google.com/open?id=1eC0yXwgGkPn6lloPJaHpeeKZY3qbSRT7")</f>
        <v>https://drive.google.com/open?id=1eC0yXwgGkPn6lloPJaHpeeKZY3qbSRT7</v>
      </c>
    </row>
    <row r="433">
      <c r="A433" s="6" t="str">
        <f>IFERROR(__xludf.DUMMYFUNCTION("""COMPUTED_VALUE"""),"olchendage@mitaoe.ac.in")</f>
        <v>olchendage@mitaoe.ac.in</v>
      </c>
      <c r="B433" s="6" t="str">
        <f>IFERROR(__xludf.DUMMYFUNCTION("""COMPUTED_VALUE"""),"YES")</f>
        <v>YES</v>
      </c>
      <c r="C433" s="6" t="str">
        <f>IFERROR(__xludf.DUMMYFUNCTION("""COMPUTED_VALUE"""),"YES")</f>
        <v>YES</v>
      </c>
      <c r="D433" s="49" t="str">
        <f>IFERROR(__xludf.DUMMYFUNCTION("""COMPUTED_VALUE"""),"https://drive.google.com/open?id=1yejR-Aw6gJI7efVaGvI0_0BAaUfHcsrG")</f>
        <v>https://drive.google.com/open?id=1yejR-Aw6gJI7efVaGvI0_0BAaUfHcsrG</v>
      </c>
      <c r="E433" s="49" t="str">
        <f>IFERROR(__xludf.DUMMYFUNCTION("""COMPUTED_VALUE"""),"https://drive.google.com/open?id=16FnGh9f-9dtfirOHBCXWJSycLTYvLv3g")</f>
        <v>https://drive.google.com/open?id=16FnGh9f-9dtfirOHBCXWJSycLTYvLv3g</v>
      </c>
    </row>
    <row r="434">
      <c r="A434" s="6" t="str">
        <f>IFERROR(__xludf.DUMMYFUNCTION("""COMPUTED_VALUE"""),"rvbhosale@mitaoe.ac.in")</f>
        <v>rvbhosale@mitaoe.ac.in</v>
      </c>
      <c r="B434" s="6" t="str">
        <f>IFERROR(__xludf.DUMMYFUNCTION("""COMPUTED_VALUE"""),"YES")</f>
        <v>YES</v>
      </c>
      <c r="C434" s="6" t="str">
        <f>IFERROR(__xludf.DUMMYFUNCTION("""COMPUTED_VALUE"""),"YES")</f>
        <v>YES</v>
      </c>
      <c r="D434" s="49" t="str">
        <f>IFERROR(__xludf.DUMMYFUNCTION("""COMPUTED_VALUE"""),"https://drive.google.com/open?id=12cxcXdbHUySiuotgmpeqUQhI09Rp_XVX")</f>
        <v>https://drive.google.com/open?id=12cxcXdbHUySiuotgmpeqUQhI09Rp_XVX</v>
      </c>
      <c r="E434" s="49" t="str">
        <f>IFERROR(__xludf.DUMMYFUNCTION("""COMPUTED_VALUE"""),"https://drive.google.com/open?id=1iMtFzwctG-308jRScrsXlXDwiZElP57i")</f>
        <v>https://drive.google.com/open?id=1iMtFzwctG-308jRScrsXlXDwiZElP57i</v>
      </c>
    </row>
    <row r="435">
      <c r="A435" s="6" t="str">
        <f>IFERROR(__xludf.DUMMYFUNCTION("""COMPUTED_VALUE"""),"mydhande@mitaoe.ac.in")</f>
        <v>mydhande@mitaoe.ac.in</v>
      </c>
      <c r="B435" s="6" t="str">
        <f>IFERROR(__xludf.DUMMYFUNCTION("""COMPUTED_VALUE"""),"YES")</f>
        <v>YES</v>
      </c>
      <c r="C435" s="6" t="str">
        <f>IFERROR(__xludf.DUMMYFUNCTION("""COMPUTED_VALUE"""),"YES")</f>
        <v>YES</v>
      </c>
      <c r="D435" s="49" t="str">
        <f>IFERROR(__xludf.DUMMYFUNCTION("""COMPUTED_VALUE"""),"https://drive.google.com/open?id=1R0GFE0KoYX2Gm0CemzPlNrbUqr4hQVjk")</f>
        <v>https://drive.google.com/open?id=1R0GFE0KoYX2Gm0CemzPlNrbUqr4hQVjk</v>
      </c>
      <c r="E435" s="49" t="str">
        <f>IFERROR(__xludf.DUMMYFUNCTION("""COMPUTED_VALUE"""),"https://drive.google.com/open?id=1w8aiBdnOKOgMTsrbWiP70VjyP6d_wXud")</f>
        <v>https://drive.google.com/open?id=1w8aiBdnOKOgMTsrbWiP70VjyP6d_wXud</v>
      </c>
    </row>
    <row r="436">
      <c r="A436" s="6" t="str">
        <f>IFERROR(__xludf.DUMMYFUNCTION("""COMPUTED_VALUE"""),"pathak.aditya@mitaoe.ac.in")</f>
        <v>pathak.aditya@mitaoe.ac.in</v>
      </c>
      <c r="B436" s="6" t="str">
        <f>IFERROR(__xludf.DUMMYFUNCTION("""COMPUTED_VALUE"""),"YES")</f>
        <v>YES</v>
      </c>
      <c r="C436" s="6" t="str">
        <f>IFERROR(__xludf.DUMMYFUNCTION("""COMPUTED_VALUE"""),"YES")</f>
        <v>YES</v>
      </c>
      <c r="D436" s="49" t="str">
        <f>IFERROR(__xludf.DUMMYFUNCTION("""COMPUTED_VALUE"""),"https://drive.google.com/open?id=1AtI4yj2X2MKdEChSjJDGyP0pdCSFyHXp")</f>
        <v>https://drive.google.com/open?id=1AtI4yj2X2MKdEChSjJDGyP0pdCSFyHXp</v>
      </c>
      <c r="E436" s="49" t="str">
        <f>IFERROR(__xludf.DUMMYFUNCTION("""COMPUTED_VALUE"""),"https://drive.google.com/open?id=1Lhjknv3FUVGnJorLMmInbZSi8IfY-KGv")</f>
        <v>https://drive.google.com/open?id=1Lhjknv3FUVGnJorLMmInbZSi8IfY-KGv</v>
      </c>
    </row>
    <row r="437">
      <c r="A437" s="6" t="str">
        <f>IFERROR(__xludf.DUMMYFUNCTION("""COMPUTED_VALUE"""),"osbharare@mitaoe.ac.in")</f>
        <v>osbharare@mitaoe.ac.in</v>
      </c>
      <c r="B437" s="6" t="str">
        <f>IFERROR(__xludf.DUMMYFUNCTION("""COMPUTED_VALUE"""),"NO")</f>
        <v>NO</v>
      </c>
      <c r="C437" s="6" t="str">
        <f>IFERROR(__xludf.DUMMYFUNCTION("""COMPUTED_VALUE"""),"YES")</f>
        <v>YES</v>
      </c>
      <c r="D437" s="49" t="str">
        <f>IFERROR(__xludf.DUMMYFUNCTION("""COMPUTED_VALUE"""),"https://drive.google.com/open?id=1JlFQ-IMwfATXv6CYoGyKW-FOZV2wQlME")</f>
        <v>https://drive.google.com/open?id=1JlFQ-IMwfATXv6CYoGyKW-FOZV2wQlME</v>
      </c>
      <c r="E437" s="49" t="str">
        <f>IFERROR(__xludf.DUMMYFUNCTION("""COMPUTED_VALUE"""),"https://drive.google.com/open?id=15v1yKu3Lie57q0mrdcSO73iOro0oMi4Z")</f>
        <v>https://drive.google.com/open?id=15v1yKu3Lie57q0mrdcSO73iOro0oMi4Z</v>
      </c>
    </row>
    <row r="438">
      <c r="A438" s="6" t="str">
        <f>IFERROR(__xludf.DUMMYFUNCTION("""COMPUTED_VALUE"""),"mihir.mulay@mitaoe.ac.in")</f>
        <v>mihir.mulay@mitaoe.ac.in</v>
      </c>
      <c r="B438" s="6" t="str">
        <f>IFERROR(__xludf.DUMMYFUNCTION("""COMPUTED_VALUE"""),"NO")</f>
        <v>NO</v>
      </c>
      <c r="C438" s="6" t="str">
        <f>IFERROR(__xludf.DUMMYFUNCTION("""COMPUTED_VALUE"""),"NO")</f>
        <v>NO</v>
      </c>
      <c r="D438" s="6"/>
      <c r="E438" s="6"/>
    </row>
    <row r="439">
      <c r="A439" s="6" t="str">
        <f>IFERROR(__xludf.DUMMYFUNCTION("""COMPUTED_VALUE"""),"sshalikhede@mitaoe.ac.in")</f>
        <v>sshalikhede@mitaoe.ac.in</v>
      </c>
      <c r="B439" s="6" t="str">
        <f>IFERROR(__xludf.DUMMYFUNCTION("""COMPUTED_VALUE"""),"YES")</f>
        <v>YES</v>
      </c>
      <c r="C439" s="6" t="str">
        <f>IFERROR(__xludf.DUMMYFUNCTION("""COMPUTED_VALUE"""),"YES")</f>
        <v>YES</v>
      </c>
      <c r="D439" s="49" t="str">
        <f>IFERROR(__xludf.DUMMYFUNCTION("""COMPUTED_VALUE"""),"https://drive.google.com/open?id=1I48Jjeqx_y5KKAE6TuEcJup8sub_Ymbh")</f>
        <v>https://drive.google.com/open?id=1I48Jjeqx_y5KKAE6TuEcJup8sub_Ymbh</v>
      </c>
      <c r="E439" s="49" t="str">
        <f>IFERROR(__xludf.DUMMYFUNCTION("""COMPUTED_VALUE"""),"https://drive.google.com/open?id=1l19nvVnNDyLwc51RG_pKOkjr80l3aWrj")</f>
        <v>https://drive.google.com/open?id=1l19nvVnNDyLwc51RG_pKOkjr80l3aWrj</v>
      </c>
    </row>
    <row r="440">
      <c r="A440" s="6" t="str">
        <f>IFERROR(__xludf.DUMMYFUNCTION("""COMPUTED_VALUE"""),"ashish.birajdar@mitaoe.ac.in")</f>
        <v>ashish.birajdar@mitaoe.ac.in</v>
      </c>
      <c r="B440" s="6" t="str">
        <f>IFERROR(__xludf.DUMMYFUNCTION("""COMPUTED_VALUE"""),"YES")</f>
        <v>YES</v>
      </c>
      <c r="C440" s="6" t="str">
        <f>IFERROR(__xludf.DUMMYFUNCTION("""COMPUTED_VALUE"""),"YES")</f>
        <v>YES</v>
      </c>
      <c r="D440" s="49" t="str">
        <f>IFERROR(__xludf.DUMMYFUNCTION("""COMPUTED_VALUE"""),"https://drive.google.com/open?id=1gpRsbNOP7PVeQAqRM7hbEkXw6hMn8_EW")</f>
        <v>https://drive.google.com/open?id=1gpRsbNOP7PVeQAqRM7hbEkXw6hMn8_EW</v>
      </c>
      <c r="E440" s="49" t="str">
        <f>IFERROR(__xludf.DUMMYFUNCTION("""COMPUTED_VALUE"""),"https://drive.google.com/open?id=13QfZunXLaU4i03MQBkcmvKT9AlY2djUt")</f>
        <v>https://drive.google.com/open?id=13QfZunXLaU4i03MQBkcmvKT9AlY2djUt</v>
      </c>
    </row>
    <row r="441">
      <c r="A441" s="6" t="str">
        <f>IFERROR(__xludf.DUMMYFUNCTION("""COMPUTED_VALUE"""),"shubham.malkunjikar@mitaoe.ac.in")</f>
        <v>shubham.malkunjikar@mitaoe.ac.in</v>
      </c>
      <c r="B441" s="6" t="str">
        <f>IFERROR(__xludf.DUMMYFUNCTION("""COMPUTED_VALUE"""),"YES")</f>
        <v>YES</v>
      </c>
      <c r="C441" s="6" t="str">
        <f>IFERROR(__xludf.DUMMYFUNCTION("""COMPUTED_VALUE"""),"YES")</f>
        <v>YES</v>
      </c>
      <c r="D441" s="49" t="str">
        <f>IFERROR(__xludf.DUMMYFUNCTION("""COMPUTED_VALUE"""),"https://drive.google.com/open?id=1O93ph6qQMaDHtv-WGx6RpQweJNfsdu_E")</f>
        <v>https://drive.google.com/open?id=1O93ph6qQMaDHtv-WGx6RpQweJNfsdu_E</v>
      </c>
      <c r="E441" s="49" t="str">
        <f>IFERROR(__xludf.DUMMYFUNCTION("""COMPUTED_VALUE"""),"https://drive.google.com/open?id=1C6PwilNt4cyJAKbatyZjzjZIGnPchux1")</f>
        <v>https://drive.google.com/open?id=1C6PwilNt4cyJAKbatyZjzjZIGnPchux1</v>
      </c>
    </row>
    <row r="442">
      <c r="A442" s="6" t="str">
        <f>IFERROR(__xludf.DUMMYFUNCTION("""COMPUTED_VALUE"""),"rrkotkar@mitaoe.ac.in")</f>
        <v>rrkotkar@mitaoe.ac.in</v>
      </c>
      <c r="B442" s="6" t="str">
        <f>IFERROR(__xludf.DUMMYFUNCTION("""COMPUTED_VALUE"""),"YES")</f>
        <v>YES</v>
      </c>
      <c r="C442" s="6" t="str">
        <f>IFERROR(__xludf.DUMMYFUNCTION("""COMPUTED_VALUE"""),"YES")</f>
        <v>YES</v>
      </c>
      <c r="D442" s="49" t="str">
        <f>IFERROR(__xludf.DUMMYFUNCTION("""COMPUTED_VALUE"""),"https://drive.google.com/open?id=15gwYWvLv0NlRv69baP1SGJx1Ff6wiFid")</f>
        <v>https://drive.google.com/open?id=15gwYWvLv0NlRv69baP1SGJx1Ff6wiFid</v>
      </c>
      <c r="E442" s="49" t="str">
        <f>IFERROR(__xludf.DUMMYFUNCTION("""COMPUTED_VALUE"""),"https://drive.google.com/open?id=17WL6rPBAEXocX8eC-z_n0CtIzNhaEIuQ")</f>
        <v>https://drive.google.com/open?id=17WL6rPBAEXocX8eC-z_n0CtIzNhaEIuQ</v>
      </c>
    </row>
    <row r="443">
      <c r="A443" s="6" t="str">
        <f>IFERROR(__xludf.DUMMYFUNCTION("""COMPUTED_VALUE"""),"ashutosh.shinde@mitaoe.ac.in")</f>
        <v>ashutosh.shinde@mitaoe.ac.in</v>
      </c>
      <c r="B443" s="6" t="str">
        <f>IFERROR(__xludf.DUMMYFUNCTION("""COMPUTED_VALUE"""),"YES")</f>
        <v>YES</v>
      </c>
      <c r="C443" s="6" t="str">
        <f>IFERROR(__xludf.DUMMYFUNCTION("""COMPUTED_VALUE"""),"YES")</f>
        <v>YES</v>
      </c>
      <c r="D443" s="49" t="str">
        <f>IFERROR(__xludf.DUMMYFUNCTION("""COMPUTED_VALUE"""),"https://drive.google.com/open?id=1XzjhNIKco0quKmyJHEUlb7Ey1VoWXMce")</f>
        <v>https://drive.google.com/open?id=1XzjhNIKco0quKmyJHEUlb7Ey1VoWXMce</v>
      </c>
      <c r="E443" s="49" t="str">
        <f>IFERROR(__xludf.DUMMYFUNCTION("""COMPUTED_VALUE"""),"https://drive.google.com/open?id=1xEZSp2gaMbz5Ddw8cG7VuFqwoHnUILrF")</f>
        <v>https://drive.google.com/open?id=1xEZSp2gaMbz5Ddw8cG7VuFqwoHnUILrF</v>
      </c>
    </row>
    <row r="444">
      <c r="A444" s="6" t="str">
        <f>IFERROR(__xludf.DUMMYFUNCTION("""COMPUTED_VALUE"""),"svdethe@mitaoe.ac.in")</f>
        <v>svdethe@mitaoe.ac.in</v>
      </c>
      <c r="B444" s="6" t="str">
        <f>IFERROR(__xludf.DUMMYFUNCTION("""COMPUTED_VALUE"""),"YES")</f>
        <v>YES</v>
      </c>
      <c r="C444" s="6" t="str">
        <f>IFERROR(__xludf.DUMMYFUNCTION("""COMPUTED_VALUE"""),"YES")</f>
        <v>YES</v>
      </c>
      <c r="D444" s="49" t="str">
        <f>IFERROR(__xludf.DUMMYFUNCTION("""COMPUTED_VALUE"""),"https://drive.google.com/open?id=1MUSyXrXlvxEiRiqi4G_KajBQTgGja-7A")</f>
        <v>https://drive.google.com/open?id=1MUSyXrXlvxEiRiqi4G_KajBQTgGja-7A</v>
      </c>
      <c r="E444" s="49" t="str">
        <f>IFERROR(__xludf.DUMMYFUNCTION("""COMPUTED_VALUE"""),"https://drive.google.com/open?id=1viFOUiOvcPq6xPcoPFSWgflftyalGk77")</f>
        <v>https://drive.google.com/open?id=1viFOUiOvcPq6xPcoPFSWgflftyalGk77</v>
      </c>
    </row>
    <row r="445">
      <c r="A445" s="6" t="str">
        <f>IFERROR(__xludf.DUMMYFUNCTION("""COMPUTED_VALUE"""),"spdongare@mitaoe.ac.in")</f>
        <v>spdongare@mitaoe.ac.in</v>
      </c>
      <c r="B445" s="6" t="str">
        <f>IFERROR(__xludf.DUMMYFUNCTION("""COMPUTED_VALUE"""),"NO")</f>
        <v>NO</v>
      </c>
      <c r="C445" s="6" t="str">
        <f>IFERROR(__xludf.DUMMYFUNCTION("""COMPUTED_VALUE"""),"YES")</f>
        <v>YES</v>
      </c>
      <c r="D445" s="6"/>
      <c r="E445" s="49" t="str">
        <f>IFERROR(__xludf.DUMMYFUNCTION("""COMPUTED_VALUE"""),"https://drive.google.com/open?id=1uO7iEzmY2MsA9ZvsUPSTS4rKcTrbCQ2R")</f>
        <v>https://drive.google.com/open?id=1uO7iEzmY2MsA9ZvsUPSTS4rKcTrbCQ2R</v>
      </c>
    </row>
    <row r="446">
      <c r="A446" s="6" t="str">
        <f>IFERROR(__xludf.DUMMYFUNCTION("""COMPUTED_VALUE"""),"scmonal@mitaoe.ac.in")</f>
        <v>scmonal@mitaoe.ac.in</v>
      </c>
      <c r="B446" s="6" t="str">
        <f>IFERROR(__xludf.DUMMYFUNCTION("""COMPUTED_VALUE"""),"YES")</f>
        <v>YES</v>
      </c>
      <c r="C446" s="6" t="str">
        <f>IFERROR(__xludf.DUMMYFUNCTION("""COMPUTED_VALUE"""),"YES")</f>
        <v>YES</v>
      </c>
      <c r="D446" s="49" t="str">
        <f>IFERROR(__xludf.DUMMYFUNCTION("""COMPUTED_VALUE"""),"https://drive.google.com/open?id=15YRkH3LTYqopKx38vRhbhGlNtbVN1lhT")</f>
        <v>https://drive.google.com/open?id=15YRkH3LTYqopKx38vRhbhGlNtbVN1lhT</v>
      </c>
      <c r="E446" s="49" t="str">
        <f>IFERROR(__xludf.DUMMYFUNCTION("""COMPUTED_VALUE"""),"https://drive.google.com/open?id=1IvsevRIoMR9PfZnSNxEhIHkmXYgSYvng")</f>
        <v>https://drive.google.com/open?id=1IvsevRIoMR9PfZnSNxEhIHkmXYgSYvng</v>
      </c>
    </row>
    <row r="447">
      <c r="A447" s="6" t="str">
        <f>IFERROR(__xludf.DUMMYFUNCTION("""COMPUTED_VALUE"""),"fjcharde@mitaoe.ac.in")</f>
        <v>fjcharde@mitaoe.ac.in</v>
      </c>
      <c r="B447" s="6" t="str">
        <f>IFERROR(__xludf.DUMMYFUNCTION("""COMPUTED_VALUE"""),"NO")</f>
        <v>NO</v>
      </c>
      <c r="C447" s="6" t="str">
        <f>IFERROR(__xludf.DUMMYFUNCTION("""COMPUTED_VALUE"""),"NO")</f>
        <v>NO</v>
      </c>
      <c r="D447" s="6"/>
      <c r="E447" s="6"/>
    </row>
    <row r="448">
      <c r="A448" s="6" t="str">
        <f>IFERROR(__xludf.DUMMYFUNCTION("""COMPUTED_VALUE"""),"ankita.khose@mitaoe.ac.in")</f>
        <v>ankita.khose@mitaoe.ac.in</v>
      </c>
      <c r="B448" s="6" t="str">
        <f>IFERROR(__xludf.DUMMYFUNCTION("""COMPUTED_VALUE"""),"NO")</f>
        <v>NO</v>
      </c>
      <c r="C448" s="6" t="str">
        <f>IFERROR(__xludf.DUMMYFUNCTION("""COMPUTED_VALUE"""),"YES")</f>
        <v>YES</v>
      </c>
      <c r="D448" s="49" t="str">
        <f>IFERROR(__xludf.DUMMYFUNCTION("""COMPUTED_VALUE"""),"https://drive.google.com/open?id=1dt9mPFcido2Jb6Eibo1ZPfn7GWLwh9ih")</f>
        <v>https://drive.google.com/open?id=1dt9mPFcido2Jb6Eibo1ZPfn7GWLwh9ih</v>
      </c>
      <c r="E448" s="49" t="str">
        <f>IFERROR(__xludf.DUMMYFUNCTION("""COMPUTED_VALUE"""),"https://drive.google.com/open?id=1XCIAc3EjkSovHyMXhLMaHd8LNtgfwTvy")</f>
        <v>https://drive.google.com/open?id=1XCIAc3EjkSovHyMXhLMaHd8LNtgfwTvy</v>
      </c>
    </row>
    <row r="449">
      <c r="A449" s="6" t="str">
        <f>IFERROR(__xludf.DUMMYFUNCTION("""COMPUTED_VALUE"""),"pagaikwad@mitaoe.ac.in")</f>
        <v>pagaikwad@mitaoe.ac.in</v>
      </c>
      <c r="B449" s="6" t="str">
        <f>IFERROR(__xludf.DUMMYFUNCTION("""COMPUTED_VALUE"""),"YES")</f>
        <v>YES</v>
      </c>
      <c r="C449" s="6" t="str">
        <f>IFERROR(__xludf.DUMMYFUNCTION("""COMPUTED_VALUE"""),"YES")</f>
        <v>YES</v>
      </c>
      <c r="D449" s="49" t="str">
        <f>IFERROR(__xludf.DUMMYFUNCTION("""COMPUTED_VALUE"""),"https://drive.google.com/open?id=1ZvgfzZokh7jvwBgAaheT3F5HcQnDyqNd")</f>
        <v>https://drive.google.com/open?id=1ZvgfzZokh7jvwBgAaheT3F5HcQnDyqNd</v>
      </c>
      <c r="E449" s="49" t="str">
        <f>IFERROR(__xludf.DUMMYFUNCTION("""COMPUTED_VALUE"""),"https://drive.google.com/open?id=1-6RPnjnd-03DtxOkfnRNJguRzymNClbP")</f>
        <v>https://drive.google.com/open?id=1-6RPnjnd-03DtxOkfnRNJguRzymNClbP</v>
      </c>
    </row>
    <row r="450">
      <c r="A450" s="6" t="str">
        <f>IFERROR(__xludf.DUMMYFUNCTION("""COMPUTED_VALUE"""),"apghotankar@mitaoe.ac.in")</f>
        <v>apghotankar@mitaoe.ac.in</v>
      </c>
      <c r="B450" s="6" t="str">
        <f>IFERROR(__xludf.DUMMYFUNCTION("""COMPUTED_VALUE"""),"YES")</f>
        <v>YES</v>
      </c>
      <c r="C450" s="6" t="str">
        <f>IFERROR(__xludf.DUMMYFUNCTION("""COMPUTED_VALUE"""),"YES")</f>
        <v>YES</v>
      </c>
      <c r="D450" s="49" t="str">
        <f>IFERROR(__xludf.DUMMYFUNCTION("""COMPUTED_VALUE"""),"https://drive.google.com/open?id=1aewVYY09GeeZYdVrwwwuE8wXjNGj_wFK")</f>
        <v>https://drive.google.com/open?id=1aewVYY09GeeZYdVrwwwuE8wXjNGj_wFK</v>
      </c>
      <c r="E450" s="49" t="str">
        <f>IFERROR(__xludf.DUMMYFUNCTION("""COMPUTED_VALUE"""),"https://drive.google.com/open?id=1X8M7fk7g25MOTyPksUsEOEPFclTzIlyr")</f>
        <v>https://drive.google.com/open?id=1X8M7fk7g25MOTyPksUsEOEPFclTzIlyr</v>
      </c>
    </row>
    <row r="451">
      <c r="A451" s="6" t="str">
        <f>IFERROR(__xludf.DUMMYFUNCTION("""COMPUTED_VALUE"""),"ltchacharkar@mitaoe.ac.in")</f>
        <v>ltchacharkar@mitaoe.ac.in</v>
      </c>
      <c r="B451" s="6" t="str">
        <f>IFERROR(__xludf.DUMMYFUNCTION("""COMPUTED_VALUE"""),"YES")</f>
        <v>YES</v>
      </c>
      <c r="C451" s="6" t="str">
        <f>IFERROR(__xludf.DUMMYFUNCTION("""COMPUTED_VALUE"""),"YES")</f>
        <v>YES</v>
      </c>
      <c r="D451" s="49" t="str">
        <f>IFERROR(__xludf.DUMMYFUNCTION("""COMPUTED_VALUE"""),"https://drive.google.com/open?id=1Kb_ky0LJ5PPDRAwM-jchEI9LU2DF_-6R")</f>
        <v>https://drive.google.com/open?id=1Kb_ky0LJ5PPDRAwM-jchEI9LU2DF_-6R</v>
      </c>
      <c r="E451" s="49" t="str">
        <f>IFERROR(__xludf.DUMMYFUNCTION("""COMPUTED_VALUE"""),"https://drive.google.com/open?id=16V6DX6JcTF2qZ5o48U7vaDXsO6OUQCbx")</f>
        <v>https://drive.google.com/open?id=16V6DX6JcTF2qZ5o48U7vaDXsO6OUQCbx</v>
      </c>
    </row>
    <row r="452">
      <c r="A452" s="6" t="str">
        <f>IFERROR(__xludf.DUMMYFUNCTION("""COMPUTED_VALUE"""),"sjdadas@mitaoe.ac.in")</f>
        <v>sjdadas@mitaoe.ac.in</v>
      </c>
      <c r="B452" s="6" t="str">
        <f>IFERROR(__xludf.DUMMYFUNCTION("""COMPUTED_VALUE"""),"YES")</f>
        <v>YES</v>
      </c>
      <c r="C452" s="6" t="str">
        <f>IFERROR(__xludf.DUMMYFUNCTION("""COMPUTED_VALUE"""),"YES")</f>
        <v>YES</v>
      </c>
      <c r="D452" s="49" t="str">
        <f>IFERROR(__xludf.DUMMYFUNCTION("""COMPUTED_VALUE"""),"https://drive.google.com/open?id=1mmntpr9DkJz8Kl2_pq5I-aurATixhTjn")</f>
        <v>https://drive.google.com/open?id=1mmntpr9DkJz8Kl2_pq5I-aurATixhTjn</v>
      </c>
      <c r="E452" s="49" t="str">
        <f>IFERROR(__xludf.DUMMYFUNCTION("""COMPUTED_VALUE"""),"https://drive.google.com/open?id=142N1OSA4zsKJtWjbOkDXQch5neos4iOp")</f>
        <v>https://drive.google.com/open?id=142N1OSA4zsKJtWjbOkDXQch5neos4iOp</v>
      </c>
    </row>
    <row r="453">
      <c r="A453" s="6" t="str">
        <f>IFERROR(__xludf.DUMMYFUNCTION("""COMPUTED_VALUE"""),"astile@mitaoe.ac.in")</f>
        <v>astile@mitaoe.ac.in</v>
      </c>
      <c r="B453" s="6" t="str">
        <f>IFERROR(__xludf.DUMMYFUNCTION("""COMPUTED_VALUE"""),"YES")</f>
        <v>YES</v>
      </c>
      <c r="C453" s="6" t="str">
        <f>IFERROR(__xludf.DUMMYFUNCTION("""COMPUTED_VALUE"""),"YES")</f>
        <v>YES</v>
      </c>
      <c r="D453" s="49" t="str">
        <f>IFERROR(__xludf.DUMMYFUNCTION("""COMPUTED_VALUE"""),"https://drive.google.com/open?id=1-65qK8g8a7iJc02S4I9q2ciJNONeSlOA")</f>
        <v>https://drive.google.com/open?id=1-65qK8g8a7iJc02S4I9q2ciJNONeSlOA</v>
      </c>
      <c r="E453" s="49" t="str">
        <f>IFERROR(__xludf.DUMMYFUNCTION("""COMPUTED_VALUE"""),"https://drive.google.com/open?id=1IZw79baszbei_ceOrdqh7zt0gW_NbvJh")</f>
        <v>https://drive.google.com/open?id=1IZw79baszbei_ceOrdqh7zt0gW_NbvJh</v>
      </c>
    </row>
    <row r="454">
      <c r="A454" s="6" t="str">
        <f>IFERROR(__xludf.DUMMYFUNCTION("""COMPUTED_VALUE"""),"manal.kamble@mitaoe.ac.in")</f>
        <v>manal.kamble@mitaoe.ac.in</v>
      </c>
      <c r="B454" s="6" t="str">
        <f>IFERROR(__xludf.DUMMYFUNCTION("""COMPUTED_VALUE"""),"YES")</f>
        <v>YES</v>
      </c>
      <c r="C454" s="6" t="str">
        <f>IFERROR(__xludf.DUMMYFUNCTION("""COMPUTED_VALUE"""),"YES")</f>
        <v>YES</v>
      </c>
      <c r="D454" s="49" t="str">
        <f>IFERROR(__xludf.DUMMYFUNCTION("""COMPUTED_VALUE"""),"https://drive.google.com/open?id=1mZ8og5hpryo5OFVgoDtijKyRWMT_SG0V")</f>
        <v>https://drive.google.com/open?id=1mZ8og5hpryo5OFVgoDtijKyRWMT_SG0V</v>
      </c>
      <c r="E454" s="49" t="str">
        <f>IFERROR(__xludf.DUMMYFUNCTION("""COMPUTED_VALUE"""),"https://drive.google.com/open?id=1A9rTN8wBRacWxao01HIzDiOVYh_D3rDI")</f>
        <v>https://drive.google.com/open?id=1A9rTN8wBRacWxao01HIzDiOVYh_D3rDI</v>
      </c>
    </row>
    <row r="455">
      <c r="A455" s="6" t="str">
        <f>IFERROR(__xludf.DUMMYFUNCTION("""COMPUTED_VALUE"""),"vvgengane@mitaoe.ac.in")</f>
        <v>vvgengane@mitaoe.ac.in</v>
      </c>
      <c r="B455" s="6" t="str">
        <f>IFERROR(__xludf.DUMMYFUNCTION("""COMPUTED_VALUE"""),"YES")</f>
        <v>YES</v>
      </c>
      <c r="C455" s="6" t="str">
        <f>IFERROR(__xludf.DUMMYFUNCTION("""COMPUTED_VALUE"""),"YES")</f>
        <v>YES</v>
      </c>
      <c r="D455" s="49" t="str">
        <f>IFERROR(__xludf.DUMMYFUNCTION("""COMPUTED_VALUE"""),"https://drive.google.com/open?id=1WC_5CObZ8nggK89ThV5JJPbY5Wke7wiw")</f>
        <v>https://drive.google.com/open?id=1WC_5CObZ8nggK89ThV5JJPbY5Wke7wiw</v>
      </c>
      <c r="E455" s="49" t="str">
        <f>IFERROR(__xludf.DUMMYFUNCTION("""COMPUTED_VALUE"""),"https://drive.google.com/open?id=14oxxrBQhozrwlLld7MusJe7QXi3pRvjS")</f>
        <v>https://drive.google.com/open?id=14oxxrBQhozrwlLld7MusJe7QXi3pRvjS</v>
      </c>
    </row>
    <row r="456">
      <c r="A456" s="6" t="str">
        <f>IFERROR(__xludf.DUMMYFUNCTION("""COMPUTED_VALUE"""),"prtripathi@mitaoe.ac.in")</f>
        <v>prtripathi@mitaoe.ac.in</v>
      </c>
      <c r="B456" s="6" t="str">
        <f>IFERROR(__xludf.DUMMYFUNCTION("""COMPUTED_VALUE"""),"NO")</f>
        <v>NO</v>
      </c>
      <c r="C456" s="6" t="str">
        <f>IFERROR(__xludf.DUMMYFUNCTION("""COMPUTED_VALUE"""),"YES")</f>
        <v>YES</v>
      </c>
      <c r="D456" s="6"/>
      <c r="E456" s="49" t="str">
        <f>IFERROR(__xludf.DUMMYFUNCTION("""COMPUTED_VALUE"""),"https://drive.google.com/open?id=1mMIqvXLPgN3jOh9H-6msr5pPEBYuLGjc")</f>
        <v>https://drive.google.com/open?id=1mMIqvXLPgN3jOh9H-6msr5pPEBYuLGjc</v>
      </c>
    </row>
    <row r="457">
      <c r="A457" s="6" t="str">
        <f>IFERROR(__xludf.DUMMYFUNCTION("""COMPUTED_VALUE"""),"nsdhakne@mitaoe.ac.in")</f>
        <v>nsdhakne@mitaoe.ac.in</v>
      </c>
      <c r="B457" s="6" t="str">
        <f>IFERROR(__xludf.DUMMYFUNCTION("""COMPUTED_VALUE"""),"NO")</f>
        <v>NO</v>
      </c>
      <c r="C457" s="6" t="str">
        <f>IFERROR(__xludf.DUMMYFUNCTION("""COMPUTED_VALUE"""),"NO")</f>
        <v>NO</v>
      </c>
      <c r="D457" s="6"/>
      <c r="E457" s="6"/>
    </row>
    <row r="458">
      <c r="A458" s="6" t="str">
        <f>IFERROR(__xludf.DUMMYFUNCTION("""COMPUTED_VALUE"""),"asbiradar@mitaoe.ac.in")</f>
        <v>asbiradar@mitaoe.ac.in</v>
      </c>
      <c r="B458" s="6" t="str">
        <f>IFERROR(__xludf.DUMMYFUNCTION("""COMPUTED_VALUE"""),"YES")</f>
        <v>YES</v>
      </c>
      <c r="C458" s="6" t="str">
        <f>IFERROR(__xludf.DUMMYFUNCTION("""COMPUTED_VALUE"""),"YES")</f>
        <v>YES</v>
      </c>
      <c r="D458" s="49" t="str">
        <f>IFERROR(__xludf.DUMMYFUNCTION("""COMPUTED_VALUE"""),"https://drive.google.com/open?id=1ISZsmKaD13aPkqFiF_Kn7Xmibq86T22t")</f>
        <v>https://drive.google.com/open?id=1ISZsmKaD13aPkqFiF_Kn7Xmibq86T22t</v>
      </c>
      <c r="E458" s="49" t="str">
        <f>IFERROR(__xludf.DUMMYFUNCTION("""COMPUTED_VALUE"""),"https://drive.google.com/open?id=1w2mFIKFh0fsPkQP_qbZ8aIke2MG1Xfx-")</f>
        <v>https://drive.google.com/open?id=1w2mFIKFh0fsPkQP_qbZ8aIke2MG1Xfx-</v>
      </c>
    </row>
    <row r="459">
      <c r="A459" s="6" t="str">
        <f>IFERROR(__xludf.DUMMYFUNCTION("""COMPUTED_VALUE"""),"abumbarkar@mitaoe.ac.in")</f>
        <v>abumbarkar@mitaoe.ac.in</v>
      </c>
      <c r="B459" s="6" t="str">
        <f>IFERROR(__xludf.DUMMYFUNCTION("""COMPUTED_VALUE"""),"YES")</f>
        <v>YES</v>
      </c>
      <c r="C459" s="6" t="str">
        <f>IFERROR(__xludf.DUMMYFUNCTION("""COMPUTED_VALUE"""),"YES")</f>
        <v>YES</v>
      </c>
      <c r="D459" s="49" t="str">
        <f>IFERROR(__xludf.DUMMYFUNCTION("""COMPUTED_VALUE"""),"https://drive.google.com/open?id=1qOb7hBQzTFS6Iv1Wwgs_VwDhuzOF9m7n")</f>
        <v>https://drive.google.com/open?id=1qOb7hBQzTFS6Iv1Wwgs_VwDhuzOF9m7n</v>
      </c>
      <c r="E459" s="49" t="str">
        <f>IFERROR(__xludf.DUMMYFUNCTION("""COMPUTED_VALUE"""),"https://drive.google.com/open?id=1VPdXmtSh7xGFO563MKWvqvfsrGsRS3H9")</f>
        <v>https://drive.google.com/open?id=1VPdXmtSh7xGFO563MKWvqvfsrGsRS3H9</v>
      </c>
    </row>
    <row r="460">
      <c r="A460" s="6" t="str">
        <f>IFERROR(__xludf.DUMMYFUNCTION("""COMPUTED_VALUE"""),"sarang.rampelliwar@mitaoe.ac.in")</f>
        <v>sarang.rampelliwar@mitaoe.ac.in</v>
      </c>
      <c r="B460" s="6" t="str">
        <f>IFERROR(__xludf.DUMMYFUNCTION("""COMPUTED_VALUE"""),"YES")</f>
        <v>YES</v>
      </c>
      <c r="C460" s="6" t="str">
        <f>IFERROR(__xludf.DUMMYFUNCTION("""COMPUTED_VALUE"""),"YES")</f>
        <v>YES</v>
      </c>
      <c r="D460" s="49" t="str">
        <f>IFERROR(__xludf.DUMMYFUNCTION("""COMPUTED_VALUE"""),"https://drive.google.com/open?id=12zy6g-1jAgTNIeDNgrV9EFVVbtfAxzKq")</f>
        <v>https://drive.google.com/open?id=12zy6g-1jAgTNIeDNgrV9EFVVbtfAxzKq</v>
      </c>
      <c r="E460" s="49" t="str">
        <f>IFERROR(__xludf.DUMMYFUNCTION("""COMPUTED_VALUE"""),"https://drive.google.com/open?id=1mAgchk5_C8dfsZzBxy8Y1-64sKV4qTeR")</f>
        <v>https://drive.google.com/open?id=1mAgchk5_C8dfsZzBxy8Y1-64sKV4qTeR</v>
      </c>
    </row>
    <row r="461">
      <c r="A461" s="6" t="str">
        <f>IFERROR(__xludf.DUMMYFUNCTION("""COMPUTED_VALUE"""),"anuraj.marathe@mitaoe.ac.in")</f>
        <v>anuraj.marathe@mitaoe.ac.in</v>
      </c>
      <c r="B461" s="6" t="str">
        <f>IFERROR(__xludf.DUMMYFUNCTION("""COMPUTED_VALUE"""),"NO")</f>
        <v>NO</v>
      </c>
      <c r="C461" s="6" t="str">
        <f>IFERROR(__xludf.DUMMYFUNCTION("""COMPUTED_VALUE"""),"NO")</f>
        <v>NO</v>
      </c>
      <c r="D461" s="6"/>
      <c r="E461" s="6"/>
    </row>
    <row r="462">
      <c r="A462" s="6" t="str">
        <f>IFERROR(__xludf.DUMMYFUNCTION("""COMPUTED_VALUE"""),"msmane@mitaoe.ac.in")</f>
        <v>msmane@mitaoe.ac.in</v>
      </c>
      <c r="B462" s="6" t="str">
        <f>IFERROR(__xludf.DUMMYFUNCTION("""COMPUTED_VALUE"""),"NO")</f>
        <v>NO</v>
      </c>
      <c r="C462" s="6" t="str">
        <f>IFERROR(__xludf.DUMMYFUNCTION("""COMPUTED_VALUE"""),"NO")</f>
        <v>NO</v>
      </c>
      <c r="D462" s="6"/>
      <c r="E462" s="6"/>
    </row>
    <row r="463">
      <c r="A463" s="6" t="str">
        <f>IFERROR(__xludf.DUMMYFUNCTION("""COMPUTED_VALUE"""),"onkar.kale@mitaoe.ac.in")</f>
        <v>onkar.kale@mitaoe.ac.in</v>
      </c>
      <c r="B463" s="6" t="str">
        <f>IFERROR(__xludf.DUMMYFUNCTION("""COMPUTED_VALUE"""),"YES")</f>
        <v>YES</v>
      </c>
      <c r="C463" s="6" t="str">
        <f>IFERROR(__xludf.DUMMYFUNCTION("""COMPUTED_VALUE"""),"YES")</f>
        <v>YES</v>
      </c>
      <c r="D463" s="49" t="str">
        <f>IFERROR(__xludf.DUMMYFUNCTION("""COMPUTED_VALUE"""),"https://drive.google.com/open?id=10tVm0EuoTZ00Oy2hjdE9QBTBUh-iY_5B")</f>
        <v>https://drive.google.com/open?id=10tVm0EuoTZ00Oy2hjdE9QBTBUh-iY_5B</v>
      </c>
      <c r="E463" s="49" t="str">
        <f>IFERROR(__xludf.DUMMYFUNCTION("""COMPUTED_VALUE"""),"https://drive.google.com/open?id=13eAPuoMGg6U81po6Ky_K_autr48NTmbu")</f>
        <v>https://drive.google.com/open?id=13eAPuoMGg6U81po6Ky_K_autr48NTmbu</v>
      </c>
    </row>
    <row r="464">
      <c r="A464" s="6" t="str">
        <f>IFERROR(__xludf.DUMMYFUNCTION("""COMPUTED_VALUE"""),"pranit.magdum@mitaoe.ac.in")</f>
        <v>pranit.magdum@mitaoe.ac.in</v>
      </c>
      <c r="B464" s="6" t="str">
        <f>IFERROR(__xludf.DUMMYFUNCTION("""COMPUTED_VALUE"""),"YES")</f>
        <v>YES</v>
      </c>
      <c r="C464" s="6" t="str">
        <f>IFERROR(__xludf.DUMMYFUNCTION("""COMPUTED_VALUE"""),"YES")</f>
        <v>YES</v>
      </c>
      <c r="D464" s="49" t="str">
        <f>IFERROR(__xludf.DUMMYFUNCTION("""COMPUTED_VALUE"""),"https://drive.google.com/open?id=1nij7sD1xTbjxnsFc58l3jgkOYLaP3hNv")</f>
        <v>https://drive.google.com/open?id=1nij7sD1xTbjxnsFc58l3jgkOYLaP3hNv</v>
      </c>
      <c r="E464" s="49" t="str">
        <f>IFERROR(__xludf.DUMMYFUNCTION("""COMPUTED_VALUE"""),"https://drive.google.com/open?id=1wNccOmHt_eGegiExRUoyI9O0qdFr-1Ya")</f>
        <v>https://drive.google.com/open?id=1wNccOmHt_eGegiExRUoyI9O0qdFr-1Ya</v>
      </c>
    </row>
    <row r="465">
      <c r="A465" s="6" t="str">
        <f>IFERROR(__xludf.DUMMYFUNCTION("""COMPUTED_VALUE"""),"vvkanate@mitaoe.ac.in")</f>
        <v>vvkanate@mitaoe.ac.in</v>
      </c>
      <c r="B465" s="6" t="str">
        <f>IFERROR(__xludf.DUMMYFUNCTION("""COMPUTED_VALUE"""),"YES")</f>
        <v>YES</v>
      </c>
      <c r="C465" s="6" t="str">
        <f>IFERROR(__xludf.DUMMYFUNCTION("""COMPUTED_VALUE"""),"YES")</f>
        <v>YES</v>
      </c>
      <c r="D465" s="49" t="str">
        <f>IFERROR(__xludf.DUMMYFUNCTION("""COMPUTED_VALUE"""),"https://drive.google.com/open?id=19ppRCS7m5_PXq2s85pdt1Gg1RhZS7VHm")</f>
        <v>https://drive.google.com/open?id=19ppRCS7m5_PXq2s85pdt1Gg1RhZS7VHm</v>
      </c>
      <c r="E465" s="49" t="str">
        <f>IFERROR(__xludf.DUMMYFUNCTION("""COMPUTED_VALUE"""),"https://drive.google.com/open?id=1-jQJpq3UpCH3EqGuVNoIza5EZCy27Sko")</f>
        <v>https://drive.google.com/open?id=1-jQJpq3UpCH3EqGuVNoIza5EZCy27Sko</v>
      </c>
    </row>
    <row r="466">
      <c r="A466" s="6" t="str">
        <f>IFERROR(__xludf.DUMMYFUNCTION("""COMPUTED_VALUE"""),"kunal.chaudhari@mitaoe.ac.in")</f>
        <v>kunal.chaudhari@mitaoe.ac.in</v>
      </c>
      <c r="B466" s="6" t="str">
        <f>IFERROR(__xludf.DUMMYFUNCTION("""COMPUTED_VALUE"""),"NO")</f>
        <v>NO</v>
      </c>
      <c r="C466" s="6" t="str">
        <f>IFERROR(__xludf.DUMMYFUNCTION("""COMPUTED_VALUE"""),"NO")</f>
        <v>NO</v>
      </c>
      <c r="D466" s="49" t="str">
        <f>IFERROR(__xludf.DUMMYFUNCTION("""COMPUTED_VALUE"""),"https://drive.google.com/open?id=1WgpmnnC-W_ZQgNesiBQViPVdhnUv3rog")</f>
        <v>https://drive.google.com/open?id=1WgpmnnC-W_ZQgNesiBQViPVdhnUv3rog</v>
      </c>
      <c r="E466" s="49" t="str">
        <f>IFERROR(__xludf.DUMMYFUNCTION("""COMPUTED_VALUE"""),"https://drive.google.com/open?id=1nkP1es4D4GjWDU1vsHcCwAm_ytb-p0zs")</f>
        <v>https://drive.google.com/open?id=1nkP1es4D4GjWDU1vsHcCwAm_ytb-p0zs</v>
      </c>
    </row>
    <row r="467">
      <c r="A467" s="6" t="str">
        <f>IFERROR(__xludf.DUMMYFUNCTION("""COMPUTED_VALUE"""),"mayur.sarode@mitaoe.ac.in")</f>
        <v>mayur.sarode@mitaoe.ac.in</v>
      </c>
      <c r="B467" s="6" t="str">
        <f>IFERROR(__xludf.DUMMYFUNCTION("""COMPUTED_VALUE"""),"YES")</f>
        <v>YES</v>
      </c>
      <c r="C467" s="6" t="str">
        <f>IFERROR(__xludf.DUMMYFUNCTION("""COMPUTED_VALUE"""),"NO")</f>
        <v>NO</v>
      </c>
      <c r="D467" s="49" t="str">
        <f>IFERROR(__xludf.DUMMYFUNCTION("""COMPUTED_VALUE"""),"https://drive.google.com/open?id=1YnWBczO6ov06hOSILw_RBV1IAKI6M-xG")</f>
        <v>https://drive.google.com/open?id=1YnWBczO6ov06hOSILw_RBV1IAKI6M-xG</v>
      </c>
      <c r="E467" s="6"/>
    </row>
    <row r="468">
      <c r="A468" s="6" t="str">
        <f>IFERROR(__xludf.DUMMYFUNCTION("""COMPUTED_VALUE"""),"arpardeshi@mitaoe.ac.in")</f>
        <v>arpardeshi@mitaoe.ac.in</v>
      </c>
      <c r="B468" s="6" t="str">
        <f>IFERROR(__xludf.DUMMYFUNCTION("""COMPUTED_VALUE"""),"NO")</f>
        <v>NO</v>
      </c>
      <c r="C468" s="6" t="str">
        <f>IFERROR(__xludf.DUMMYFUNCTION("""COMPUTED_VALUE"""),"NO")</f>
        <v>NO</v>
      </c>
      <c r="D468" s="6"/>
      <c r="E468" s="6"/>
    </row>
    <row r="469">
      <c r="A469" s="6" t="str">
        <f>IFERROR(__xludf.DUMMYFUNCTION("""COMPUTED_VALUE"""),"prsadakal@mitaoe.ac.in")</f>
        <v>prsadakal@mitaoe.ac.in</v>
      </c>
      <c r="B469" s="6" t="str">
        <f>IFERROR(__xludf.DUMMYFUNCTION("""COMPUTED_VALUE"""),"YES")</f>
        <v>YES</v>
      </c>
      <c r="C469" s="6" t="str">
        <f>IFERROR(__xludf.DUMMYFUNCTION("""COMPUTED_VALUE"""),"YES")</f>
        <v>YES</v>
      </c>
      <c r="D469" s="49" t="str">
        <f>IFERROR(__xludf.DUMMYFUNCTION("""COMPUTED_VALUE"""),"https://drive.google.com/open?id=1Pc3mDASwYPqVTs5uKaTsoQjdfB7TReUa")</f>
        <v>https://drive.google.com/open?id=1Pc3mDASwYPqVTs5uKaTsoQjdfB7TReUa</v>
      </c>
      <c r="E469" s="49" t="str">
        <f>IFERROR(__xludf.DUMMYFUNCTION("""COMPUTED_VALUE"""),"https://drive.google.com/open?id=1-2Ou7xt6i5_pepyqnyXTW2xgKzJoqOHp")</f>
        <v>https://drive.google.com/open?id=1-2Ou7xt6i5_pepyqnyXTW2xgKzJoqOHp</v>
      </c>
    </row>
    <row r="470">
      <c r="A470" s="6" t="str">
        <f>IFERROR(__xludf.DUMMYFUNCTION("""COMPUTED_VALUE"""),"sainath.ayewar@mitaoe.ac.in")</f>
        <v>sainath.ayewar@mitaoe.ac.in</v>
      </c>
      <c r="B470" s="6" t="str">
        <f>IFERROR(__xludf.DUMMYFUNCTION("""COMPUTED_VALUE"""),"NO")</f>
        <v>NO</v>
      </c>
      <c r="C470" s="6" t="str">
        <f>IFERROR(__xludf.DUMMYFUNCTION("""COMPUTED_VALUE"""),"YES")</f>
        <v>YES</v>
      </c>
      <c r="D470" s="6"/>
      <c r="E470" s="49" t="str">
        <f>IFERROR(__xludf.DUMMYFUNCTION("""COMPUTED_VALUE"""),"https://drive.google.com/open?id=1Ards2BFluApy3bWBnanYwGGDHQAyzhSY")</f>
        <v>https://drive.google.com/open?id=1Ards2BFluApy3bWBnanYwGGDHQAyzhSY</v>
      </c>
    </row>
    <row r="471">
      <c r="A471" s="6" t="str">
        <f>IFERROR(__xludf.DUMMYFUNCTION("""COMPUTED_VALUE"""),"trupti.barkade@mitaoe.ac.in")</f>
        <v>trupti.barkade@mitaoe.ac.in</v>
      </c>
      <c r="B471" s="6" t="str">
        <f>IFERROR(__xludf.DUMMYFUNCTION("""COMPUTED_VALUE"""),"YES")</f>
        <v>YES</v>
      </c>
      <c r="C471" s="6" t="str">
        <f>IFERROR(__xludf.DUMMYFUNCTION("""COMPUTED_VALUE"""),"NO")</f>
        <v>NO</v>
      </c>
      <c r="D471" s="49" t="str">
        <f>IFERROR(__xludf.DUMMYFUNCTION("""COMPUTED_VALUE"""),"https://drive.google.com/open?id=1XhVjn1fTxQmVaDuLLKPoID9GGY3f862f")</f>
        <v>https://drive.google.com/open?id=1XhVjn1fTxQmVaDuLLKPoID9GGY3f862f</v>
      </c>
      <c r="E471" s="6"/>
    </row>
    <row r="472">
      <c r="A472" s="6" t="str">
        <f>IFERROR(__xludf.DUMMYFUNCTION("""COMPUTED_VALUE"""),"gsgupta@mitaoe.ac.in")</f>
        <v>gsgupta@mitaoe.ac.in</v>
      </c>
      <c r="B472" s="6" t="str">
        <f>IFERROR(__xludf.DUMMYFUNCTION("""COMPUTED_VALUE"""),"YES")</f>
        <v>YES</v>
      </c>
      <c r="C472" s="6" t="str">
        <f>IFERROR(__xludf.DUMMYFUNCTION("""COMPUTED_VALUE"""),"YES")</f>
        <v>YES</v>
      </c>
      <c r="D472" s="49" t="str">
        <f>IFERROR(__xludf.DUMMYFUNCTION("""COMPUTED_VALUE"""),"https://drive.google.com/open?id=11ykhSCGrBxVI3FZgyWTBXfxqVkJgWLpu")</f>
        <v>https://drive.google.com/open?id=11ykhSCGrBxVI3FZgyWTBXfxqVkJgWLpu</v>
      </c>
      <c r="E472" s="49" t="str">
        <f>IFERROR(__xludf.DUMMYFUNCTION("""COMPUTED_VALUE"""),"https://drive.google.com/open?id=12V_DPmIY07FX-lhtk9zZwHWpBEyZH_b9")</f>
        <v>https://drive.google.com/open?id=12V_DPmIY07FX-lhtk9zZwHWpBEyZH_b9</v>
      </c>
    </row>
    <row r="473">
      <c r="A473" s="6" t="str">
        <f>IFERROR(__xludf.DUMMYFUNCTION("""COMPUTED_VALUE"""),"pramodini.patil@mitaoe.ac.in")</f>
        <v>pramodini.patil@mitaoe.ac.in</v>
      </c>
      <c r="B473" s="6" t="str">
        <f>IFERROR(__xludf.DUMMYFUNCTION("""COMPUTED_VALUE"""),"NO")</f>
        <v>NO</v>
      </c>
      <c r="C473" s="6" t="str">
        <f>IFERROR(__xludf.DUMMYFUNCTION("""COMPUTED_VALUE"""),"NO")</f>
        <v>NO</v>
      </c>
      <c r="D473" s="49" t="str">
        <f>IFERROR(__xludf.DUMMYFUNCTION("""COMPUTED_VALUE"""),"https://drive.google.com/open?id=1ZqSrElQDYnI2qqFzttfHxR4P_zVOSe9l")</f>
        <v>https://drive.google.com/open?id=1ZqSrElQDYnI2qqFzttfHxR4P_zVOSe9l</v>
      </c>
      <c r="E473" s="49" t="str">
        <f>IFERROR(__xludf.DUMMYFUNCTION("""COMPUTED_VALUE"""),"https://drive.google.com/open?id=1Sqlvjiq8ErcpxPre4lztq4pgvbV08EQ-")</f>
        <v>https://drive.google.com/open?id=1Sqlvjiq8ErcpxPre4lztq4pgvbV08EQ-</v>
      </c>
    </row>
    <row r="474">
      <c r="A474" s="6" t="str">
        <f>IFERROR(__xludf.DUMMYFUNCTION("""COMPUTED_VALUE"""),"aagupta@mitaoe.ac.in")</f>
        <v>aagupta@mitaoe.ac.in</v>
      </c>
      <c r="B474" s="6" t="str">
        <f>IFERROR(__xludf.DUMMYFUNCTION("""COMPUTED_VALUE"""),"YES")</f>
        <v>YES</v>
      </c>
      <c r="C474" s="6" t="str">
        <f>IFERROR(__xludf.DUMMYFUNCTION("""COMPUTED_VALUE"""),"YES")</f>
        <v>YES</v>
      </c>
      <c r="D474" s="49" t="str">
        <f>IFERROR(__xludf.DUMMYFUNCTION("""COMPUTED_VALUE"""),"https://drive.google.com/open?id=10EqkOLMUmv-CT53AP4taDpJURrlgPqx9")</f>
        <v>https://drive.google.com/open?id=10EqkOLMUmv-CT53AP4taDpJURrlgPqx9</v>
      </c>
      <c r="E474" s="49" t="str">
        <f>IFERROR(__xludf.DUMMYFUNCTION("""COMPUTED_VALUE"""),"https://drive.google.com/open?id=17WRsR7wlHlvU5TUQ2eUcAbnPuGQ5Q05y")</f>
        <v>https://drive.google.com/open?id=17WRsR7wlHlvU5TUQ2eUcAbnPuGQ5Q05y</v>
      </c>
    </row>
    <row r="475">
      <c r="A475" s="6" t="str">
        <f>IFERROR(__xludf.DUMMYFUNCTION("""COMPUTED_VALUE"""),"manikumar.chavhan@mitaoe.ac.in")</f>
        <v>manikumar.chavhan@mitaoe.ac.in</v>
      </c>
      <c r="B475" s="6" t="str">
        <f>IFERROR(__xludf.DUMMYFUNCTION("""COMPUTED_VALUE"""),"NO")</f>
        <v>NO</v>
      </c>
      <c r="C475" s="6" t="str">
        <f>IFERROR(__xludf.DUMMYFUNCTION("""COMPUTED_VALUE"""),"NO")</f>
        <v>NO</v>
      </c>
      <c r="D475" s="6"/>
      <c r="E475" s="6"/>
    </row>
    <row r="476">
      <c r="A476" s="6" t="str">
        <f>IFERROR(__xludf.DUMMYFUNCTION("""COMPUTED_VALUE"""),"prwaghamode@mitaoe.ac.in")</f>
        <v>prwaghamode@mitaoe.ac.in</v>
      </c>
      <c r="B476" s="6" t="str">
        <f>IFERROR(__xludf.DUMMYFUNCTION("""COMPUTED_VALUE"""),"YES")</f>
        <v>YES</v>
      </c>
      <c r="C476" s="6" t="str">
        <f>IFERROR(__xludf.DUMMYFUNCTION("""COMPUTED_VALUE"""),"YES")</f>
        <v>YES</v>
      </c>
      <c r="D476" s="49" t="str">
        <f>IFERROR(__xludf.DUMMYFUNCTION("""COMPUTED_VALUE"""),"https://drive.google.com/open?id=1-4r0We4Z4y7AIDd7jSV3iEc1zeAWN8-Q")</f>
        <v>https://drive.google.com/open?id=1-4r0We4Z4y7AIDd7jSV3iEc1zeAWN8-Q</v>
      </c>
      <c r="E476" s="49" t="str">
        <f>IFERROR(__xludf.DUMMYFUNCTION("""COMPUTED_VALUE"""),"https://drive.google.com/open?id=1lBxnhPQGR8dsQLgfWZO0816axG5vnci7")</f>
        <v>https://drive.google.com/open?id=1lBxnhPQGR8dsQLgfWZO0816axG5vnci7</v>
      </c>
    </row>
    <row r="477">
      <c r="A477" s="6" t="str">
        <f>IFERROR(__xludf.DUMMYFUNCTION("""COMPUTED_VALUE"""),"avishkarmali@mitaoe.ac.in")</f>
        <v>avishkarmali@mitaoe.ac.in</v>
      </c>
      <c r="B477" s="6" t="str">
        <f>IFERROR(__xludf.DUMMYFUNCTION("""COMPUTED_VALUE"""),"NO")</f>
        <v>NO</v>
      </c>
      <c r="C477" s="6" t="str">
        <f>IFERROR(__xludf.DUMMYFUNCTION("""COMPUTED_VALUE"""),"YES")</f>
        <v>YES</v>
      </c>
      <c r="D477" s="49" t="str">
        <f>IFERROR(__xludf.DUMMYFUNCTION("""COMPUTED_VALUE"""),"https://drive.google.com/open?id=1gSNe2tnQcJYdbq2SlKqfZS6dt6L8Y0py")</f>
        <v>https://drive.google.com/open?id=1gSNe2tnQcJYdbq2SlKqfZS6dt6L8Y0py</v>
      </c>
      <c r="E477" s="49" t="str">
        <f>IFERROR(__xludf.DUMMYFUNCTION("""COMPUTED_VALUE"""),"https://drive.google.com/open?id=1dhhloASTwV6cfZcbljIodi1l7J1gkv6F")</f>
        <v>https://drive.google.com/open?id=1dhhloASTwV6cfZcbljIodi1l7J1gkv6F</v>
      </c>
    </row>
    <row r="478">
      <c r="A478" s="6" t="str">
        <f>IFERROR(__xludf.DUMMYFUNCTION("""COMPUTED_VALUE"""),"ydmetkari@mitaoe.ac.in")</f>
        <v>ydmetkari@mitaoe.ac.in</v>
      </c>
      <c r="B478" s="6" t="str">
        <f>IFERROR(__xludf.DUMMYFUNCTION("""COMPUTED_VALUE"""),"YES")</f>
        <v>YES</v>
      </c>
      <c r="C478" s="6" t="str">
        <f>IFERROR(__xludf.DUMMYFUNCTION("""COMPUTED_VALUE"""),"YES")</f>
        <v>YES</v>
      </c>
      <c r="D478" s="49" t="str">
        <f>IFERROR(__xludf.DUMMYFUNCTION("""COMPUTED_VALUE"""),"https://drive.google.com/open?id=1dUKn3E-2EpTDmT2UPF6pXMmfhLLAScjl")</f>
        <v>https://drive.google.com/open?id=1dUKn3E-2EpTDmT2UPF6pXMmfhLLAScjl</v>
      </c>
      <c r="E478" s="49" t="str">
        <f>IFERROR(__xludf.DUMMYFUNCTION("""COMPUTED_VALUE"""),"https://drive.google.com/open?id=1nZiWaXMMPvSDW35ZrQeoZHmXtfZRZ8um")</f>
        <v>https://drive.google.com/open?id=1nZiWaXMMPvSDW35ZrQeoZHmXtfZRZ8um</v>
      </c>
    </row>
    <row r="479">
      <c r="A479" s="6" t="str">
        <f>IFERROR(__xludf.DUMMYFUNCTION("""COMPUTED_VALUE"""),"kalyani.shirode@mitaoe.ac.in")</f>
        <v>kalyani.shirode@mitaoe.ac.in</v>
      </c>
      <c r="B479" s="6" t="str">
        <f>IFERROR(__xludf.DUMMYFUNCTION("""COMPUTED_VALUE"""),"YES")</f>
        <v>YES</v>
      </c>
      <c r="C479" s="6" t="str">
        <f>IFERROR(__xludf.DUMMYFUNCTION("""COMPUTED_VALUE"""),"YES")</f>
        <v>YES</v>
      </c>
      <c r="D479" s="49" t="str">
        <f>IFERROR(__xludf.DUMMYFUNCTION("""COMPUTED_VALUE"""),"https://drive.google.com/open?id=1PrIpLT5ZLd_ykhSSYkeEylYLA9CtgmI5")</f>
        <v>https://drive.google.com/open?id=1PrIpLT5ZLd_ykhSSYkeEylYLA9CtgmI5</v>
      </c>
      <c r="E479" s="49" t="str">
        <f>IFERROR(__xludf.DUMMYFUNCTION("""COMPUTED_VALUE"""),"https://drive.google.com/open?id=1jLu3B4NXESs0fSXkExiCB38ie7X1RT88")</f>
        <v>https://drive.google.com/open?id=1jLu3B4NXESs0fSXkExiCB38ie7X1RT88</v>
      </c>
    </row>
    <row r="480">
      <c r="A480" s="6" t="str">
        <f>IFERROR(__xludf.DUMMYFUNCTION("""COMPUTED_VALUE"""),"saurabh.gunturkar@mitaoe.ac.in")</f>
        <v>saurabh.gunturkar@mitaoe.ac.in</v>
      </c>
      <c r="B480" s="6" t="str">
        <f>IFERROR(__xludf.DUMMYFUNCTION("""COMPUTED_VALUE"""),"NO")</f>
        <v>NO</v>
      </c>
      <c r="C480" s="6" t="str">
        <f>IFERROR(__xludf.DUMMYFUNCTION("""COMPUTED_VALUE"""),"YES")</f>
        <v>YES</v>
      </c>
      <c r="D480" s="6"/>
      <c r="E480" s="49" t="str">
        <f>IFERROR(__xludf.DUMMYFUNCTION("""COMPUTED_VALUE"""),"https://drive.google.com/open?id=1Tx4xj1HpLWZMdhAvxNSIOhE09Pl513g6")</f>
        <v>https://drive.google.com/open?id=1Tx4xj1HpLWZMdhAvxNSIOhE09Pl513g6</v>
      </c>
    </row>
    <row r="481">
      <c r="A481" s="6" t="str">
        <f>IFERROR(__xludf.DUMMYFUNCTION("""COMPUTED_VALUE"""),"saurabhpowar@mitaoe.ac.in")</f>
        <v>saurabhpowar@mitaoe.ac.in</v>
      </c>
      <c r="B481" s="6" t="str">
        <f>IFERROR(__xludf.DUMMYFUNCTION("""COMPUTED_VALUE"""),"YES")</f>
        <v>YES</v>
      </c>
      <c r="C481" s="6" t="str">
        <f>IFERROR(__xludf.DUMMYFUNCTION("""COMPUTED_VALUE"""),"YES")</f>
        <v>YES</v>
      </c>
      <c r="D481" s="49" t="str">
        <f>IFERROR(__xludf.DUMMYFUNCTION("""COMPUTED_VALUE"""),"https://drive.google.com/open?id=1uVKwtKC3Fq_Yx1u-zX7v8iku_quFWDBe")</f>
        <v>https://drive.google.com/open?id=1uVKwtKC3Fq_Yx1u-zX7v8iku_quFWDBe</v>
      </c>
      <c r="E481" s="49" t="str">
        <f>IFERROR(__xludf.DUMMYFUNCTION("""COMPUTED_VALUE"""),"https://drive.google.com/open?id=1nnKGeGlKo-E5ngiH2OnmhW4782hRxeLU")</f>
        <v>https://drive.google.com/open?id=1nnKGeGlKo-E5ngiH2OnmhW4782hRxeLU</v>
      </c>
    </row>
    <row r="482">
      <c r="A482" s="6" t="str">
        <f>IFERROR(__xludf.DUMMYFUNCTION("""COMPUTED_VALUE"""),"tnlichade@mitaoe.ac.in")</f>
        <v>tnlichade@mitaoe.ac.in</v>
      </c>
      <c r="B482" s="6" t="str">
        <f>IFERROR(__xludf.DUMMYFUNCTION("""COMPUTED_VALUE"""),"NO")</f>
        <v>NO</v>
      </c>
      <c r="C482" s="6" t="str">
        <f>IFERROR(__xludf.DUMMYFUNCTION("""COMPUTED_VALUE"""),"YES")</f>
        <v>YES</v>
      </c>
      <c r="D482" s="6"/>
      <c r="E482" s="49" t="str">
        <f>IFERROR(__xludf.DUMMYFUNCTION("""COMPUTED_VALUE"""),"https://drive.google.com/open?id=1WCM5lAng21spu0xX1w0V0QXYbWG5T51Q")</f>
        <v>https://drive.google.com/open?id=1WCM5lAng21spu0xX1w0V0QXYbWG5T51Q</v>
      </c>
    </row>
    <row r="483">
      <c r="A483" s="6" t="str">
        <f>IFERROR(__xludf.DUMMYFUNCTION("""COMPUTED_VALUE"""),"amhonshette@mitaoe.ac.in")</f>
        <v>amhonshette@mitaoe.ac.in</v>
      </c>
      <c r="B483" s="6" t="str">
        <f>IFERROR(__xludf.DUMMYFUNCTION("""COMPUTED_VALUE"""),"YES")</f>
        <v>YES</v>
      </c>
      <c r="C483" s="6" t="str">
        <f>IFERROR(__xludf.DUMMYFUNCTION("""COMPUTED_VALUE"""),"YES")</f>
        <v>YES</v>
      </c>
      <c r="D483" s="49" t="str">
        <f>IFERROR(__xludf.DUMMYFUNCTION("""COMPUTED_VALUE"""),"https://drive.google.com/open?id=1JgH1F-uUKGFgUXWQ6dmK7NilHLSq9K0v")</f>
        <v>https://drive.google.com/open?id=1JgH1F-uUKGFgUXWQ6dmK7NilHLSq9K0v</v>
      </c>
      <c r="E483" s="49" t="str">
        <f>IFERROR(__xludf.DUMMYFUNCTION("""COMPUTED_VALUE"""),"https://drive.google.com/open?id=17opWEISWFHnAbpOiMHNrLpXXM6U0vJ0w")</f>
        <v>https://drive.google.com/open?id=17opWEISWFHnAbpOiMHNrLpXXM6U0vJ0w</v>
      </c>
    </row>
    <row r="484">
      <c r="A484" s="6" t="str">
        <f>IFERROR(__xludf.DUMMYFUNCTION("""COMPUTED_VALUE"""),"anirudha.thorat@mitaoe.ac.in")</f>
        <v>anirudha.thorat@mitaoe.ac.in</v>
      </c>
      <c r="B484" s="6" t="str">
        <f>IFERROR(__xludf.DUMMYFUNCTION("""COMPUTED_VALUE"""),"YES")</f>
        <v>YES</v>
      </c>
      <c r="C484" s="6" t="str">
        <f>IFERROR(__xludf.DUMMYFUNCTION("""COMPUTED_VALUE"""),"YES")</f>
        <v>YES</v>
      </c>
      <c r="D484" s="49" t="str">
        <f>IFERROR(__xludf.DUMMYFUNCTION("""COMPUTED_VALUE"""),"https://drive.google.com/open?id=1sDE7c-Mh-Um_bPMh3aNfuEvYQINrlgvR")</f>
        <v>https://drive.google.com/open?id=1sDE7c-Mh-Um_bPMh3aNfuEvYQINrlgvR</v>
      </c>
      <c r="E484" s="49" t="str">
        <f>IFERROR(__xludf.DUMMYFUNCTION("""COMPUTED_VALUE"""),"https://drive.google.com/open?id=1NPEgbswVjgy046WbabGNAAet5Vja1O0S")</f>
        <v>https://drive.google.com/open?id=1NPEgbswVjgy046WbabGNAAet5Vja1O0S</v>
      </c>
    </row>
    <row r="485">
      <c r="A485" s="6" t="str">
        <f>IFERROR(__xludf.DUMMYFUNCTION("""COMPUTED_VALUE"""),"payal.bhatkar@mitaoe.ac.in")</f>
        <v>payal.bhatkar@mitaoe.ac.in</v>
      </c>
      <c r="B485" s="6" t="str">
        <f>IFERROR(__xludf.DUMMYFUNCTION("""COMPUTED_VALUE"""),"NO")</f>
        <v>NO</v>
      </c>
      <c r="C485" s="6" t="str">
        <f>IFERROR(__xludf.DUMMYFUNCTION("""COMPUTED_VALUE"""),"NO")</f>
        <v>NO</v>
      </c>
      <c r="D485" s="6"/>
      <c r="E485" s="6"/>
    </row>
    <row r="486">
      <c r="A486" s="6" t="str">
        <f>IFERROR(__xludf.DUMMYFUNCTION("""COMPUTED_VALUE"""),"pritam.jadhav@mitaoe.ac.in")</f>
        <v>pritam.jadhav@mitaoe.ac.in</v>
      </c>
      <c r="B486" s="6" t="str">
        <f>IFERROR(__xludf.DUMMYFUNCTION("""COMPUTED_VALUE"""),"YES")</f>
        <v>YES</v>
      </c>
      <c r="C486" s="6" t="str">
        <f>IFERROR(__xludf.DUMMYFUNCTION("""COMPUTED_VALUE"""),"YES")</f>
        <v>YES</v>
      </c>
      <c r="D486" s="49" t="str">
        <f>IFERROR(__xludf.DUMMYFUNCTION("""COMPUTED_VALUE"""),"https://drive.google.com/open?id=196twUaO4APjEfv07njmulGXBVegwNh4L")</f>
        <v>https://drive.google.com/open?id=196twUaO4APjEfv07njmulGXBVegwNh4L</v>
      </c>
      <c r="E486" s="49" t="str">
        <f>IFERROR(__xludf.DUMMYFUNCTION("""COMPUTED_VALUE"""),"https://drive.google.com/open?id=13_e-RB7exioDyMGw_eLcey1yTag3hjTP")</f>
        <v>https://drive.google.com/open?id=13_e-RB7exioDyMGw_eLcey1yTag3hjTP</v>
      </c>
    </row>
    <row r="487">
      <c r="A487" s="6" t="str">
        <f>IFERROR(__xludf.DUMMYFUNCTION("""COMPUTED_VALUE"""),"sgdeshmukh@mitaoe.ac.in")</f>
        <v>sgdeshmukh@mitaoe.ac.in</v>
      </c>
      <c r="B487" s="6" t="str">
        <f>IFERROR(__xludf.DUMMYFUNCTION("""COMPUTED_VALUE"""),"YES")</f>
        <v>YES</v>
      </c>
      <c r="C487" s="6" t="str">
        <f>IFERROR(__xludf.DUMMYFUNCTION("""COMPUTED_VALUE"""),"YES")</f>
        <v>YES</v>
      </c>
      <c r="D487" s="49" t="str">
        <f>IFERROR(__xludf.DUMMYFUNCTION("""COMPUTED_VALUE"""),"https://drive.google.com/open?id=1oVQsyQ0QGK1LN_F71zsBz4XZWdTYGy_6")</f>
        <v>https://drive.google.com/open?id=1oVQsyQ0QGK1LN_F71zsBz4XZWdTYGy_6</v>
      </c>
      <c r="E487" s="49" t="str">
        <f>IFERROR(__xludf.DUMMYFUNCTION("""COMPUTED_VALUE"""),"https://drive.google.com/open?id=1ahtytP2qnZlGlELKA08SEpfHASNw5aC3")</f>
        <v>https://drive.google.com/open?id=1ahtytP2qnZlGlELKA08SEpfHASNw5aC3</v>
      </c>
    </row>
    <row r="488">
      <c r="A488" s="6" t="str">
        <f>IFERROR(__xludf.DUMMYFUNCTION("""COMPUTED_VALUE"""),"shmangar@mitaoe.ac.in")</f>
        <v>shmangar@mitaoe.ac.in</v>
      </c>
      <c r="B488" s="6" t="str">
        <f>IFERROR(__xludf.DUMMYFUNCTION("""COMPUTED_VALUE"""),"NO")</f>
        <v>NO</v>
      </c>
      <c r="C488" s="6" t="str">
        <f>IFERROR(__xludf.DUMMYFUNCTION("""COMPUTED_VALUE"""),"YES")</f>
        <v>YES</v>
      </c>
      <c r="D488" s="6"/>
      <c r="E488" s="49" t="str">
        <f>IFERROR(__xludf.DUMMYFUNCTION("""COMPUTED_VALUE"""),"https://drive.google.com/open?id=12lfvvA3QhZpjQ9ndIHGP4p2rSyamPgNf")</f>
        <v>https://drive.google.com/open?id=12lfvvA3QhZpjQ9ndIHGP4p2rSyamPgNf</v>
      </c>
    </row>
    <row r="489">
      <c r="A489" s="6" t="str">
        <f>IFERROR(__xludf.DUMMYFUNCTION("""COMPUTED_VALUE"""),"rajeshwari.shinde@mitaoe.ac.in")</f>
        <v>rajeshwari.shinde@mitaoe.ac.in</v>
      </c>
      <c r="B489" s="6" t="str">
        <f>IFERROR(__xludf.DUMMYFUNCTION("""COMPUTED_VALUE"""),"NO")</f>
        <v>NO</v>
      </c>
      <c r="C489" s="6" t="str">
        <f>IFERROR(__xludf.DUMMYFUNCTION("""COMPUTED_VALUE"""),"NO")</f>
        <v>NO</v>
      </c>
      <c r="D489" s="6"/>
      <c r="E489" s="49" t="str">
        <f>IFERROR(__xludf.DUMMYFUNCTION("""COMPUTED_VALUE"""),"https://drive.google.com/open?id=1eY2aTx8o2PcpVmdVXgt1KSXmdv8-PdwW")</f>
        <v>https://drive.google.com/open?id=1eY2aTx8o2PcpVmdVXgt1KSXmdv8-PdwW</v>
      </c>
    </row>
    <row r="490">
      <c r="A490" s="6" t="str">
        <f>IFERROR(__xludf.DUMMYFUNCTION("""COMPUTED_VALUE"""),"sushant.ingawale@mitaoe.ac.in")</f>
        <v>sushant.ingawale@mitaoe.ac.in</v>
      </c>
      <c r="B490" s="6" t="str">
        <f>IFERROR(__xludf.DUMMYFUNCTION("""COMPUTED_VALUE"""),"YES")</f>
        <v>YES</v>
      </c>
      <c r="C490" s="6" t="str">
        <f>IFERROR(__xludf.DUMMYFUNCTION("""COMPUTED_VALUE"""),"YES")</f>
        <v>YES</v>
      </c>
      <c r="D490" s="49" t="str">
        <f>IFERROR(__xludf.DUMMYFUNCTION("""COMPUTED_VALUE"""),"https://drive.google.com/open?id=1wrvHjnDzgmChf8xX8Dpo1Z4CM7TU8JiW")</f>
        <v>https://drive.google.com/open?id=1wrvHjnDzgmChf8xX8Dpo1Z4CM7TU8JiW</v>
      </c>
      <c r="E490" s="49" t="str">
        <f>IFERROR(__xludf.DUMMYFUNCTION("""COMPUTED_VALUE"""),"https://drive.google.com/open?id=189S2nG-L2K4dViEkEZM1hWArNln_khyJ")</f>
        <v>https://drive.google.com/open?id=189S2nG-L2K4dViEkEZM1hWArNln_khyJ</v>
      </c>
    </row>
    <row r="491">
      <c r="A491" s="6" t="str">
        <f>IFERROR(__xludf.DUMMYFUNCTION("""COMPUTED_VALUE"""),"nbghadge@mitaoe.ac.in")</f>
        <v>nbghadge@mitaoe.ac.in</v>
      </c>
      <c r="B491" s="6" t="str">
        <f>IFERROR(__xludf.DUMMYFUNCTION("""COMPUTED_VALUE"""),"NO")</f>
        <v>NO</v>
      </c>
      <c r="C491" s="6" t="str">
        <f>IFERROR(__xludf.DUMMYFUNCTION("""COMPUTED_VALUE"""),"YES")</f>
        <v>YES</v>
      </c>
      <c r="D491" s="6"/>
      <c r="E491" s="49" t="str">
        <f>IFERROR(__xludf.DUMMYFUNCTION("""COMPUTED_VALUE"""),"https://drive.google.com/open?id=1E9L2eDqbmZLcaPWPnR9K7rLA0NhwYc1r")</f>
        <v>https://drive.google.com/open?id=1E9L2eDqbmZLcaPWPnR9K7rLA0NhwYc1r</v>
      </c>
    </row>
    <row r="492">
      <c r="A492" s="6" t="str">
        <f>IFERROR(__xludf.DUMMYFUNCTION("""COMPUTED_VALUE"""),"svkamble@mitaoe.ac.in")</f>
        <v>svkamble@mitaoe.ac.in</v>
      </c>
      <c r="B492" s="6" t="str">
        <f>IFERROR(__xludf.DUMMYFUNCTION("""COMPUTED_VALUE"""),"YES")</f>
        <v>YES</v>
      </c>
      <c r="C492" s="6" t="str">
        <f>IFERROR(__xludf.DUMMYFUNCTION("""COMPUTED_VALUE"""),"YES")</f>
        <v>YES</v>
      </c>
      <c r="D492" s="49" t="str">
        <f>IFERROR(__xludf.DUMMYFUNCTION("""COMPUTED_VALUE"""),"https://drive.google.com/open?id=1OfTblWiGzybjYYT7g6_NbxlfMsJK_B_k")</f>
        <v>https://drive.google.com/open?id=1OfTblWiGzybjYYT7g6_NbxlfMsJK_B_k</v>
      </c>
      <c r="E492" s="49" t="str">
        <f>IFERROR(__xludf.DUMMYFUNCTION("""COMPUTED_VALUE"""),"https://drive.google.com/open?id=14W5WqoY5-7vqRUoDLe0vfcowff4mV7su")</f>
        <v>https://drive.google.com/open?id=14W5WqoY5-7vqRUoDLe0vfcowff4mV7su</v>
      </c>
    </row>
    <row r="493">
      <c r="A493" s="6" t="str">
        <f>IFERROR(__xludf.DUMMYFUNCTION("""COMPUTED_VALUE"""),"ygdeshpande@mitaoe.ac.in")</f>
        <v>ygdeshpande@mitaoe.ac.in</v>
      </c>
      <c r="B493" s="6" t="str">
        <f>IFERROR(__xludf.DUMMYFUNCTION("""COMPUTED_VALUE"""),"YES")</f>
        <v>YES</v>
      </c>
      <c r="C493" s="6" t="str">
        <f>IFERROR(__xludf.DUMMYFUNCTION("""COMPUTED_VALUE"""),"YES")</f>
        <v>YES</v>
      </c>
      <c r="D493" s="49" t="str">
        <f>IFERROR(__xludf.DUMMYFUNCTION("""COMPUTED_VALUE"""),"https://drive.google.com/open?id=1pbTzFNALWKmJUXIdhCU3g2EFXClGSYVg")</f>
        <v>https://drive.google.com/open?id=1pbTzFNALWKmJUXIdhCU3g2EFXClGSYVg</v>
      </c>
      <c r="E493" s="49" t="str">
        <f>IFERROR(__xludf.DUMMYFUNCTION("""COMPUTED_VALUE"""),"https://drive.google.com/open?id=1Bjf7lrdzolbexKTWAC9dafl1JNP037lJ")</f>
        <v>https://drive.google.com/open?id=1Bjf7lrdzolbexKTWAC9dafl1JNP037lJ</v>
      </c>
    </row>
    <row r="494">
      <c r="A494" s="6" t="str">
        <f>IFERROR(__xludf.DUMMYFUNCTION("""COMPUTED_VALUE"""),"nimesh.zanje@mitaoe.ac.in")</f>
        <v>nimesh.zanje@mitaoe.ac.in</v>
      </c>
      <c r="B494" s="6" t="str">
        <f>IFERROR(__xludf.DUMMYFUNCTION("""COMPUTED_VALUE"""),"NO")</f>
        <v>NO</v>
      </c>
      <c r="C494" s="6" t="str">
        <f>IFERROR(__xludf.DUMMYFUNCTION("""COMPUTED_VALUE"""),"YES")</f>
        <v>YES</v>
      </c>
      <c r="D494" s="6"/>
      <c r="E494" s="49" t="str">
        <f>IFERROR(__xludf.DUMMYFUNCTION("""COMPUTED_VALUE"""),"https://drive.google.com/open?id=1C_EIihh1RUZEcX1dvuDdDTxWWVWcrTfh")</f>
        <v>https://drive.google.com/open?id=1C_EIihh1RUZEcX1dvuDdDTxWWVWcrTfh</v>
      </c>
    </row>
    <row r="495">
      <c r="A495" s="6" t="str">
        <f>IFERROR(__xludf.DUMMYFUNCTION("""COMPUTED_VALUE"""),"shankar.karhale@mitaoe.ac.in")</f>
        <v>shankar.karhale@mitaoe.ac.in</v>
      </c>
      <c r="B495" s="6" t="str">
        <f>IFERROR(__xludf.DUMMYFUNCTION("""COMPUTED_VALUE"""),"NO")</f>
        <v>NO</v>
      </c>
      <c r="C495" s="6" t="str">
        <f>IFERROR(__xludf.DUMMYFUNCTION("""COMPUTED_VALUE"""),"NO")</f>
        <v>NO</v>
      </c>
      <c r="D495" s="6"/>
      <c r="E495" s="6"/>
    </row>
    <row r="496">
      <c r="A496" s="6" t="str">
        <f>IFERROR(__xludf.DUMMYFUNCTION("""COMPUTED_VALUE"""),"jakakde@mitaoe.ac.in")</f>
        <v>jakakde@mitaoe.ac.in</v>
      </c>
      <c r="B496" s="6" t="str">
        <f>IFERROR(__xludf.DUMMYFUNCTION("""COMPUTED_VALUE"""),"NO")</f>
        <v>NO</v>
      </c>
      <c r="C496" s="6" t="str">
        <f>IFERROR(__xludf.DUMMYFUNCTION("""COMPUTED_VALUE"""),"YES")</f>
        <v>YES</v>
      </c>
      <c r="D496" s="6"/>
      <c r="E496" s="49" t="str">
        <f>IFERROR(__xludf.DUMMYFUNCTION("""COMPUTED_VALUE"""),"https://drive.google.com/open?id=1_gQ8sJok8oc9Wy845l-_B3jS10mex0G2")</f>
        <v>https://drive.google.com/open?id=1_gQ8sJok8oc9Wy845l-_B3jS10mex0G2</v>
      </c>
    </row>
    <row r="497">
      <c r="A497" s="6" t="str">
        <f>IFERROR(__xludf.DUMMYFUNCTION("""COMPUTED_VALUE"""),"akshay.gite@mitaoe.ac.in")</f>
        <v>akshay.gite@mitaoe.ac.in</v>
      </c>
      <c r="B497" s="6" t="str">
        <f>IFERROR(__xludf.DUMMYFUNCTION("""COMPUTED_VALUE"""),"YES")</f>
        <v>YES</v>
      </c>
      <c r="C497" s="6" t="str">
        <f>IFERROR(__xludf.DUMMYFUNCTION("""COMPUTED_VALUE"""),"YES")</f>
        <v>YES</v>
      </c>
      <c r="D497" s="49" t="str">
        <f>IFERROR(__xludf.DUMMYFUNCTION("""COMPUTED_VALUE"""),"https://drive.google.com/open?id=1wCF73slDXIRBkkvryqzNYHVk66Y0QIu7")</f>
        <v>https://drive.google.com/open?id=1wCF73slDXIRBkkvryqzNYHVk66Y0QIu7</v>
      </c>
      <c r="E497" s="49" t="str">
        <f>IFERROR(__xludf.DUMMYFUNCTION("""COMPUTED_VALUE"""),"https://drive.google.com/open?id=1xh1WEL4aAra6CnZQXdYuSp6ecDLtM1nz")</f>
        <v>https://drive.google.com/open?id=1xh1WEL4aAra6CnZQXdYuSp6ecDLtM1nz</v>
      </c>
    </row>
    <row r="498">
      <c r="A498" s="6" t="str">
        <f>IFERROR(__xludf.DUMMYFUNCTION("""COMPUTED_VALUE"""),"rbthange@mitaoe.ac.in")</f>
        <v>rbthange@mitaoe.ac.in</v>
      </c>
      <c r="B498" s="6" t="str">
        <f>IFERROR(__xludf.DUMMYFUNCTION("""COMPUTED_VALUE"""),"YES")</f>
        <v>YES</v>
      </c>
      <c r="C498" s="6" t="str">
        <f>IFERROR(__xludf.DUMMYFUNCTION("""COMPUTED_VALUE"""),"YES")</f>
        <v>YES</v>
      </c>
      <c r="D498" s="49" t="str">
        <f>IFERROR(__xludf.DUMMYFUNCTION("""COMPUTED_VALUE"""),"https://drive.google.com/open?id=1WemDsS_f3W_z5F0ebmxU0-3wbkL8bsbL")</f>
        <v>https://drive.google.com/open?id=1WemDsS_f3W_z5F0ebmxU0-3wbkL8bsbL</v>
      </c>
      <c r="E498" s="49" t="str">
        <f>IFERROR(__xludf.DUMMYFUNCTION("""COMPUTED_VALUE"""),"https://drive.google.com/open?id=1RHt_hgzub-lrbfZO7RPKehwKq8mKWeIK")</f>
        <v>https://drive.google.com/open?id=1RHt_hgzub-lrbfZO7RPKehwKq8mKWeIK</v>
      </c>
    </row>
    <row r="499">
      <c r="A499" s="6" t="str">
        <f>IFERROR(__xludf.DUMMYFUNCTION("""COMPUTED_VALUE"""),"pckulkarni@mitaoe.ac.in")</f>
        <v>pckulkarni@mitaoe.ac.in</v>
      </c>
      <c r="B499" s="6" t="str">
        <f>IFERROR(__xludf.DUMMYFUNCTION("""COMPUTED_VALUE"""),"YES")</f>
        <v>YES</v>
      </c>
      <c r="C499" s="6" t="str">
        <f>IFERROR(__xludf.DUMMYFUNCTION("""COMPUTED_VALUE"""),"YES")</f>
        <v>YES</v>
      </c>
      <c r="D499" s="49" t="str">
        <f>IFERROR(__xludf.DUMMYFUNCTION("""COMPUTED_VALUE"""),"https://drive.google.com/open?id=1qWG1PZuDe3cva4nlvQ_rlHZgMj5LpNmt")</f>
        <v>https://drive.google.com/open?id=1qWG1PZuDe3cva4nlvQ_rlHZgMj5LpNmt</v>
      </c>
      <c r="E499" s="49" t="str">
        <f>IFERROR(__xludf.DUMMYFUNCTION("""COMPUTED_VALUE"""),"https://drive.google.com/open?id=1kaFxKFqrtD7nuHJGuBwC9sOr87_lu_u8")</f>
        <v>https://drive.google.com/open?id=1kaFxKFqrtD7nuHJGuBwC9sOr87_lu_u8</v>
      </c>
    </row>
    <row r="500">
      <c r="A500" s="6" t="str">
        <f>IFERROR(__xludf.DUMMYFUNCTION("""COMPUTED_VALUE"""),"rohit.fulzele@mitaoe.ac.in")</f>
        <v>rohit.fulzele@mitaoe.ac.in</v>
      </c>
      <c r="B500" s="6" t="str">
        <f>IFERROR(__xludf.DUMMYFUNCTION("""COMPUTED_VALUE"""),"NO")</f>
        <v>NO</v>
      </c>
      <c r="C500" s="6" t="str">
        <f>IFERROR(__xludf.DUMMYFUNCTION("""COMPUTED_VALUE"""),"YES")</f>
        <v>YES</v>
      </c>
      <c r="D500" s="6"/>
      <c r="E500" s="49" t="str">
        <f>IFERROR(__xludf.DUMMYFUNCTION("""COMPUTED_VALUE"""),"https://drive.google.com/open?id=1nBMD32tmfePOJDnyQoedajjHEdw8b0Ti")</f>
        <v>https://drive.google.com/open?id=1nBMD32tmfePOJDnyQoedajjHEdw8b0Ti</v>
      </c>
    </row>
    <row r="501">
      <c r="A501" s="6" t="str">
        <f>IFERROR(__xludf.DUMMYFUNCTION("""COMPUTED_VALUE"""),"sumedhpatil@mitaoe.ac.in")</f>
        <v>sumedhpatil@mitaoe.ac.in</v>
      </c>
      <c r="B501" s="6" t="str">
        <f>IFERROR(__xludf.DUMMYFUNCTION("""COMPUTED_VALUE"""),"NO")</f>
        <v>NO</v>
      </c>
      <c r="C501" s="6" t="str">
        <f>IFERROR(__xludf.DUMMYFUNCTION("""COMPUTED_VALUE"""),"YES")</f>
        <v>YES</v>
      </c>
      <c r="D501" s="6"/>
      <c r="E501" s="49" t="str">
        <f>IFERROR(__xludf.DUMMYFUNCTION("""COMPUTED_VALUE"""),"https://drive.google.com/open?id=1mVo8dOO-1mzG5KLyEcikpVF_T229WEdF")</f>
        <v>https://drive.google.com/open?id=1mVo8dOO-1mzG5KLyEcikpVF_T229WEdF</v>
      </c>
    </row>
    <row r="502">
      <c r="A502" s="6" t="str">
        <f>IFERROR(__xludf.DUMMYFUNCTION("""COMPUTED_VALUE"""),"vsthakare@mitaoe.ac.in")</f>
        <v>vsthakare@mitaoe.ac.in</v>
      </c>
      <c r="B502" s="6" t="str">
        <f>IFERROR(__xludf.DUMMYFUNCTION("""COMPUTED_VALUE"""),"YES")</f>
        <v>YES</v>
      </c>
      <c r="C502" s="6" t="str">
        <f>IFERROR(__xludf.DUMMYFUNCTION("""COMPUTED_VALUE"""),"YES")</f>
        <v>YES</v>
      </c>
      <c r="D502" s="49" t="str">
        <f>IFERROR(__xludf.DUMMYFUNCTION("""COMPUTED_VALUE"""),"https://drive.google.com/open?id=1AMLc_znFKQIS3FFBJzWurdAnsSbD-gPp")</f>
        <v>https://drive.google.com/open?id=1AMLc_znFKQIS3FFBJzWurdAnsSbD-gPp</v>
      </c>
      <c r="E502" s="49" t="str">
        <f>IFERROR(__xludf.DUMMYFUNCTION("""COMPUTED_VALUE"""),"https://drive.google.com/open?id=1Mvfxs8W1yNlRMQ5SMWk3DlNgTPZhEoBq")</f>
        <v>https://drive.google.com/open?id=1Mvfxs8W1yNlRMQ5SMWk3DlNgTPZhEoBq</v>
      </c>
    </row>
    <row r="503">
      <c r="A503" s="6" t="str">
        <f>IFERROR(__xludf.DUMMYFUNCTION("""COMPUTED_VALUE"""),"ttraut@mitaoe.ac.in")</f>
        <v>ttraut@mitaoe.ac.in</v>
      </c>
      <c r="B503" s="6" t="str">
        <f>IFERROR(__xludf.DUMMYFUNCTION("""COMPUTED_VALUE"""),"YES")</f>
        <v>YES</v>
      </c>
      <c r="C503" s="6" t="str">
        <f>IFERROR(__xludf.DUMMYFUNCTION("""COMPUTED_VALUE"""),"YES")</f>
        <v>YES</v>
      </c>
      <c r="D503" s="49" t="str">
        <f>IFERROR(__xludf.DUMMYFUNCTION("""COMPUTED_VALUE"""),"https://drive.google.com/open?id=1I4-_KDB4xcGEuY82EE_IccTgImq9KKv9")</f>
        <v>https://drive.google.com/open?id=1I4-_KDB4xcGEuY82EE_IccTgImq9KKv9</v>
      </c>
      <c r="E503" s="49" t="str">
        <f>IFERROR(__xludf.DUMMYFUNCTION("""COMPUTED_VALUE"""),"https://drive.google.com/open?id=1OCBiGYj7EfAcxdQweEVI6ET6SnCAozNn")</f>
        <v>https://drive.google.com/open?id=1OCBiGYj7EfAcxdQweEVI6ET6SnCAozNn</v>
      </c>
    </row>
    <row r="504">
      <c r="A504" s="6" t="str">
        <f>IFERROR(__xludf.DUMMYFUNCTION("""COMPUTED_VALUE"""),"ritul.chirde@mitaoe.ac.in")</f>
        <v>ritul.chirde@mitaoe.ac.in</v>
      </c>
      <c r="B504" s="6" t="str">
        <f>IFERROR(__xludf.DUMMYFUNCTION("""COMPUTED_VALUE"""),"YES")</f>
        <v>YES</v>
      </c>
      <c r="C504" s="6" t="str">
        <f>IFERROR(__xludf.DUMMYFUNCTION("""COMPUTED_VALUE"""),"YES")</f>
        <v>YES</v>
      </c>
      <c r="D504" s="49" t="str">
        <f>IFERROR(__xludf.DUMMYFUNCTION("""COMPUTED_VALUE"""),"https://drive.google.com/open?id=1XL1mjpv3lAzTiVCNk2zn-_RoH0VlA_ia")</f>
        <v>https://drive.google.com/open?id=1XL1mjpv3lAzTiVCNk2zn-_RoH0VlA_ia</v>
      </c>
      <c r="E504" s="49" t="str">
        <f>IFERROR(__xludf.DUMMYFUNCTION("""COMPUTED_VALUE"""),"https://drive.google.com/open?id=1eP48q5eodXYoHbBv-d4OsaHqZxsCd3um")</f>
        <v>https://drive.google.com/open?id=1eP48q5eodXYoHbBv-d4OsaHqZxsCd3um</v>
      </c>
    </row>
    <row r="505">
      <c r="A505" s="6" t="str">
        <f>IFERROR(__xludf.DUMMYFUNCTION("""COMPUTED_VALUE"""),"pooja.khente@mitaoe.ac.in")</f>
        <v>pooja.khente@mitaoe.ac.in</v>
      </c>
      <c r="B505" s="6" t="str">
        <f>IFERROR(__xludf.DUMMYFUNCTION("""COMPUTED_VALUE"""),"YES")</f>
        <v>YES</v>
      </c>
      <c r="C505" s="6" t="str">
        <f>IFERROR(__xludf.DUMMYFUNCTION("""COMPUTED_VALUE"""),"YES")</f>
        <v>YES</v>
      </c>
      <c r="D505" s="49" t="str">
        <f>IFERROR(__xludf.DUMMYFUNCTION("""COMPUTED_VALUE"""),"https://drive.google.com/open?id=19snxIsh818-mNsDMThOlCVjfAYLx5bw1")</f>
        <v>https://drive.google.com/open?id=19snxIsh818-mNsDMThOlCVjfAYLx5bw1</v>
      </c>
      <c r="E505" s="49" t="str">
        <f>IFERROR(__xludf.DUMMYFUNCTION("""COMPUTED_VALUE"""),"https://drive.google.com/open?id=1XsVTrBeMNc8S1HFzxjzhUKsWy7sp6SOy")</f>
        <v>https://drive.google.com/open?id=1XsVTrBeMNc8S1HFzxjzhUKsWy7sp6SOy</v>
      </c>
    </row>
    <row r="506">
      <c r="A506" s="6" t="str">
        <f>IFERROR(__xludf.DUMMYFUNCTION("""COMPUTED_VALUE"""),"sspande@mitaoe.ac.in")</f>
        <v>sspande@mitaoe.ac.in</v>
      </c>
      <c r="B506" s="6" t="str">
        <f>IFERROR(__xludf.DUMMYFUNCTION("""COMPUTED_VALUE"""),"NO")</f>
        <v>NO</v>
      </c>
      <c r="C506" s="6" t="str">
        <f>IFERROR(__xludf.DUMMYFUNCTION("""COMPUTED_VALUE"""),"NO")</f>
        <v>NO</v>
      </c>
      <c r="D506" s="6"/>
      <c r="E506" s="6"/>
    </row>
    <row r="507">
      <c r="A507" s="6" t="str">
        <f>IFERROR(__xludf.DUMMYFUNCTION("""COMPUTED_VALUE"""),"sandeep.kulkarni@mitaoe.ac.in")</f>
        <v>sandeep.kulkarni@mitaoe.ac.in</v>
      </c>
      <c r="B507" s="6" t="str">
        <f>IFERROR(__xludf.DUMMYFUNCTION("""COMPUTED_VALUE"""),"YES")</f>
        <v>YES</v>
      </c>
      <c r="C507" s="6" t="str">
        <f>IFERROR(__xludf.DUMMYFUNCTION("""COMPUTED_VALUE"""),"YES")</f>
        <v>YES</v>
      </c>
      <c r="D507" s="49" t="str">
        <f>IFERROR(__xludf.DUMMYFUNCTION("""COMPUTED_VALUE"""),"https://drive.google.com/open?id=1Yxqjq2elWM5wivZeSt1dAh7I72seHAyU")</f>
        <v>https://drive.google.com/open?id=1Yxqjq2elWM5wivZeSt1dAh7I72seHAyU</v>
      </c>
      <c r="E507" s="49" t="str">
        <f>IFERROR(__xludf.DUMMYFUNCTION("""COMPUTED_VALUE"""),"https://drive.google.com/open?id=1LT0D8DLX5nesHAuocRV9il5uTQbaA3CW")</f>
        <v>https://drive.google.com/open?id=1LT0D8DLX5nesHAuocRV9il5uTQbaA3CW</v>
      </c>
    </row>
    <row r="508">
      <c r="A508" s="6" t="str">
        <f>IFERROR(__xludf.DUMMYFUNCTION("""COMPUTED_VALUE"""),"shriram.lahor@mitaoe.ac.in")</f>
        <v>shriram.lahor@mitaoe.ac.in</v>
      </c>
      <c r="B508" s="6" t="str">
        <f>IFERROR(__xludf.DUMMYFUNCTION("""COMPUTED_VALUE"""),"NO")</f>
        <v>NO</v>
      </c>
      <c r="C508" s="6" t="str">
        <f>IFERROR(__xludf.DUMMYFUNCTION("""COMPUTED_VALUE"""),"NO")</f>
        <v>NO</v>
      </c>
      <c r="D508" s="6"/>
      <c r="E508" s="6"/>
    </row>
    <row r="509">
      <c r="A509" s="6" t="str">
        <f>IFERROR(__xludf.DUMMYFUNCTION("""COMPUTED_VALUE"""),"arkedar@mitaoe.ac.in")</f>
        <v>arkedar@mitaoe.ac.in</v>
      </c>
      <c r="B509" s="6" t="str">
        <f>IFERROR(__xludf.DUMMYFUNCTION("""COMPUTED_VALUE"""),"YES")</f>
        <v>YES</v>
      </c>
      <c r="C509" s="6" t="str">
        <f>IFERROR(__xludf.DUMMYFUNCTION("""COMPUTED_VALUE"""),"YES")</f>
        <v>YES</v>
      </c>
      <c r="D509" s="49" t="str">
        <f>IFERROR(__xludf.DUMMYFUNCTION("""COMPUTED_VALUE"""),"https://drive.google.com/open?id=11a3SPI369N85e3D00QalDKK05PdCSGn_")</f>
        <v>https://drive.google.com/open?id=11a3SPI369N85e3D00QalDKK05PdCSGn_</v>
      </c>
      <c r="E509" s="49" t="str">
        <f>IFERROR(__xludf.DUMMYFUNCTION("""COMPUTED_VALUE"""),"https://drive.google.com/open?id=1GYWsOZbRf4ewxCbBN_V6ANL_upna8jR0")</f>
        <v>https://drive.google.com/open?id=1GYWsOZbRf4ewxCbBN_V6ANL_upna8jR0</v>
      </c>
    </row>
    <row r="510">
      <c r="A510" s="6" t="str">
        <f>IFERROR(__xludf.DUMMYFUNCTION("""COMPUTED_VALUE"""),"avishkarmali@mitaoe.ac.in")</f>
        <v>avishkarmali@mitaoe.ac.in</v>
      </c>
      <c r="B510" s="6" t="str">
        <f>IFERROR(__xludf.DUMMYFUNCTION("""COMPUTED_VALUE"""),"YES")</f>
        <v>YES</v>
      </c>
      <c r="C510" s="6" t="str">
        <f>IFERROR(__xludf.DUMMYFUNCTION("""COMPUTED_VALUE"""),"YES")</f>
        <v>YES</v>
      </c>
      <c r="D510" s="49" t="str">
        <f>IFERROR(__xludf.DUMMYFUNCTION("""COMPUTED_VALUE"""),"https://drive.google.com/open?id=17sjsXgD03qBBg59GC6vjST2ermwG9NAA")</f>
        <v>https://drive.google.com/open?id=17sjsXgD03qBBg59GC6vjST2ermwG9NAA</v>
      </c>
      <c r="E510" s="49" t="str">
        <f>IFERROR(__xludf.DUMMYFUNCTION("""COMPUTED_VALUE"""),"https://drive.google.com/open?id=1CIWO_WQbHAxh0C1VjHfvwkWPX2dXMVR1")</f>
        <v>https://drive.google.com/open?id=1CIWO_WQbHAxh0C1VjHfvwkWPX2dXMVR1</v>
      </c>
    </row>
    <row r="511">
      <c r="A511" s="6" t="str">
        <f>IFERROR(__xludf.DUMMYFUNCTION("""COMPUTED_VALUE"""),"sstupsakhare@mitaoe.ac.in")</f>
        <v>sstupsakhare@mitaoe.ac.in</v>
      </c>
      <c r="B511" s="6" t="str">
        <f>IFERROR(__xludf.DUMMYFUNCTION("""COMPUTED_VALUE"""),"YES")</f>
        <v>YES</v>
      </c>
      <c r="C511" s="6" t="str">
        <f>IFERROR(__xludf.DUMMYFUNCTION("""COMPUTED_VALUE"""),"YES")</f>
        <v>YES</v>
      </c>
      <c r="D511" s="49" t="str">
        <f>IFERROR(__xludf.DUMMYFUNCTION("""COMPUTED_VALUE"""),"https://drive.google.com/open?id=1zGimdMkpmklErqPzCxzze0R_yfnWQ0Gl")</f>
        <v>https://drive.google.com/open?id=1zGimdMkpmklErqPzCxzze0R_yfnWQ0Gl</v>
      </c>
      <c r="E511" s="49" t="str">
        <f>IFERROR(__xludf.DUMMYFUNCTION("""COMPUTED_VALUE"""),"https://drive.google.com/open?id=1D4FVnIHCNmpvbOCTu_KjsPn7bkhjFCjg")</f>
        <v>https://drive.google.com/open?id=1D4FVnIHCNmpvbOCTu_KjsPn7bkhjFCjg</v>
      </c>
    </row>
    <row r="512">
      <c r="A512" s="6" t="str">
        <f>IFERROR(__xludf.DUMMYFUNCTION("""COMPUTED_VALUE"""),"psgorwadkar@mitaoe.ac.in")</f>
        <v>psgorwadkar@mitaoe.ac.in</v>
      </c>
      <c r="B512" s="6" t="str">
        <f>IFERROR(__xludf.DUMMYFUNCTION("""COMPUTED_VALUE"""),"YES")</f>
        <v>YES</v>
      </c>
      <c r="C512" s="6" t="str">
        <f>IFERROR(__xludf.DUMMYFUNCTION("""COMPUTED_VALUE"""),"YES")</f>
        <v>YES</v>
      </c>
      <c r="D512" s="49" t="str">
        <f>IFERROR(__xludf.DUMMYFUNCTION("""COMPUTED_VALUE"""),"https://drive.google.com/open?id=1XTZymxOBht8inyfHn0ox1uMi4MOieblG")</f>
        <v>https://drive.google.com/open?id=1XTZymxOBht8inyfHn0ox1uMi4MOieblG</v>
      </c>
      <c r="E512" s="49" t="str">
        <f>IFERROR(__xludf.DUMMYFUNCTION("""COMPUTED_VALUE"""),"https://drive.google.com/open?id=19J_23mYegKx58M4JhS19v66UHiwK3xJN")</f>
        <v>https://drive.google.com/open?id=19J_23mYegKx58M4JhS19v66UHiwK3xJN</v>
      </c>
    </row>
    <row r="513">
      <c r="A513" s="6" t="str">
        <f>IFERROR(__xludf.DUMMYFUNCTION("""COMPUTED_VALUE"""),"assahane@mitaoe.ac.in")</f>
        <v>assahane@mitaoe.ac.in</v>
      </c>
      <c r="B513" s="6" t="str">
        <f>IFERROR(__xludf.DUMMYFUNCTION("""COMPUTED_VALUE"""),"NO")</f>
        <v>NO</v>
      </c>
      <c r="C513" s="6" t="str">
        <f>IFERROR(__xludf.DUMMYFUNCTION("""COMPUTED_VALUE"""),"NO")</f>
        <v>NO</v>
      </c>
      <c r="D513" s="6"/>
      <c r="E513" s="6"/>
    </row>
    <row r="514">
      <c r="A514" s="6" t="str">
        <f>IFERROR(__xludf.DUMMYFUNCTION("""COMPUTED_VALUE"""),"avbhaskar@mitaoe.ac.in")</f>
        <v>avbhaskar@mitaoe.ac.in</v>
      </c>
      <c r="B514" s="6" t="str">
        <f>IFERROR(__xludf.DUMMYFUNCTION("""COMPUTED_VALUE"""),"YES")</f>
        <v>YES</v>
      </c>
      <c r="C514" s="6" t="str">
        <f>IFERROR(__xludf.DUMMYFUNCTION("""COMPUTED_VALUE"""),"YES")</f>
        <v>YES</v>
      </c>
      <c r="D514" s="49" t="str">
        <f>IFERROR(__xludf.DUMMYFUNCTION("""COMPUTED_VALUE"""),"https://drive.google.com/open?id=1OyN3AlFrt8wG6PgGI1EGWChO6_AdaQPF")</f>
        <v>https://drive.google.com/open?id=1OyN3AlFrt8wG6PgGI1EGWChO6_AdaQPF</v>
      </c>
      <c r="E514" s="49" t="str">
        <f>IFERROR(__xludf.DUMMYFUNCTION("""COMPUTED_VALUE"""),"https://drive.google.com/open?id=1yArJh_3v-n8L2md8t0WxRcpwcCszccwK")</f>
        <v>https://drive.google.com/open?id=1yArJh_3v-n8L2md8t0WxRcpwcCszccwK</v>
      </c>
    </row>
    <row r="515">
      <c r="A515" s="6" t="str">
        <f>IFERROR(__xludf.DUMMYFUNCTION("""COMPUTED_VALUE"""),"rggosavi@mitaoe.ac.in")</f>
        <v>rggosavi@mitaoe.ac.in</v>
      </c>
      <c r="B515" s="6" t="str">
        <f>IFERROR(__xludf.DUMMYFUNCTION("""COMPUTED_VALUE"""),"YES")</f>
        <v>YES</v>
      </c>
      <c r="C515" s="6" t="str">
        <f>IFERROR(__xludf.DUMMYFUNCTION("""COMPUTED_VALUE"""),"YES")</f>
        <v>YES</v>
      </c>
      <c r="D515" s="49" t="str">
        <f>IFERROR(__xludf.DUMMYFUNCTION("""COMPUTED_VALUE"""),"https://drive.google.com/open?id=12-qo7r24_AnMQGFdA-OEdKbOHsNdF59f")</f>
        <v>https://drive.google.com/open?id=12-qo7r24_AnMQGFdA-OEdKbOHsNdF59f</v>
      </c>
      <c r="E515" s="49" t="str">
        <f>IFERROR(__xludf.DUMMYFUNCTION("""COMPUTED_VALUE"""),"https://drive.google.com/open?id=123QbI8gz74wyE2Zk0uAmgw1PuGYRV3ZZ")</f>
        <v>https://drive.google.com/open?id=123QbI8gz74wyE2Zk0uAmgw1PuGYRV3ZZ</v>
      </c>
    </row>
    <row r="516">
      <c r="A516" s="6" t="str">
        <f>IFERROR(__xludf.DUMMYFUNCTION("""COMPUTED_VALUE"""),"saugale@mitaoe.ac.in")</f>
        <v>saugale@mitaoe.ac.in</v>
      </c>
      <c r="B516" s="6" t="str">
        <f>IFERROR(__xludf.DUMMYFUNCTION("""COMPUTED_VALUE"""),"YES")</f>
        <v>YES</v>
      </c>
      <c r="C516" s="6" t="str">
        <f>IFERROR(__xludf.DUMMYFUNCTION("""COMPUTED_VALUE"""),"YES")</f>
        <v>YES</v>
      </c>
      <c r="D516" s="49" t="str">
        <f>IFERROR(__xludf.DUMMYFUNCTION("""COMPUTED_VALUE"""),"https://drive.google.com/open?id=1tHu1MXTL7xiM7QKKSYeURDLUhxotzRkB")</f>
        <v>https://drive.google.com/open?id=1tHu1MXTL7xiM7QKKSYeURDLUhxotzRkB</v>
      </c>
      <c r="E516" s="49" t="str">
        <f>IFERROR(__xludf.DUMMYFUNCTION("""COMPUTED_VALUE"""),"https://drive.google.com/open?id=1I0dPO1svTGR_Hl6DWjYJtyDvk4-zMbS-")</f>
        <v>https://drive.google.com/open?id=1I0dPO1svTGR_Hl6DWjYJtyDvk4-zMbS-</v>
      </c>
    </row>
    <row r="517">
      <c r="A517" s="6" t="str">
        <f>IFERROR(__xludf.DUMMYFUNCTION("""COMPUTED_VALUE"""),"roshani.raipure@mitaoe.ac.in")</f>
        <v>roshani.raipure@mitaoe.ac.in</v>
      </c>
      <c r="B517" s="6" t="str">
        <f>IFERROR(__xludf.DUMMYFUNCTION("""COMPUTED_VALUE"""),"YES")</f>
        <v>YES</v>
      </c>
      <c r="C517" s="6" t="str">
        <f>IFERROR(__xludf.DUMMYFUNCTION("""COMPUTED_VALUE"""),"YES")</f>
        <v>YES</v>
      </c>
      <c r="D517" s="49" t="str">
        <f>IFERROR(__xludf.DUMMYFUNCTION("""COMPUTED_VALUE"""),"https://drive.google.com/open?id=1nBmM318OjyGbjxc6irQ5AaXxrFJqk67Y")</f>
        <v>https://drive.google.com/open?id=1nBmM318OjyGbjxc6irQ5AaXxrFJqk67Y</v>
      </c>
      <c r="E517" s="49" t="str">
        <f>IFERROR(__xludf.DUMMYFUNCTION("""COMPUTED_VALUE"""),"https://drive.google.com/open?id=1WYOpbbS5Oee51eC90hICl9DBLTyV2x17")</f>
        <v>https://drive.google.com/open?id=1WYOpbbS5Oee51eC90hICl9DBLTyV2x17</v>
      </c>
    </row>
    <row r="518">
      <c r="A518" s="6" t="str">
        <f>IFERROR(__xludf.DUMMYFUNCTION("""COMPUTED_VALUE"""),"nvwadhe@mitaoe.ac.in")</f>
        <v>nvwadhe@mitaoe.ac.in</v>
      </c>
      <c r="B518" s="6" t="str">
        <f>IFERROR(__xludf.DUMMYFUNCTION("""COMPUTED_VALUE"""),"YES")</f>
        <v>YES</v>
      </c>
      <c r="C518" s="6" t="str">
        <f>IFERROR(__xludf.DUMMYFUNCTION("""COMPUTED_VALUE"""),"YES")</f>
        <v>YES</v>
      </c>
      <c r="D518" s="49" t="str">
        <f>IFERROR(__xludf.DUMMYFUNCTION("""COMPUTED_VALUE"""),"https://drive.google.com/open?id=1c1MDB9wDJryFSXvLGraANAq4VPMErIAG")</f>
        <v>https://drive.google.com/open?id=1c1MDB9wDJryFSXvLGraANAq4VPMErIAG</v>
      </c>
      <c r="E518" s="49" t="str">
        <f>IFERROR(__xludf.DUMMYFUNCTION("""COMPUTED_VALUE"""),"https://drive.google.com/open?id=1EwiCp3UyXj65QjsIUN9PuBWAc5n5hI1J")</f>
        <v>https://drive.google.com/open?id=1EwiCp3UyXj65QjsIUN9PuBWAc5n5hI1J</v>
      </c>
    </row>
    <row r="519">
      <c r="A519" s="6" t="str">
        <f>IFERROR(__xludf.DUMMYFUNCTION("""COMPUTED_VALUE"""),"dpgangurde@mitaoe.ac.in")</f>
        <v>dpgangurde@mitaoe.ac.in</v>
      </c>
      <c r="B519" s="6" t="str">
        <f>IFERROR(__xludf.DUMMYFUNCTION("""COMPUTED_VALUE"""),"YES")</f>
        <v>YES</v>
      </c>
      <c r="C519" s="6" t="str">
        <f>IFERROR(__xludf.DUMMYFUNCTION("""COMPUTED_VALUE"""),"YES")</f>
        <v>YES</v>
      </c>
      <c r="D519" s="49" t="str">
        <f>IFERROR(__xludf.DUMMYFUNCTION("""COMPUTED_VALUE"""),"https://drive.google.com/open?id=1linTnunzzOL3xuHwHnR7qQrhlgF0Bhox")</f>
        <v>https://drive.google.com/open?id=1linTnunzzOL3xuHwHnR7qQrhlgF0Bhox</v>
      </c>
      <c r="E519" s="49" t="str">
        <f>IFERROR(__xludf.DUMMYFUNCTION("""COMPUTED_VALUE"""),"https://drive.google.com/open?id=1d78IvU2vKTzggziYn41ZQJGJL0YQD_SV")</f>
        <v>https://drive.google.com/open?id=1d78IvU2vKTzggziYn41ZQJGJL0YQD_SV</v>
      </c>
    </row>
    <row r="520">
      <c r="A520" s="6" t="str">
        <f>IFERROR(__xludf.DUMMYFUNCTION("""COMPUTED_VALUE"""),"aasangolkar@mitaoe.ac.in")</f>
        <v>aasangolkar@mitaoe.ac.in</v>
      </c>
      <c r="B520" s="6" t="str">
        <f>IFERROR(__xludf.DUMMYFUNCTION("""COMPUTED_VALUE"""),"YES")</f>
        <v>YES</v>
      </c>
      <c r="C520" s="6" t="str">
        <f>IFERROR(__xludf.DUMMYFUNCTION("""COMPUTED_VALUE"""),"YES")</f>
        <v>YES</v>
      </c>
      <c r="D520" s="49" t="str">
        <f>IFERROR(__xludf.DUMMYFUNCTION("""COMPUTED_VALUE"""),"https://drive.google.com/open?id=18TZq4VYlwt46ZKhDYn6TJe9r_dv0Nf92")</f>
        <v>https://drive.google.com/open?id=18TZq4VYlwt46ZKhDYn6TJe9r_dv0Nf92</v>
      </c>
      <c r="E520" s="49" t="str">
        <f>IFERROR(__xludf.DUMMYFUNCTION("""COMPUTED_VALUE"""),"https://drive.google.com/open?id=1vj43-yUZce7QlgnLGt0EQgyCRyhUh0Pe")</f>
        <v>https://drive.google.com/open?id=1vj43-yUZce7QlgnLGt0EQgyCRyhUh0Pe</v>
      </c>
    </row>
    <row r="521">
      <c r="A521" s="6" t="str">
        <f>IFERROR(__xludf.DUMMYFUNCTION("""COMPUTED_VALUE"""),"obbilure@mitaoe.ac.in")</f>
        <v>obbilure@mitaoe.ac.in</v>
      </c>
      <c r="B521" s="6" t="str">
        <f>IFERROR(__xludf.DUMMYFUNCTION("""COMPUTED_VALUE"""),"YES")</f>
        <v>YES</v>
      </c>
      <c r="C521" s="6" t="str">
        <f>IFERROR(__xludf.DUMMYFUNCTION("""COMPUTED_VALUE"""),"YES")</f>
        <v>YES</v>
      </c>
      <c r="D521" s="49" t="str">
        <f>IFERROR(__xludf.DUMMYFUNCTION("""COMPUTED_VALUE"""),"https://drive.google.com/open?id=19JRf9KeXNoxGX5Qlb0ejoY995TyG7Tfr")</f>
        <v>https://drive.google.com/open?id=19JRf9KeXNoxGX5Qlb0ejoY995TyG7Tfr</v>
      </c>
      <c r="E521" s="49" t="str">
        <f>IFERROR(__xludf.DUMMYFUNCTION("""COMPUTED_VALUE"""),"https://drive.google.com/open?id=1ShbaN6VQrMKMPtREbNDHWb2CxLtnAzeN")</f>
        <v>https://drive.google.com/open?id=1ShbaN6VQrMKMPtREbNDHWb2CxLtnAzeN</v>
      </c>
    </row>
    <row r="522">
      <c r="A522" s="6" t="str">
        <f>IFERROR(__xludf.DUMMYFUNCTION("""COMPUTED_VALUE"""),"ssparve@mitaoe.ac.in")</f>
        <v>ssparve@mitaoe.ac.in</v>
      </c>
      <c r="B522" s="6" t="str">
        <f>IFERROR(__xludf.DUMMYFUNCTION("""COMPUTED_VALUE"""),"YES")</f>
        <v>YES</v>
      </c>
      <c r="C522" s="6" t="str">
        <f>IFERROR(__xludf.DUMMYFUNCTION("""COMPUTED_VALUE"""),"YES")</f>
        <v>YES</v>
      </c>
      <c r="D522" s="49" t="str">
        <f>IFERROR(__xludf.DUMMYFUNCTION("""COMPUTED_VALUE"""),"https://drive.google.com/open?id=1kesXN1vxjlrxztQ80aSpcKuxsOTmXaV_")</f>
        <v>https://drive.google.com/open?id=1kesXN1vxjlrxztQ80aSpcKuxsOTmXaV_</v>
      </c>
      <c r="E522" s="49" t="str">
        <f>IFERROR(__xludf.DUMMYFUNCTION("""COMPUTED_VALUE"""),"https://drive.google.com/open?id=1JpqLiwfu4YWxM1QQ7DSCAs1tMJdi0x3d")</f>
        <v>https://drive.google.com/open?id=1JpqLiwfu4YWxM1QQ7DSCAs1tMJdi0x3d</v>
      </c>
    </row>
    <row r="523">
      <c r="A523" s="6" t="str">
        <f>IFERROR(__xludf.DUMMYFUNCTION("""COMPUTED_VALUE"""),"rohan.patil@mitaoe.ac.in")</f>
        <v>rohan.patil@mitaoe.ac.in</v>
      </c>
      <c r="B523" s="6" t="str">
        <f>IFERROR(__xludf.DUMMYFUNCTION("""COMPUTED_VALUE"""),"NO")</f>
        <v>NO</v>
      </c>
      <c r="C523" s="6" t="str">
        <f>IFERROR(__xludf.DUMMYFUNCTION("""COMPUTED_VALUE"""),"YES")</f>
        <v>YES</v>
      </c>
      <c r="D523" s="6"/>
      <c r="E523" s="49" t="str">
        <f>IFERROR(__xludf.DUMMYFUNCTION("""COMPUTED_VALUE"""),"https://drive.google.com/open?id=1Of7tqKnbLegStA6fKouKXHVk6fwTXBK6")</f>
        <v>https://drive.google.com/open?id=1Of7tqKnbLegStA6fKouKXHVk6fwTXBK6</v>
      </c>
    </row>
    <row r="524">
      <c r="A524" s="6" t="str">
        <f>IFERROR(__xludf.DUMMYFUNCTION("""COMPUTED_VALUE"""),"aavaikar@mitaoe.ac.in")</f>
        <v>aavaikar@mitaoe.ac.in</v>
      </c>
      <c r="B524" s="6" t="str">
        <f>IFERROR(__xludf.DUMMYFUNCTION("""COMPUTED_VALUE"""),"YES")</f>
        <v>YES</v>
      </c>
      <c r="C524" s="6" t="str">
        <f>IFERROR(__xludf.DUMMYFUNCTION("""COMPUTED_VALUE"""),"YES")</f>
        <v>YES</v>
      </c>
      <c r="D524" s="49" t="str">
        <f>IFERROR(__xludf.DUMMYFUNCTION("""COMPUTED_VALUE"""),"https://drive.google.com/open?id=1U9UpwzfJ9NEqKw3nu8aPwIFL0KeFTy_9")</f>
        <v>https://drive.google.com/open?id=1U9UpwzfJ9NEqKw3nu8aPwIFL0KeFTy_9</v>
      </c>
      <c r="E524" s="49" t="str">
        <f>IFERROR(__xludf.DUMMYFUNCTION("""COMPUTED_VALUE"""),"https://drive.google.com/open?id=1up9p8TVXDqO9eFg7SjXk18O9A7kIKVUr")</f>
        <v>https://drive.google.com/open?id=1up9p8TVXDqO9eFg7SjXk18O9A7kIKVUr</v>
      </c>
    </row>
    <row r="525">
      <c r="A525" s="6" t="str">
        <f>IFERROR(__xludf.DUMMYFUNCTION("""COMPUTED_VALUE"""),"ytmane@mitaoe.ac.in")</f>
        <v>ytmane@mitaoe.ac.in</v>
      </c>
      <c r="B525" s="6" t="str">
        <f>IFERROR(__xludf.DUMMYFUNCTION("""COMPUTED_VALUE"""),"YES")</f>
        <v>YES</v>
      </c>
      <c r="C525" s="6" t="str">
        <f>IFERROR(__xludf.DUMMYFUNCTION("""COMPUTED_VALUE"""),"YES")</f>
        <v>YES</v>
      </c>
      <c r="D525" s="49" t="str">
        <f>IFERROR(__xludf.DUMMYFUNCTION("""COMPUTED_VALUE"""),"https://drive.google.com/open?id=1NkV_4BscAxPbDbfLeIEoLOkNjRhL8_L4")</f>
        <v>https://drive.google.com/open?id=1NkV_4BscAxPbDbfLeIEoLOkNjRhL8_L4</v>
      </c>
      <c r="E525" s="49" t="str">
        <f>IFERROR(__xludf.DUMMYFUNCTION("""COMPUTED_VALUE"""),"https://drive.google.com/open?id=1wYp1c7NnLpffLusH_D3BMYS5GfeKxmKy")</f>
        <v>https://drive.google.com/open?id=1wYp1c7NnLpffLusH_D3BMYS5GfeKxmKy</v>
      </c>
    </row>
    <row r="526">
      <c r="A526" s="6" t="str">
        <f>IFERROR(__xludf.DUMMYFUNCTION("""COMPUTED_VALUE"""),"vaishnavi.gudaghe@mitaoe.ac.in")</f>
        <v>vaishnavi.gudaghe@mitaoe.ac.in</v>
      </c>
      <c r="B526" s="6" t="str">
        <f>IFERROR(__xludf.DUMMYFUNCTION("""COMPUTED_VALUE"""),"YES")</f>
        <v>YES</v>
      </c>
      <c r="C526" s="6" t="str">
        <f>IFERROR(__xludf.DUMMYFUNCTION("""COMPUTED_VALUE"""),"YES")</f>
        <v>YES</v>
      </c>
      <c r="D526" s="49" t="str">
        <f>IFERROR(__xludf.DUMMYFUNCTION("""COMPUTED_VALUE"""),"https://drive.google.com/open?id=1VusC9sOHePJK294SEizCUE1B7CCLlBcZ")</f>
        <v>https://drive.google.com/open?id=1VusC9sOHePJK294SEizCUE1B7CCLlBcZ</v>
      </c>
      <c r="E526" s="49" t="str">
        <f>IFERROR(__xludf.DUMMYFUNCTION("""COMPUTED_VALUE"""),"https://drive.google.com/open?id=1wIpZmlFgEmWZ8NSxtSo_G8o3tD1P0zAQ")</f>
        <v>https://drive.google.com/open?id=1wIpZmlFgEmWZ8NSxtSo_G8o3tD1P0zAQ</v>
      </c>
    </row>
    <row r="527">
      <c r="A527" s="6" t="str">
        <f>IFERROR(__xludf.DUMMYFUNCTION("""COMPUTED_VALUE"""),"svombale@mitaoe.ac.in")</f>
        <v>svombale@mitaoe.ac.in</v>
      </c>
      <c r="B527" s="6" t="str">
        <f>IFERROR(__xludf.DUMMYFUNCTION("""COMPUTED_VALUE"""),"YES")</f>
        <v>YES</v>
      </c>
      <c r="C527" s="6" t="str">
        <f>IFERROR(__xludf.DUMMYFUNCTION("""COMPUTED_VALUE"""),"YES")</f>
        <v>YES</v>
      </c>
      <c r="D527" s="49" t="str">
        <f>IFERROR(__xludf.DUMMYFUNCTION("""COMPUTED_VALUE"""),"https://drive.google.com/open?id=1rgbh_PUZTOo4hezsx7FOCFUO5pVwXwQC")</f>
        <v>https://drive.google.com/open?id=1rgbh_PUZTOo4hezsx7FOCFUO5pVwXwQC</v>
      </c>
      <c r="E527" s="49" t="str">
        <f>IFERROR(__xludf.DUMMYFUNCTION("""COMPUTED_VALUE"""),"https://drive.google.com/open?id=1WNxkm9kREgwDOluygj7Eakhqc2b5mmg-")</f>
        <v>https://drive.google.com/open?id=1WNxkm9kREgwDOluygj7Eakhqc2b5mmg-</v>
      </c>
    </row>
    <row r="528">
      <c r="A528" s="6" t="str">
        <f>IFERROR(__xludf.DUMMYFUNCTION("""COMPUTED_VALUE"""),"mangesh.bisen@mitaoe.ac.in")</f>
        <v>mangesh.bisen@mitaoe.ac.in</v>
      </c>
      <c r="B528" s="6" t="str">
        <f>IFERROR(__xludf.DUMMYFUNCTION("""COMPUTED_VALUE"""),"NO")</f>
        <v>NO</v>
      </c>
      <c r="C528" s="6" t="str">
        <f>IFERROR(__xludf.DUMMYFUNCTION("""COMPUTED_VALUE"""),"NO")</f>
        <v>NO</v>
      </c>
      <c r="D528" s="6"/>
      <c r="E528" s="6"/>
    </row>
    <row r="529">
      <c r="A529" s="6" t="str">
        <f>IFERROR(__xludf.DUMMYFUNCTION("""COMPUTED_VALUE"""),"rmwaykos@mitaoe.ac.in")</f>
        <v>rmwaykos@mitaoe.ac.in</v>
      </c>
      <c r="B529" s="6" t="str">
        <f>IFERROR(__xludf.DUMMYFUNCTION("""COMPUTED_VALUE"""),"YES")</f>
        <v>YES</v>
      </c>
      <c r="C529" s="6" t="str">
        <f>IFERROR(__xludf.DUMMYFUNCTION("""COMPUTED_VALUE"""),"YES")</f>
        <v>YES</v>
      </c>
      <c r="D529" s="49" t="str">
        <f>IFERROR(__xludf.DUMMYFUNCTION("""COMPUTED_VALUE"""),"https://drive.google.com/open?id=1Xspw5MXg-zuhxM8sxFwNSAC8nijDVPO9")</f>
        <v>https://drive.google.com/open?id=1Xspw5MXg-zuhxM8sxFwNSAC8nijDVPO9</v>
      </c>
      <c r="E529" s="49" t="str">
        <f>IFERROR(__xludf.DUMMYFUNCTION("""COMPUTED_VALUE"""),"https://drive.google.com/open?id=1vCNdT6ophAGE5XBtbY37zbacV2VEGBsR")</f>
        <v>https://drive.google.com/open?id=1vCNdT6ophAGE5XBtbY37zbacV2VEGBsR</v>
      </c>
    </row>
    <row r="530">
      <c r="A530" s="6" t="str">
        <f>IFERROR(__xludf.DUMMYFUNCTION("""COMPUTED_VALUE"""),"srnashikkar@mitaoe.ac.in")</f>
        <v>srnashikkar@mitaoe.ac.in</v>
      </c>
      <c r="B530" s="6" t="str">
        <f>IFERROR(__xludf.DUMMYFUNCTION("""COMPUTED_VALUE"""),"YES")</f>
        <v>YES</v>
      </c>
      <c r="C530" s="6" t="str">
        <f>IFERROR(__xludf.DUMMYFUNCTION("""COMPUTED_VALUE"""),"YES")</f>
        <v>YES</v>
      </c>
      <c r="D530" s="49" t="str">
        <f>IFERROR(__xludf.DUMMYFUNCTION("""COMPUTED_VALUE"""),"https://drive.google.com/open?id=1FQnvtCxfNowL98vzsgsSr9L7oD-_aNbr")</f>
        <v>https://drive.google.com/open?id=1FQnvtCxfNowL98vzsgsSr9L7oD-_aNbr</v>
      </c>
      <c r="E530" s="49" t="str">
        <f>IFERROR(__xludf.DUMMYFUNCTION("""COMPUTED_VALUE"""),"https://drive.google.com/open?id=1PWbq6Pi0gyw2YPJ_tRFQVvB1WapiyBtk")</f>
        <v>https://drive.google.com/open?id=1PWbq6Pi0gyw2YPJ_tRFQVvB1WapiyBtk</v>
      </c>
    </row>
    <row r="531">
      <c r="A531" s="6" t="str">
        <f>IFERROR(__xludf.DUMMYFUNCTION("""COMPUTED_VALUE"""),"akgandhewar@mitaoe.ac.in")</f>
        <v>akgandhewar@mitaoe.ac.in</v>
      </c>
      <c r="B531" s="6" t="str">
        <f>IFERROR(__xludf.DUMMYFUNCTION("""COMPUTED_VALUE"""),"YES")</f>
        <v>YES</v>
      </c>
      <c r="C531" s="6" t="str">
        <f>IFERROR(__xludf.DUMMYFUNCTION("""COMPUTED_VALUE"""),"YES")</f>
        <v>YES</v>
      </c>
      <c r="D531" s="49" t="str">
        <f>IFERROR(__xludf.DUMMYFUNCTION("""COMPUTED_VALUE"""),"https://drive.google.com/open?id=1z55-zENiMbWb69l_XMyzyQ8mnOdH1Di6")</f>
        <v>https://drive.google.com/open?id=1z55-zENiMbWb69l_XMyzyQ8mnOdH1Di6</v>
      </c>
      <c r="E531" s="49" t="str">
        <f>IFERROR(__xludf.DUMMYFUNCTION("""COMPUTED_VALUE"""),"https://drive.google.com/open?id=1erTsjEklpxh9QAHCkpQNL09ndrxICxbF")</f>
        <v>https://drive.google.com/open?id=1erTsjEklpxh9QAHCkpQNL09ndrxICxbF</v>
      </c>
    </row>
    <row r="532">
      <c r="A532" s="6" t="str">
        <f>IFERROR(__xludf.DUMMYFUNCTION("""COMPUTED_VALUE"""),"omkar.gatlewar@mitaoe.ac.in")</f>
        <v>omkar.gatlewar@mitaoe.ac.in</v>
      </c>
      <c r="B532" s="6" t="str">
        <f>IFERROR(__xludf.DUMMYFUNCTION("""COMPUTED_VALUE"""),"YES")</f>
        <v>YES</v>
      </c>
      <c r="C532" s="6" t="str">
        <f>IFERROR(__xludf.DUMMYFUNCTION("""COMPUTED_VALUE"""),"YES")</f>
        <v>YES</v>
      </c>
      <c r="D532" s="49" t="str">
        <f>IFERROR(__xludf.DUMMYFUNCTION("""COMPUTED_VALUE"""),"https://drive.google.com/open?id=1PIU4AI-RlT2AHrVkANzljPGq0bOWnQIi")</f>
        <v>https://drive.google.com/open?id=1PIU4AI-RlT2AHrVkANzljPGq0bOWnQIi</v>
      </c>
      <c r="E532" s="49" t="str">
        <f>IFERROR(__xludf.DUMMYFUNCTION("""COMPUTED_VALUE"""),"https://drive.google.com/open?id=1_lrqOW4gInYorQce5xUXDHlSwCoMBGzc")</f>
        <v>https://drive.google.com/open?id=1_lrqOW4gInYorQce5xUXDHlSwCoMBGzc</v>
      </c>
    </row>
    <row r="533">
      <c r="A533" s="6" t="str">
        <f>IFERROR(__xludf.DUMMYFUNCTION("""COMPUTED_VALUE"""),"ampawar@mitaoe.ac.in")</f>
        <v>ampawar@mitaoe.ac.in</v>
      </c>
      <c r="B533" s="6" t="str">
        <f>IFERROR(__xludf.DUMMYFUNCTION("""COMPUTED_VALUE"""),"YES")</f>
        <v>YES</v>
      </c>
      <c r="C533" s="6" t="str">
        <f>IFERROR(__xludf.DUMMYFUNCTION("""COMPUTED_VALUE"""),"YES")</f>
        <v>YES</v>
      </c>
      <c r="D533" s="49" t="str">
        <f>IFERROR(__xludf.DUMMYFUNCTION("""COMPUTED_VALUE"""),"https://drive.google.com/open?id=17rlmgu3LGmU0Kcp1oWQl_BhgQ0XsyQ9I")</f>
        <v>https://drive.google.com/open?id=17rlmgu3LGmU0Kcp1oWQl_BhgQ0XsyQ9I</v>
      </c>
      <c r="E533" s="49" t="str">
        <f>IFERROR(__xludf.DUMMYFUNCTION("""COMPUTED_VALUE"""),"https://drive.google.com/open?id=1BtGm9iD0uG1Zz6_24IxPexlQ-_5oRjPd")</f>
        <v>https://drive.google.com/open?id=1BtGm9iD0uG1Zz6_24IxPexlQ-_5oRjPd</v>
      </c>
    </row>
    <row r="534">
      <c r="A534" s="6" t="str">
        <f>IFERROR(__xludf.DUMMYFUNCTION("""COMPUTED_VALUE"""),"abbhise@mitaoe.ac.in")</f>
        <v>abbhise@mitaoe.ac.in</v>
      </c>
      <c r="B534" s="6" t="str">
        <f>IFERROR(__xludf.DUMMYFUNCTION("""COMPUTED_VALUE"""),"YES")</f>
        <v>YES</v>
      </c>
      <c r="C534" s="6" t="str">
        <f>IFERROR(__xludf.DUMMYFUNCTION("""COMPUTED_VALUE"""),"YES")</f>
        <v>YES</v>
      </c>
      <c r="D534" s="49" t="str">
        <f>IFERROR(__xludf.DUMMYFUNCTION("""COMPUTED_VALUE"""),"https://drive.google.com/open?id=14zGWj_UHsA2mowC0ZGrCMfqORh-NbaAC")</f>
        <v>https://drive.google.com/open?id=14zGWj_UHsA2mowC0ZGrCMfqORh-NbaAC</v>
      </c>
      <c r="E534" s="49" t="str">
        <f>IFERROR(__xludf.DUMMYFUNCTION("""COMPUTED_VALUE"""),"https://drive.google.com/open?id=1IZ7EDXTMw76uS5ORjtcjdNpSAu5UMalR")</f>
        <v>https://drive.google.com/open?id=1IZ7EDXTMw76uS5ORjtcjdNpSAu5UMalR</v>
      </c>
    </row>
    <row r="535">
      <c r="A535" s="6" t="str">
        <f>IFERROR(__xludf.DUMMYFUNCTION("""COMPUTED_VALUE"""),"vvnagolkar@mitaoe.ac.in")</f>
        <v>vvnagolkar@mitaoe.ac.in</v>
      </c>
      <c r="B535" s="6" t="str">
        <f>IFERROR(__xludf.DUMMYFUNCTION("""COMPUTED_VALUE"""),"YES")</f>
        <v>YES</v>
      </c>
      <c r="C535" s="6" t="str">
        <f>IFERROR(__xludf.DUMMYFUNCTION("""COMPUTED_VALUE"""),"YES")</f>
        <v>YES</v>
      </c>
      <c r="D535" s="49" t="str">
        <f>IFERROR(__xludf.DUMMYFUNCTION("""COMPUTED_VALUE"""),"https://drive.google.com/open?id=122b5RedvQn0Ud0QqCOvqLbThGDYTaYoz")</f>
        <v>https://drive.google.com/open?id=122b5RedvQn0Ud0QqCOvqLbThGDYTaYoz</v>
      </c>
      <c r="E535" s="49" t="str">
        <f>IFERROR(__xludf.DUMMYFUNCTION("""COMPUTED_VALUE"""),"https://drive.google.com/open?id=1BBRhpQ6dtdjzKMeWPWzHoh3QoOhbUB3l")</f>
        <v>https://drive.google.com/open?id=1BBRhpQ6dtdjzKMeWPWzHoh3QoOhbUB3l</v>
      </c>
    </row>
    <row r="536">
      <c r="A536" s="6" t="str">
        <f>IFERROR(__xludf.DUMMYFUNCTION("""COMPUTED_VALUE"""),"rsnikam@mitaoe.ac.in")</f>
        <v>rsnikam@mitaoe.ac.in</v>
      </c>
      <c r="B536" s="6" t="str">
        <f>IFERROR(__xludf.DUMMYFUNCTION("""COMPUTED_VALUE"""),"NO")</f>
        <v>NO</v>
      </c>
      <c r="C536" s="6" t="str">
        <f>IFERROR(__xludf.DUMMYFUNCTION("""COMPUTED_VALUE"""),"NO")</f>
        <v>NO</v>
      </c>
      <c r="D536" s="6"/>
      <c r="E536" s="6"/>
    </row>
    <row r="537">
      <c r="A537" s="6" t="str">
        <f>IFERROR(__xludf.DUMMYFUNCTION("""COMPUTED_VALUE"""),"ssbharambe@mitaoe.ac.in")</f>
        <v>ssbharambe@mitaoe.ac.in</v>
      </c>
      <c r="B537" s="6" t="str">
        <f>IFERROR(__xludf.DUMMYFUNCTION("""COMPUTED_VALUE"""),"YES")</f>
        <v>YES</v>
      </c>
      <c r="C537" s="6" t="str">
        <f>IFERROR(__xludf.DUMMYFUNCTION("""COMPUTED_VALUE"""),"YES")</f>
        <v>YES</v>
      </c>
      <c r="D537" s="49" t="str">
        <f>IFERROR(__xludf.DUMMYFUNCTION("""COMPUTED_VALUE"""),"https://drive.google.com/open?id=1sr5CXrMclONZ2E5v6rnafu7oJNCnFyXC")</f>
        <v>https://drive.google.com/open?id=1sr5CXrMclONZ2E5v6rnafu7oJNCnFyXC</v>
      </c>
      <c r="E537" s="49" t="str">
        <f>IFERROR(__xludf.DUMMYFUNCTION("""COMPUTED_VALUE"""),"https://drive.google.com/open?id=1_9wn5epCXkfmuRKnCL3wyJ8H-puOZq5P")</f>
        <v>https://drive.google.com/open?id=1_9wn5epCXkfmuRKnCL3wyJ8H-puOZq5P</v>
      </c>
    </row>
    <row r="538">
      <c r="A538" s="6" t="str">
        <f>IFERROR(__xludf.DUMMYFUNCTION("""COMPUTED_VALUE"""),"mschavan@mitaoe.ac.in")</f>
        <v>mschavan@mitaoe.ac.in</v>
      </c>
      <c r="B538" s="6" t="str">
        <f>IFERROR(__xludf.DUMMYFUNCTION("""COMPUTED_VALUE"""),"YES")</f>
        <v>YES</v>
      </c>
      <c r="C538" s="6" t="str">
        <f>IFERROR(__xludf.DUMMYFUNCTION("""COMPUTED_VALUE"""),"YES")</f>
        <v>YES</v>
      </c>
      <c r="D538" s="49" t="str">
        <f>IFERROR(__xludf.DUMMYFUNCTION("""COMPUTED_VALUE"""),"https://drive.google.com/open?id=15eD3mHeuKAwg7YC0Mk0Dzr13Jqn82Kp9")</f>
        <v>https://drive.google.com/open?id=15eD3mHeuKAwg7YC0Mk0Dzr13Jqn82Kp9</v>
      </c>
      <c r="E538" s="49" t="str">
        <f>IFERROR(__xludf.DUMMYFUNCTION("""COMPUTED_VALUE"""),"https://drive.google.com/open?id=1GeVudKjIPUasGKc0QpYTtqeFIV_YI0df")</f>
        <v>https://drive.google.com/open?id=1GeVudKjIPUasGKc0QpYTtqeFIV_YI0df</v>
      </c>
    </row>
    <row r="539">
      <c r="A539" s="6" t="str">
        <f>IFERROR(__xludf.DUMMYFUNCTION("""COMPUTED_VALUE"""),"vtpatil@mitaoe.ac.in")</f>
        <v>vtpatil@mitaoe.ac.in</v>
      </c>
      <c r="B539" s="6" t="str">
        <f>IFERROR(__xludf.DUMMYFUNCTION("""COMPUTED_VALUE"""),"YES")</f>
        <v>YES</v>
      </c>
      <c r="C539" s="6" t="str">
        <f>IFERROR(__xludf.DUMMYFUNCTION("""COMPUTED_VALUE"""),"YES")</f>
        <v>YES</v>
      </c>
      <c r="D539" s="49" t="str">
        <f>IFERROR(__xludf.DUMMYFUNCTION("""COMPUTED_VALUE"""),"https://drive.google.com/open?id=1rkb0kwT5Q7NR7005AqnyK04lQWlVQRNo")</f>
        <v>https://drive.google.com/open?id=1rkb0kwT5Q7NR7005AqnyK04lQWlVQRNo</v>
      </c>
      <c r="E539" s="49" t="str">
        <f>IFERROR(__xludf.DUMMYFUNCTION("""COMPUTED_VALUE"""),"https://drive.google.com/open?id=1Aj7K6ZbXbU8B2B__MwLiwxa9-Pz1lnGZ")</f>
        <v>https://drive.google.com/open?id=1Aj7K6ZbXbU8B2B__MwLiwxa9-Pz1lnGZ</v>
      </c>
    </row>
    <row r="540">
      <c r="A540" s="6" t="str">
        <f>IFERROR(__xludf.DUMMYFUNCTION("""COMPUTED_VALUE"""),"dntelang@mitaoe.ac.in")</f>
        <v>dntelang@mitaoe.ac.in</v>
      </c>
      <c r="B540" s="6" t="str">
        <f>IFERROR(__xludf.DUMMYFUNCTION("""COMPUTED_VALUE"""),"NO")</f>
        <v>NO</v>
      </c>
      <c r="C540" s="6" t="str">
        <f>IFERROR(__xludf.DUMMYFUNCTION("""COMPUTED_VALUE"""),"NO")</f>
        <v>NO</v>
      </c>
      <c r="D540" s="6"/>
      <c r="E540" s="6"/>
    </row>
    <row r="541">
      <c r="A541" s="6" t="str">
        <f>IFERROR(__xludf.DUMMYFUNCTION("""COMPUTED_VALUE"""),"prasad.wakchaure@mitaoe.ac.in")</f>
        <v>prasad.wakchaure@mitaoe.ac.in</v>
      </c>
      <c r="B541" s="6" t="str">
        <f>IFERROR(__xludf.DUMMYFUNCTION("""COMPUTED_VALUE"""),"NO")</f>
        <v>NO</v>
      </c>
      <c r="C541" s="6" t="str">
        <f>IFERROR(__xludf.DUMMYFUNCTION("""COMPUTED_VALUE"""),"NO")</f>
        <v>NO</v>
      </c>
      <c r="D541" s="6"/>
      <c r="E541" s="49" t="str">
        <f>IFERROR(__xludf.DUMMYFUNCTION("""COMPUTED_VALUE"""),"https://drive.google.com/open?id=1g8OgMlBOzswkf2TUxI0HnyoGb4OcWPOv")</f>
        <v>https://drive.google.com/open?id=1g8OgMlBOzswkf2TUxI0HnyoGb4OcWPOv</v>
      </c>
    </row>
    <row r="542">
      <c r="A542" s="6" t="str">
        <f>IFERROR(__xludf.DUMMYFUNCTION("""COMPUTED_VALUE"""),"amin.sayyed@mitaoe.ac.in")</f>
        <v>amin.sayyed@mitaoe.ac.in</v>
      </c>
      <c r="B542" s="6" t="str">
        <f>IFERROR(__xludf.DUMMYFUNCTION("""COMPUTED_VALUE"""),"YES")</f>
        <v>YES</v>
      </c>
      <c r="C542" s="6" t="str">
        <f>IFERROR(__xludf.DUMMYFUNCTION("""COMPUTED_VALUE"""),"YES")</f>
        <v>YES</v>
      </c>
      <c r="D542" s="49" t="str">
        <f>IFERROR(__xludf.DUMMYFUNCTION("""COMPUTED_VALUE"""),"https://drive.google.com/open?id=1Y6SIHtLhRuRj9PjiZoARqmxxFmWzdKgr")</f>
        <v>https://drive.google.com/open?id=1Y6SIHtLhRuRj9PjiZoARqmxxFmWzdKgr</v>
      </c>
      <c r="E542" s="49" t="str">
        <f>IFERROR(__xludf.DUMMYFUNCTION("""COMPUTED_VALUE"""),"https://drive.google.com/open?id=1_oYOhNdyrF9vOfTJbM0aMdehG54hof6e")</f>
        <v>https://drive.google.com/open?id=1_oYOhNdyrF9vOfTJbM0aMdehG54hof6e</v>
      </c>
    </row>
    <row r="543">
      <c r="A543" s="6" t="str">
        <f>IFERROR(__xludf.DUMMYFUNCTION("""COMPUTED_VALUE"""),"hvjathar@mitaoe.ac.in")</f>
        <v>hvjathar@mitaoe.ac.in</v>
      </c>
      <c r="B543" s="6" t="str">
        <f>IFERROR(__xludf.DUMMYFUNCTION("""COMPUTED_VALUE"""),"YES")</f>
        <v>YES</v>
      </c>
      <c r="C543" s="6" t="str">
        <f>IFERROR(__xludf.DUMMYFUNCTION("""COMPUTED_VALUE"""),"YES")</f>
        <v>YES</v>
      </c>
      <c r="D543" s="49" t="str">
        <f>IFERROR(__xludf.DUMMYFUNCTION("""COMPUTED_VALUE"""),"https://drive.google.com/open?id=1MkJtJXi3m_dKW7UMfIdqqhCeZsklkM6P")</f>
        <v>https://drive.google.com/open?id=1MkJtJXi3m_dKW7UMfIdqqhCeZsklkM6P</v>
      </c>
      <c r="E543" s="49" t="str">
        <f>IFERROR(__xludf.DUMMYFUNCTION("""COMPUTED_VALUE"""),"https://drive.google.com/open?id=1etlaPfF2jRleNCZ6GhUEtgjj__ZChhA-")</f>
        <v>https://drive.google.com/open?id=1etlaPfF2jRleNCZ6GhUEtgjj__ZChhA-</v>
      </c>
    </row>
    <row r="544">
      <c r="A544" s="6" t="str">
        <f>IFERROR(__xludf.DUMMYFUNCTION("""COMPUTED_VALUE"""),"anirhudhakarad@mitaoe.ac.in")</f>
        <v>anirhudhakarad@mitaoe.ac.in</v>
      </c>
      <c r="B544" s="6" t="str">
        <f>IFERROR(__xludf.DUMMYFUNCTION("""COMPUTED_VALUE"""),"YES")</f>
        <v>YES</v>
      </c>
      <c r="C544" s="6" t="str">
        <f>IFERROR(__xludf.DUMMYFUNCTION("""COMPUTED_VALUE"""),"YES")</f>
        <v>YES</v>
      </c>
      <c r="D544" s="49" t="str">
        <f>IFERROR(__xludf.DUMMYFUNCTION("""COMPUTED_VALUE"""),"https://drive.google.com/open?id=1ElgBYz-6fWX738qD0BorDUUxw30VT3xl")</f>
        <v>https://drive.google.com/open?id=1ElgBYz-6fWX738qD0BorDUUxw30VT3xl</v>
      </c>
      <c r="E544" s="49" t="str">
        <f>IFERROR(__xludf.DUMMYFUNCTION("""COMPUTED_VALUE"""),"https://drive.google.com/open?id=1-ckoJ9G9ZQCUxQotR6ApZL-aYBJ9iLui")</f>
        <v>https://drive.google.com/open?id=1-ckoJ9G9ZQCUxQotR6ApZL-aYBJ9iLui</v>
      </c>
    </row>
    <row r="545">
      <c r="A545" s="6" t="str">
        <f>IFERROR(__xludf.DUMMYFUNCTION("""COMPUTED_VALUE"""),"pddeshmukh@mitaoe.ac.in")</f>
        <v>pddeshmukh@mitaoe.ac.in</v>
      </c>
      <c r="B545" s="6" t="str">
        <f>IFERROR(__xludf.DUMMYFUNCTION("""COMPUTED_VALUE"""),"YES")</f>
        <v>YES</v>
      </c>
      <c r="C545" s="6" t="str">
        <f>IFERROR(__xludf.DUMMYFUNCTION("""COMPUTED_VALUE"""),"YES")</f>
        <v>YES</v>
      </c>
      <c r="D545" s="49" t="str">
        <f>IFERROR(__xludf.DUMMYFUNCTION("""COMPUTED_VALUE"""),"https://drive.google.com/open?id=1GZF_DVGwDDmVHxbkhwR9o5gnUPIu_0NC")</f>
        <v>https://drive.google.com/open?id=1GZF_DVGwDDmVHxbkhwR9o5gnUPIu_0NC</v>
      </c>
      <c r="E545" s="49" t="str">
        <f>IFERROR(__xludf.DUMMYFUNCTION("""COMPUTED_VALUE"""),"https://drive.google.com/open?id=1CTdewbowJ9fLCSGtOOEtycEvNkVJT66z")</f>
        <v>https://drive.google.com/open?id=1CTdewbowJ9fLCSGtOOEtycEvNkVJT66z</v>
      </c>
    </row>
    <row r="546">
      <c r="A546" s="6" t="str">
        <f>IFERROR(__xludf.DUMMYFUNCTION("""COMPUTED_VALUE"""),"sschaudhari@mitaoe.ac.in")</f>
        <v>sschaudhari@mitaoe.ac.in</v>
      </c>
      <c r="B546" s="6" t="str">
        <f>IFERROR(__xludf.DUMMYFUNCTION("""COMPUTED_VALUE"""),"YES")</f>
        <v>YES</v>
      </c>
      <c r="C546" s="6" t="str">
        <f>IFERROR(__xludf.DUMMYFUNCTION("""COMPUTED_VALUE"""),"YES")</f>
        <v>YES</v>
      </c>
      <c r="D546" s="49" t="str">
        <f>IFERROR(__xludf.DUMMYFUNCTION("""COMPUTED_VALUE"""),"https://drive.google.com/open?id=1jrhrnEoAO1_t-DfpUODssLopA3y7Uw2j")</f>
        <v>https://drive.google.com/open?id=1jrhrnEoAO1_t-DfpUODssLopA3y7Uw2j</v>
      </c>
      <c r="E546" s="49" t="str">
        <f>IFERROR(__xludf.DUMMYFUNCTION("""COMPUTED_VALUE"""),"https://drive.google.com/open?id=1Ttk0cjIgryKYzihQbzrESotBa6ELqXJF")</f>
        <v>https://drive.google.com/open?id=1Ttk0cjIgryKYzihQbzrESotBa6ELqXJF</v>
      </c>
    </row>
    <row r="547">
      <c r="A547" s="6" t="str">
        <f>IFERROR(__xludf.DUMMYFUNCTION("""COMPUTED_VALUE"""),"shubham.chougule@mitaoe.ac.in")</f>
        <v>shubham.chougule@mitaoe.ac.in</v>
      </c>
      <c r="B547" s="6" t="str">
        <f>IFERROR(__xludf.DUMMYFUNCTION("""COMPUTED_VALUE"""),"YES")</f>
        <v>YES</v>
      </c>
      <c r="C547" s="6" t="str">
        <f>IFERROR(__xludf.DUMMYFUNCTION("""COMPUTED_VALUE"""),"YES")</f>
        <v>YES</v>
      </c>
      <c r="D547" s="49" t="str">
        <f>IFERROR(__xludf.DUMMYFUNCTION("""COMPUTED_VALUE"""),"https://drive.google.com/open?id=1OYh9USurnhCqo9tcKft64sDyh5hAOacq")</f>
        <v>https://drive.google.com/open?id=1OYh9USurnhCqo9tcKft64sDyh5hAOacq</v>
      </c>
      <c r="E547" s="49" t="str">
        <f>IFERROR(__xludf.DUMMYFUNCTION("""COMPUTED_VALUE"""),"https://drive.google.com/open?id=16_qU5NpGJRqyIKim-M7keAyuU3Q_C-P-")</f>
        <v>https://drive.google.com/open?id=16_qU5NpGJRqyIKim-M7keAyuU3Q_C-P-</v>
      </c>
    </row>
    <row r="548">
      <c r="A548" s="6" t="str">
        <f>IFERROR(__xludf.DUMMYFUNCTION("""COMPUTED_VALUE"""),"nsmulla@mitaoe.ac.in")</f>
        <v>nsmulla@mitaoe.ac.in</v>
      </c>
      <c r="B548" s="6" t="str">
        <f>IFERROR(__xludf.DUMMYFUNCTION("""COMPUTED_VALUE"""),"YES")</f>
        <v>YES</v>
      </c>
      <c r="C548" s="6" t="str">
        <f>IFERROR(__xludf.DUMMYFUNCTION("""COMPUTED_VALUE"""),"NO")</f>
        <v>NO</v>
      </c>
      <c r="D548" s="49" t="str">
        <f>IFERROR(__xludf.DUMMYFUNCTION("""COMPUTED_VALUE"""),"https://drive.google.com/open?id=15XAUQh6H4rJEBX5dcWACoH4b6gcTjUpP")</f>
        <v>https://drive.google.com/open?id=15XAUQh6H4rJEBX5dcWACoH4b6gcTjUpP</v>
      </c>
      <c r="E548" s="6"/>
    </row>
    <row r="549">
      <c r="A549" s="6" t="str">
        <f>IFERROR(__xludf.DUMMYFUNCTION("""COMPUTED_VALUE"""),"shubham.urmode@mitaoe.ac.in")</f>
        <v>shubham.urmode@mitaoe.ac.in</v>
      </c>
      <c r="B549" s="6" t="str">
        <f>IFERROR(__xludf.DUMMYFUNCTION("""COMPUTED_VALUE"""),"NO")</f>
        <v>NO</v>
      </c>
      <c r="C549" s="6" t="str">
        <f>IFERROR(__xludf.DUMMYFUNCTION("""COMPUTED_VALUE"""),"YES")</f>
        <v>YES</v>
      </c>
      <c r="D549" s="6"/>
      <c r="E549" s="49" t="str">
        <f>IFERROR(__xludf.DUMMYFUNCTION("""COMPUTED_VALUE"""),"https://drive.google.com/open?id=1DHAgg_AvxCZenJNSzBtQn_0Rv230HY-2")</f>
        <v>https://drive.google.com/open?id=1DHAgg_AvxCZenJNSzBtQn_0Rv230HY-2</v>
      </c>
    </row>
    <row r="550">
      <c r="A550" s="6" t="str">
        <f>IFERROR(__xludf.DUMMYFUNCTION("""COMPUTED_VALUE"""),"ybbansod@mitaoe.ac.in")</f>
        <v>ybbansod@mitaoe.ac.in</v>
      </c>
      <c r="B550" s="6" t="str">
        <f>IFERROR(__xludf.DUMMYFUNCTION("""COMPUTED_VALUE"""),"YES")</f>
        <v>YES</v>
      </c>
      <c r="C550" s="6" t="str">
        <f>IFERROR(__xludf.DUMMYFUNCTION("""COMPUTED_VALUE"""),"YES")</f>
        <v>YES</v>
      </c>
      <c r="D550" s="49" t="str">
        <f>IFERROR(__xludf.DUMMYFUNCTION("""COMPUTED_VALUE"""),"https://drive.google.com/open?id=1PE8lHYVcC0jzvkB7mnMdJHxYoZS6xxoI")</f>
        <v>https://drive.google.com/open?id=1PE8lHYVcC0jzvkB7mnMdJHxYoZS6xxoI</v>
      </c>
      <c r="E550" s="49" t="str">
        <f>IFERROR(__xludf.DUMMYFUNCTION("""COMPUTED_VALUE"""),"https://drive.google.com/open?id=1Tk1tO9Vgf0CewhMdyuXfDqv2Wej_UdfO")</f>
        <v>https://drive.google.com/open?id=1Tk1tO9Vgf0CewhMdyuXfDqv2Wej_UdfO</v>
      </c>
    </row>
    <row r="551">
      <c r="A551" s="6" t="str">
        <f>IFERROR(__xludf.DUMMYFUNCTION("""COMPUTED_VALUE"""),"krbarge@mitaoe.ac.in")</f>
        <v>krbarge@mitaoe.ac.in</v>
      </c>
      <c r="B551" s="6" t="str">
        <f>IFERROR(__xludf.DUMMYFUNCTION("""COMPUTED_VALUE"""),"NO")</f>
        <v>NO</v>
      </c>
      <c r="C551" s="6" t="str">
        <f>IFERROR(__xludf.DUMMYFUNCTION("""COMPUTED_VALUE"""),"NO")</f>
        <v>NO</v>
      </c>
      <c r="D551" s="49" t="str">
        <f>IFERROR(__xludf.DUMMYFUNCTION("""COMPUTED_VALUE"""),"https://drive.google.com/open?id=1KPafDVSp8cewbhjfY_sQwNkiZCh3w8Xv")</f>
        <v>https://drive.google.com/open?id=1KPafDVSp8cewbhjfY_sQwNkiZCh3w8Xv</v>
      </c>
      <c r="E551" s="49" t="str">
        <f>IFERROR(__xludf.DUMMYFUNCTION("""COMPUTED_VALUE"""),"https://drive.google.com/open?id=1Ackn4uUg7b_PgS7bh7QmI9dKvgzviu7O")</f>
        <v>https://drive.google.com/open?id=1Ackn4uUg7b_PgS7bh7QmI9dKvgzviu7O</v>
      </c>
    </row>
    <row r="552">
      <c r="A552" s="6" t="str">
        <f>IFERROR(__xludf.DUMMYFUNCTION("""COMPUTED_VALUE"""),"mrdaiv@mitaoe.ac.in")</f>
        <v>mrdaiv@mitaoe.ac.in</v>
      </c>
      <c r="B552" s="6" t="str">
        <f>IFERROR(__xludf.DUMMYFUNCTION("""COMPUTED_VALUE"""),"NO")</f>
        <v>NO</v>
      </c>
      <c r="C552" s="6" t="str">
        <f>IFERROR(__xludf.DUMMYFUNCTION("""COMPUTED_VALUE"""),"NO")</f>
        <v>NO</v>
      </c>
      <c r="D552" s="6"/>
      <c r="E552" s="6"/>
    </row>
    <row r="553">
      <c r="A553" s="6" t="str">
        <f>IFERROR(__xludf.DUMMYFUNCTION("""COMPUTED_VALUE"""),"akash.vishve@mitaoe.ac.in")</f>
        <v>akash.vishve@mitaoe.ac.in</v>
      </c>
      <c r="B553" s="6" t="str">
        <f>IFERROR(__xludf.DUMMYFUNCTION("""COMPUTED_VALUE"""),"YES")</f>
        <v>YES</v>
      </c>
      <c r="C553" s="6" t="str">
        <f>IFERROR(__xludf.DUMMYFUNCTION("""COMPUTED_VALUE"""),"YES")</f>
        <v>YES</v>
      </c>
      <c r="D553" s="49" t="str">
        <f>IFERROR(__xludf.DUMMYFUNCTION("""COMPUTED_VALUE"""),"https://drive.google.com/open?id=1fmCVby7zhjRroVFRjEh6OgxacNDrm9ak")</f>
        <v>https://drive.google.com/open?id=1fmCVby7zhjRroVFRjEh6OgxacNDrm9ak</v>
      </c>
      <c r="E553" s="49" t="str">
        <f>IFERROR(__xludf.DUMMYFUNCTION("""COMPUTED_VALUE"""),"https://drive.google.com/open?id=1HDFxYHFxro3i_jIkDcrhR5J4vRWHhVAa")</f>
        <v>https://drive.google.com/open?id=1HDFxYHFxro3i_jIkDcrhR5J4vRWHhVAa</v>
      </c>
    </row>
    <row r="554">
      <c r="A554" s="6" t="str">
        <f>IFERROR(__xludf.DUMMYFUNCTION("""COMPUTED_VALUE"""),"padeshpande@mitaoe.ac.in")</f>
        <v>padeshpande@mitaoe.ac.in</v>
      </c>
      <c r="B554" s="6" t="str">
        <f>IFERROR(__xludf.DUMMYFUNCTION("""COMPUTED_VALUE"""),"NO")</f>
        <v>NO</v>
      </c>
      <c r="C554" s="6" t="str">
        <f>IFERROR(__xludf.DUMMYFUNCTION("""COMPUTED_VALUE"""),"NO")</f>
        <v>NO</v>
      </c>
      <c r="D554" s="6"/>
      <c r="E554" s="6"/>
    </row>
    <row r="555">
      <c r="A555" s="6" t="str">
        <f>IFERROR(__xludf.DUMMYFUNCTION("""COMPUTED_VALUE"""),"pbkarad@mitaoe.ac.in")</f>
        <v>pbkarad@mitaoe.ac.in</v>
      </c>
      <c r="B555" s="6" t="str">
        <f>IFERROR(__xludf.DUMMYFUNCTION("""COMPUTED_VALUE"""),"NO")</f>
        <v>NO</v>
      </c>
      <c r="C555" s="6" t="str">
        <f>IFERROR(__xludf.DUMMYFUNCTION("""COMPUTED_VALUE"""),"YES")</f>
        <v>YES</v>
      </c>
      <c r="D555" s="6"/>
      <c r="E555" s="49" t="str">
        <f>IFERROR(__xludf.DUMMYFUNCTION("""COMPUTED_VALUE"""),"https://drive.google.com/open?id=1uJa1yII5MMc79qlXpZe6I3NtefVGP5a1")</f>
        <v>https://drive.google.com/open?id=1uJa1yII5MMc79qlXpZe6I3NtefVGP5a1</v>
      </c>
    </row>
    <row r="556">
      <c r="A556" s="6" t="str">
        <f>IFERROR(__xludf.DUMMYFUNCTION("""COMPUTED_VALUE"""),"shubham.shikhare@mitaoe.ac.in")</f>
        <v>shubham.shikhare@mitaoe.ac.in</v>
      </c>
      <c r="B556" s="6" t="str">
        <f>IFERROR(__xludf.DUMMYFUNCTION("""COMPUTED_VALUE"""),"YES")</f>
        <v>YES</v>
      </c>
      <c r="C556" s="6" t="str">
        <f>IFERROR(__xludf.DUMMYFUNCTION("""COMPUTED_VALUE"""),"YES")</f>
        <v>YES</v>
      </c>
      <c r="D556" s="49" t="str">
        <f>IFERROR(__xludf.DUMMYFUNCTION("""COMPUTED_VALUE"""),"https://drive.google.com/open?id=1gUDMpyVoCWzi4NyFiLQC0M9f3ZoKgxQT")</f>
        <v>https://drive.google.com/open?id=1gUDMpyVoCWzi4NyFiLQC0M9f3ZoKgxQT</v>
      </c>
      <c r="E556" s="49" t="str">
        <f>IFERROR(__xludf.DUMMYFUNCTION("""COMPUTED_VALUE"""),"https://drive.google.com/open?id=1ANrHuAaHPG2Zcg1Sf1BXmArd59KouKOF")</f>
        <v>https://drive.google.com/open?id=1ANrHuAaHPG2Zcg1Sf1BXmArd59KouKOF</v>
      </c>
    </row>
    <row r="557">
      <c r="A557" s="6" t="str">
        <f>IFERROR(__xludf.DUMMYFUNCTION("""COMPUTED_VALUE"""),"vbghodki@mitaoe.ac.in")</f>
        <v>vbghodki@mitaoe.ac.in</v>
      </c>
      <c r="B557" s="6" t="str">
        <f>IFERROR(__xludf.DUMMYFUNCTION("""COMPUTED_VALUE"""),"YES")</f>
        <v>YES</v>
      </c>
      <c r="C557" s="6" t="str">
        <f>IFERROR(__xludf.DUMMYFUNCTION("""COMPUTED_VALUE"""),"YES")</f>
        <v>YES</v>
      </c>
      <c r="D557" s="49" t="str">
        <f>IFERROR(__xludf.DUMMYFUNCTION("""COMPUTED_VALUE"""),"https://drive.google.com/open?id=1aLodq5GVNEfYS6qmLz_q1-RH70SsxQR4")</f>
        <v>https://drive.google.com/open?id=1aLodq5GVNEfYS6qmLz_q1-RH70SsxQR4</v>
      </c>
      <c r="E557" s="49" t="str">
        <f>IFERROR(__xludf.DUMMYFUNCTION("""COMPUTED_VALUE"""),"https://drive.google.com/open?id=1O2NT1sGkk9ttMUjvV7sfva2dfZFLeFka")</f>
        <v>https://drive.google.com/open?id=1O2NT1sGkk9ttMUjvV7sfva2dfZFLeFka</v>
      </c>
    </row>
    <row r="558">
      <c r="A558" s="6" t="str">
        <f>IFERROR(__xludf.DUMMYFUNCTION("""COMPUTED_VALUE"""),"tjsheikh@mitaoe.ac.in")</f>
        <v>tjsheikh@mitaoe.ac.in</v>
      </c>
      <c r="B558" s="6" t="str">
        <f>IFERROR(__xludf.DUMMYFUNCTION("""COMPUTED_VALUE"""),"YES")</f>
        <v>YES</v>
      </c>
      <c r="C558" s="6" t="str">
        <f>IFERROR(__xludf.DUMMYFUNCTION("""COMPUTED_VALUE"""),"YES")</f>
        <v>YES</v>
      </c>
      <c r="D558" s="49" t="str">
        <f>IFERROR(__xludf.DUMMYFUNCTION("""COMPUTED_VALUE"""),"https://drive.google.com/open?id=1O5CeQ1vzjngrbxwei3PePg_o_y3J3PBZ")</f>
        <v>https://drive.google.com/open?id=1O5CeQ1vzjngrbxwei3PePg_o_y3J3PBZ</v>
      </c>
      <c r="E558" s="49" t="str">
        <f>IFERROR(__xludf.DUMMYFUNCTION("""COMPUTED_VALUE"""),"https://drive.google.com/open?id=18Ldh_-KyohwsxF3KFbew98fRT8oAo5fa")</f>
        <v>https://drive.google.com/open?id=18Ldh_-KyohwsxF3KFbew98fRT8oAo5fa</v>
      </c>
    </row>
    <row r="559">
      <c r="A559" s="6" t="str">
        <f>IFERROR(__xludf.DUMMYFUNCTION("""COMPUTED_VALUE"""),"csdhande@mitaoe.ac.in")</f>
        <v>csdhande@mitaoe.ac.in</v>
      </c>
      <c r="B559" s="6" t="str">
        <f>IFERROR(__xludf.DUMMYFUNCTION("""COMPUTED_VALUE"""),"YES")</f>
        <v>YES</v>
      </c>
      <c r="C559" s="6" t="str">
        <f>IFERROR(__xludf.DUMMYFUNCTION("""COMPUTED_VALUE"""),"YES")</f>
        <v>YES</v>
      </c>
      <c r="D559" s="49" t="str">
        <f>IFERROR(__xludf.DUMMYFUNCTION("""COMPUTED_VALUE"""),"https://drive.google.com/open?id=1yWm6wrYwPXOSEIzACGMVUjvOHWQg1ODq")</f>
        <v>https://drive.google.com/open?id=1yWm6wrYwPXOSEIzACGMVUjvOHWQg1ODq</v>
      </c>
      <c r="E559" s="49" t="str">
        <f>IFERROR(__xludf.DUMMYFUNCTION("""COMPUTED_VALUE"""),"https://drive.google.com/open?id=1grq5jhUf7eulbEXnWZk3af3jFsfyZqsQ")</f>
        <v>https://drive.google.com/open?id=1grq5jhUf7eulbEXnWZk3af3jFsfyZqsQ</v>
      </c>
    </row>
    <row r="560">
      <c r="A560" s="6" t="str">
        <f>IFERROR(__xludf.DUMMYFUNCTION("""COMPUTED_VALUE"""),"shantanu.patil@mitaoe.ac.in")</f>
        <v>shantanu.patil@mitaoe.ac.in</v>
      </c>
      <c r="B560" s="6" t="str">
        <f>IFERROR(__xludf.DUMMYFUNCTION("""COMPUTED_VALUE"""),"YES")</f>
        <v>YES</v>
      </c>
      <c r="C560" s="6" t="str">
        <f>IFERROR(__xludf.DUMMYFUNCTION("""COMPUTED_VALUE"""),"YES")</f>
        <v>YES</v>
      </c>
      <c r="D560" s="49" t="str">
        <f>IFERROR(__xludf.DUMMYFUNCTION("""COMPUTED_VALUE"""),"https://drive.google.com/open?id=1Ei-Qw6uVpk0I_b3E3ugLyNncfV_DXxqR")</f>
        <v>https://drive.google.com/open?id=1Ei-Qw6uVpk0I_b3E3ugLyNncfV_DXxqR</v>
      </c>
      <c r="E560" s="49" t="str">
        <f>IFERROR(__xludf.DUMMYFUNCTION("""COMPUTED_VALUE"""),"https://drive.google.com/open?id=1Z5SsvIquzOet2cEu_8lZeMbyfUauI2X3")</f>
        <v>https://drive.google.com/open?id=1Z5SsvIquzOet2cEu_8lZeMbyfUauI2X3</v>
      </c>
    </row>
    <row r="561">
      <c r="A561" s="6" t="str">
        <f>IFERROR(__xludf.DUMMYFUNCTION("""COMPUTED_VALUE"""),"vyankatesh.mankar@mitaoe.ac.in")</f>
        <v>vyankatesh.mankar@mitaoe.ac.in</v>
      </c>
      <c r="B561" s="6" t="str">
        <f>IFERROR(__xludf.DUMMYFUNCTION("""COMPUTED_VALUE"""),"YES")</f>
        <v>YES</v>
      </c>
      <c r="C561" s="6" t="str">
        <f>IFERROR(__xludf.DUMMYFUNCTION("""COMPUTED_VALUE"""),"YES")</f>
        <v>YES</v>
      </c>
      <c r="D561" s="49" t="str">
        <f>IFERROR(__xludf.DUMMYFUNCTION("""COMPUTED_VALUE"""),"https://drive.google.com/open?id=1uotcfHYMXewo9AiZ690HbUI-nx53nMIc")</f>
        <v>https://drive.google.com/open?id=1uotcfHYMXewo9AiZ690HbUI-nx53nMIc</v>
      </c>
      <c r="E561" s="49" t="str">
        <f>IFERROR(__xludf.DUMMYFUNCTION("""COMPUTED_VALUE"""),"https://drive.google.com/open?id=1SHTFMvIanEwZ8mrfN8g65qJmYKkPVL93")</f>
        <v>https://drive.google.com/open?id=1SHTFMvIanEwZ8mrfN8g65qJmYKkPVL93</v>
      </c>
    </row>
    <row r="562">
      <c r="A562" s="6" t="str">
        <f>IFERROR(__xludf.DUMMYFUNCTION("""COMPUTED_VALUE"""),"shivam.mandavgade@mitaoe.ac.in")</f>
        <v>shivam.mandavgade@mitaoe.ac.in</v>
      </c>
      <c r="B562" s="6" t="str">
        <f>IFERROR(__xludf.DUMMYFUNCTION("""COMPUTED_VALUE"""),"YES")</f>
        <v>YES</v>
      </c>
      <c r="C562" s="6" t="str">
        <f>IFERROR(__xludf.DUMMYFUNCTION("""COMPUTED_VALUE"""),"YES")</f>
        <v>YES</v>
      </c>
      <c r="D562" s="49" t="str">
        <f>IFERROR(__xludf.DUMMYFUNCTION("""COMPUTED_VALUE"""),"https://drive.google.com/open?id=1zAez75ZlZTaGkw8Jg2fHWwoapV7BmVT2")</f>
        <v>https://drive.google.com/open?id=1zAez75ZlZTaGkw8Jg2fHWwoapV7BmVT2</v>
      </c>
      <c r="E562" s="49" t="str">
        <f>IFERROR(__xludf.DUMMYFUNCTION("""COMPUTED_VALUE"""),"https://drive.google.com/open?id=1gLJiHY9ERavh_SD0vuUQFrrDPi-p903r")</f>
        <v>https://drive.google.com/open?id=1gLJiHY9ERavh_SD0vuUQFrrDPi-p903r</v>
      </c>
    </row>
    <row r="563">
      <c r="A563" s="6" t="str">
        <f>IFERROR(__xludf.DUMMYFUNCTION("""COMPUTED_VALUE"""),"niranjan.wagh@mitaoe.ac.in")</f>
        <v>niranjan.wagh@mitaoe.ac.in</v>
      </c>
      <c r="B563" s="6" t="str">
        <f>IFERROR(__xludf.DUMMYFUNCTION("""COMPUTED_VALUE"""),"YES")</f>
        <v>YES</v>
      </c>
      <c r="C563" s="6" t="str">
        <f>IFERROR(__xludf.DUMMYFUNCTION("""COMPUTED_VALUE"""),"YES")</f>
        <v>YES</v>
      </c>
      <c r="D563" s="49" t="str">
        <f>IFERROR(__xludf.DUMMYFUNCTION("""COMPUTED_VALUE"""),"https://drive.google.com/open?id=1Zl5_OWPLS9kB8i3fvZoUY5DPr81uCUxq")</f>
        <v>https://drive.google.com/open?id=1Zl5_OWPLS9kB8i3fvZoUY5DPr81uCUxq</v>
      </c>
      <c r="E563" s="49" t="str">
        <f>IFERROR(__xludf.DUMMYFUNCTION("""COMPUTED_VALUE"""),"https://drive.google.com/open?id=1t44V8A_nj5sHyOEnrNSxBUmdwJjL_MKn")</f>
        <v>https://drive.google.com/open?id=1t44V8A_nj5sHyOEnrNSxBUmdwJjL_MKn</v>
      </c>
    </row>
    <row r="564">
      <c r="A564" s="6" t="str">
        <f>IFERROR(__xludf.DUMMYFUNCTION("""COMPUTED_VALUE"""),"rajeshrathod@mitaoe.ac.in")</f>
        <v>rajeshrathod@mitaoe.ac.in</v>
      </c>
      <c r="B564" s="6" t="str">
        <f>IFERROR(__xludf.DUMMYFUNCTION("""COMPUTED_VALUE"""),"NO")</f>
        <v>NO</v>
      </c>
      <c r="C564" s="6" t="str">
        <f>IFERROR(__xludf.DUMMYFUNCTION("""COMPUTED_VALUE"""),"YES")</f>
        <v>YES</v>
      </c>
      <c r="D564" s="6"/>
      <c r="E564" s="49" t="str">
        <f>IFERROR(__xludf.DUMMYFUNCTION("""COMPUTED_VALUE"""),"https://drive.google.com/open?id=1je_aJQR_HTBle7Mj7DoQ91Zu4TUHLQlu")</f>
        <v>https://drive.google.com/open?id=1je_aJQR_HTBle7Mj7DoQ91Zu4TUHLQlu</v>
      </c>
    </row>
    <row r="565">
      <c r="A565" s="6" t="str">
        <f>IFERROR(__xludf.DUMMYFUNCTION("""COMPUTED_VALUE"""),"nishad.dudhe@mitaoe.ac.in")</f>
        <v>nishad.dudhe@mitaoe.ac.in</v>
      </c>
      <c r="B565" s="6" t="str">
        <f>IFERROR(__xludf.DUMMYFUNCTION("""COMPUTED_VALUE"""),"YES")</f>
        <v>YES</v>
      </c>
      <c r="C565" s="6" t="str">
        <f>IFERROR(__xludf.DUMMYFUNCTION("""COMPUTED_VALUE"""),"YES")</f>
        <v>YES</v>
      </c>
      <c r="D565" s="49" t="str">
        <f>IFERROR(__xludf.DUMMYFUNCTION("""COMPUTED_VALUE"""),"https://drive.google.com/open?id=1VftSjqqu2rdLymLNEvCuJ9MeI7eT0ASS")</f>
        <v>https://drive.google.com/open?id=1VftSjqqu2rdLymLNEvCuJ9MeI7eT0ASS</v>
      </c>
      <c r="E565" s="49" t="str">
        <f>IFERROR(__xludf.DUMMYFUNCTION("""COMPUTED_VALUE"""),"https://drive.google.com/open?id=1zSflCnMoTJMWp5qEmiDMWh8yDG4dka0b")</f>
        <v>https://drive.google.com/open?id=1zSflCnMoTJMWp5qEmiDMWh8yDG4dka0b</v>
      </c>
    </row>
    <row r="566">
      <c r="A566" s="6" t="str">
        <f>IFERROR(__xludf.DUMMYFUNCTION("""COMPUTED_VALUE"""),"parish.wankhede@mitaoe.ac.in")</f>
        <v>parish.wankhede@mitaoe.ac.in</v>
      </c>
      <c r="B566" s="6" t="str">
        <f>IFERROR(__xludf.DUMMYFUNCTION("""COMPUTED_VALUE"""),"YES")</f>
        <v>YES</v>
      </c>
      <c r="C566" s="6" t="str">
        <f>IFERROR(__xludf.DUMMYFUNCTION("""COMPUTED_VALUE"""),"NO")</f>
        <v>NO</v>
      </c>
      <c r="D566" s="49" t="str">
        <f>IFERROR(__xludf.DUMMYFUNCTION("""COMPUTED_VALUE"""),"https://drive.google.com/open?id=1Xn5bpMBplnAbGAOYpzrbOqWHAW5k6uv4")</f>
        <v>https://drive.google.com/open?id=1Xn5bpMBplnAbGAOYpzrbOqWHAW5k6uv4</v>
      </c>
      <c r="E566" s="6"/>
    </row>
    <row r="567">
      <c r="A567" s="6" t="str">
        <f>IFERROR(__xludf.DUMMYFUNCTION("""COMPUTED_VALUE"""),"kunal.attarde@mitaoe.ac.in")</f>
        <v>kunal.attarde@mitaoe.ac.in</v>
      </c>
      <c r="B567" s="6" t="str">
        <f>IFERROR(__xludf.DUMMYFUNCTION("""COMPUTED_VALUE"""),"YES")</f>
        <v>YES</v>
      </c>
      <c r="C567" s="6" t="str">
        <f>IFERROR(__xludf.DUMMYFUNCTION("""COMPUTED_VALUE"""),"YES")</f>
        <v>YES</v>
      </c>
      <c r="D567" s="49" t="str">
        <f>IFERROR(__xludf.DUMMYFUNCTION("""COMPUTED_VALUE"""),"https://drive.google.com/open?id=1oliAaxvh-bhVr2HGqxFNzdRoLVO-oM2E")</f>
        <v>https://drive.google.com/open?id=1oliAaxvh-bhVr2HGqxFNzdRoLVO-oM2E</v>
      </c>
      <c r="E567" s="49" t="str">
        <f>IFERROR(__xludf.DUMMYFUNCTION("""COMPUTED_VALUE"""),"https://drive.google.com/open?id=1zPXHD8_c6Ic-4fwX4NvKjEuwd4Pqj8QP")</f>
        <v>https://drive.google.com/open?id=1zPXHD8_c6Ic-4fwX4NvKjEuwd4Pqj8QP</v>
      </c>
    </row>
    <row r="568">
      <c r="A568" s="6" t="str">
        <f>IFERROR(__xludf.DUMMYFUNCTION("""COMPUTED_VALUE"""),"pooja.giri@mitaoe.ac.in")</f>
        <v>pooja.giri@mitaoe.ac.in</v>
      </c>
      <c r="B568" s="6" t="str">
        <f>IFERROR(__xludf.DUMMYFUNCTION("""COMPUTED_VALUE"""),"YES")</f>
        <v>YES</v>
      </c>
      <c r="C568" s="6" t="str">
        <f>IFERROR(__xludf.DUMMYFUNCTION("""COMPUTED_VALUE"""),"YES")</f>
        <v>YES</v>
      </c>
      <c r="D568" s="49" t="str">
        <f>IFERROR(__xludf.DUMMYFUNCTION("""COMPUTED_VALUE"""),"https://drive.google.com/open?id=1AQUigvGbzO-Zo6nJOvATzZy8QwwkF54I")</f>
        <v>https://drive.google.com/open?id=1AQUigvGbzO-Zo6nJOvATzZy8QwwkF54I</v>
      </c>
      <c r="E568" s="49" t="str">
        <f>IFERROR(__xludf.DUMMYFUNCTION("""COMPUTED_VALUE"""),"https://drive.google.com/open?id=1EiTp3x-rX26oypY6ZSDsva4kbc-Xyt9h")</f>
        <v>https://drive.google.com/open?id=1EiTp3x-rX26oypY6ZSDsva4kbc-Xyt9h</v>
      </c>
    </row>
    <row r="569">
      <c r="A569" s="6" t="str">
        <f>IFERROR(__xludf.DUMMYFUNCTION("""COMPUTED_VALUE"""),"sandip.dhumal@mitaoe.ac.in")</f>
        <v>sandip.dhumal@mitaoe.ac.in</v>
      </c>
      <c r="B569" s="6" t="str">
        <f>IFERROR(__xludf.DUMMYFUNCTION("""COMPUTED_VALUE"""),"YES")</f>
        <v>YES</v>
      </c>
      <c r="C569" s="6" t="str">
        <f>IFERROR(__xludf.DUMMYFUNCTION("""COMPUTED_VALUE"""),"YES")</f>
        <v>YES</v>
      </c>
      <c r="D569" s="49" t="str">
        <f>IFERROR(__xludf.DUMMYFUNCTION("""COMPUTED_VALUE"""),"https://drive.google.com/open?id=1Ltlo9ajubtmN9thzru4_OLk5KwZlYWm8")</f>
        <v>https://drive.google.com/open?id=1Ltlo9ajubtmN9thzru4_OLk5KwZlYWm8</v>
      </c>
      <c r="E569" s="49" t="str">
        <f>IFERROR(__xludf.DUMMYFUNCTION("""COMPUTED_VALUE"""),"https://drive.google.com/open?id=1UBuhaBPkOVmZx3tPwvqhGjbY_8zX8Xwi")</f>
        <v>https://drive.google.com/open?id=1UBuhaBPkOVmZx3tPwvqhGjbY_8zX8Xwi</v>
      </c>
    </row>
    <row r="570">
      <c r="A570" s="6" t="str">
        <f>IFERROR(__xludf.DUMMYFUNCTION("""COMPUTED_VALUE"""),"darshan.kuwar@mitaoe.ac.in")</f>
        <v>darshan.kuwar@mitaoe.ac.in</v>
      </c>
      <c r="B570" s="6" t="str">
        <f>IFERROR(__xludf.DUMMYFUNCTION("""COMPUTED_VALUE"""),"YES")</f>
        <v>YES</v>
      </c>
      <c r="C570" s="6" t="str">
        <f>IFERROR(__xludf.DUMMYFUNCTION("""COMPUTED_VALUE"""),"YES")</f>
        <v>YES</v>
      </c>
      <c r="D570" s="49" t="str">
        <f>IFERROR(__xludf.DUMMYFUNCTION("""COMPUTED_VALUE"""),"https://drive.google.com/open?id=1isvRRfxSxiFWJemPOlxyTdnnbCWfmLRP")</f>
        <v>https://drive.google.com/open?id=1isvRRfxSxiFWJemPOlxyTdnnbCWfmLRP</v>
      </c>
      <c r="E570" s="49" t="str">
        <f>IFERROR(__xludf.DUMMYFUNCTION("""COMPUTED_VALUE"""),"https://drive.google.com/open?id=1Vcw6X5MbIng3CnL7fb0XGM3UcmBLMLW4")</f>
        <v>https://drive.google.com/open?id=1Vcw6X5MbIng3CnL7fb0XGM3UcmBLMLW4</v>
      </c>
    </row>
    <row r="571">
      <c r="A571" s="6" t="str">
        <f>IFERROR(__xludf.DUMMYFUNCTION("""COMPUTED_VALUE"""),"mahesh.shindge@mitaoe.ac.in")</f>
        <v>mahesh.shindge@mitaoe.ac.in</v>
      </c>
      <c r="B571" s="6" t="str">
        <f>IFERROR(__xludf.DUMMYFUNCTION("""COMPUTED_VALUE"""),"YES")</f>
        <v>YES</v>
      </c>
      <c r="C571" s="6" t="str">
        <f>IFERROR(__xludf.DUMMYFUNCTION("""COMPUTED_VALUE"""),"YES")</f>
        <v>YES</v>
      </c>
      <c r="D571" s="49" t="str">
        <f>IFERROR(__xludf.DUMMYFUNCTION("""COMPUTED_VALUE"""),"https://drive.google.com/open?id=1wjAF6Z8s55yTD0LUouNJOMhztSULixYf")</f>
        <v>https://drive.google.com/open?id=1wjAF6Z8s55yTD0LUouNJOMhztSULixYf</v>
      </c>
      <c r="E571" s="49" t="str">
        <f>IFERROR(__xludf.DUMMYFUNCTION("""COMPUTED_VALUE"""),"https://drive.google.com/open?id=1lKKuELCT5AQmXRGGC9N3m7oTMep7QdI-")</f>
        <v>https://drive.google.com/open?id=1lKKuELCT5AQmXRGGC9N3m7oTMep7QdI-</v>
      </c>
    </row>
    <row r="572">
      <c r="A572" s="6" t="str">
        <f>IFERROR(__xludf.DUMMYFUNCTION("""COMPUTED_VALUE"""),"tanuja.himparge@mitaoe.ac.in")</f>
        <v>tanuja.himparge@mitaoe.ac.in</v>
      </c>
      <c r="B572" s="6" t="str">
        <f>IFERROR(__xludf.DUMMYFUNCTION("""COMPUTED_VALUE"""),"NO")</f>
        <v>NO</v>
      </c>
      <c r="C572" s="6" t="str">
        <f>IFERROR(__xludf.DUMMYFUNCTION("""COMPUTED_VALUE"""),"YES")</f>
        <v>YES</v>
      </c>
      <c r="D572" s="6"/>
      <c r="E572" s="49" t="str">
        <f>IFERROR(__xludf.DUMMYFUNCTION("""COMPUTED_VALUE"""),"https://drive.google.com/open?id=1m-tUfNooUujBLxrSqHNFFQLDKeU0DOiT")</f>
        <v>https://drive.google.com/open?id=1m-tUfNooUujBLxrSqHNFFQLDKeU0DOiT</v>
      </c>
    </row>
    <row r="573">
      <c r="A573" s="6" t="str">
        <f>IFERROR(__xludf.DUMMYFUNCTION("""COMPUTED_VALUE"""),"atharv.bedse@mitaoe.ac.in")</f>
        <v>atharv.bedse@mitaoe.ac.in</v>
      </c>
      <c r="B573" s="6" t="str">
        <f>IFERROR(__xludf.DUMMYFUNCTION("""COMPUTED_VALUE"""),"YES")</f>
        <v>YES</v>
      </c>
      <c r="C573" s="6" t="str">
        <f>IFERROR(__xludf.DUMMYFUNCTION("""COMPUTED_VALUE"""),"YES")</f>
        <v>YES</v>
      </c>
      <c r="D573" s="49" t="str">
        <f>IFERROR(__xludf.DUMMYFUNCTION("""COMPUTED_VALUE"""),"https://drive.google.com/open?id=17F6EGZ6r40hR6MgZB7rlhQV76NrvwrVI")</f>
        <v>https://drive.google.com/open?id=17F6EGZ6r40hR6MgZB7rlhQV76NrvwrVI</v>
      </c>
      <c r="E573" s="49" t="str">
        <f>IFERROR(__xludf.DUMMYFUNCTION("""COMPUTED_VALUE"""),"https://drive.google.com/open?id=1LG34t4mQSr3rDy6pDacX89KxcA-AQ4sV")</f>
        <v>https://drive.google.com/open?id=1LG34t4mQSr3rDy6pDacX89KxcA-AQ4sV</v>
      </c>
    </row>
    <row r="574">
      <c r="A574" s="6" t="str">
        <f>IFERROR(__xludf.DUMMYFUNCTION("""COMPUTED_VALUE"""),"kmjumade@mitaoe.ac.in")</f>
        <v>kmjumade@mitaoe.ac.in</v>
      </c>
      <c r="B574" s="6" t="str">
        <f>IFERROR(__xludf.DUMMYFUNCTION("""COMPUTED_VALUE"""),"NO")</f>
        <v>NO</v>
      </c>
      <c r="C574" s="6" t="str">
        <f>IFERROR(__xludf.DUMMYFUNCTION("""COMPUTED_VALUE"""),"YES")</f>
        <v>YES</v>
      </c>
      <c r="D574" s="6"/>
      <c r="E574" s="49" t="str">
        <f>IFERROR(__xludf.DUMMYFUNCTION("""COMPUTED_VALUE"""),"https://drive.google.com/open?id=16HOTnoIEsVkuprG2dqKZVqlF8zE0_9n2")</f>
        <v>https://drive.google.com/open?id=16HOTnoIEsVkuprG2dqKZVqlF8zE0_9n2</v>
      </c>
    </row>
    <row r="575">
      <c r="A575" s="6" t="str">
        <f>IFERROR(__xludf.DUMMYFUNCTION("""COMPUTED_VALUE"""),"yotoshniwal@mitaoe.ac.in")</f>
        <v>yotoshniwal@mitaoe.ac.in</v>
      </c>
      <c r="B575" s="6" t="str">
        <f>IFERROR(__xludf.DUMMYFUNCTION("""COMPUTED_VALUE"""),"YES")</f>
        <v>YES</v>
      </c>
      <c r="C575" s="6" t="str">
        <f>IFERROR(__xludf.DUMMYFUNCTION("""COMPUTED_VALUE"""),"YES")</f>
        <v>YES</v>
      </c>
      <c r="D575" s="49" t="str">
        <f>IFERROR(__xludf.DUMMYFUNCTION("""COMPUTED_VALUE"""),"https://drive.google.com/open?id=1ywNSZG8ivVo-hcer_CdI39DHbV_DHIRR")</f>
        <v>https://drive.google.com/open?id=1ywNSZG8ivVo-hcer_CdI39DHbV_DHIRR</v>
      </c>
      <c r="E575" s="49" t="str">
        <f>IFERROR(__xludf.DUMMYFUNCTION("""COMPUTED_VALUE"""),"https://drive.google.com/open?id=1d9NmXPC1WP-fCzZBBJhUg4EH-bOk0ArG")</f>
        <v>https://drive.google.com/open?id=1d9NmXPC1WP-fCzZBBJhUg4EH-bOk0ArG</v>
      </c>
    </row>
    <row r="576">
      <c r="A576" s="6" t="str">
        <f>IFERROR(__xludf.DUMMYFUNCTION("""COMPUTED_VALUE"""),"vsdabhade@mitaoe.ac.in")</f>
        <v>vsdabhade@mitaoe.ac.in</v>
      </c>
      <c r="B576" s="6" t="str">
        <f>IFERROR(__xludf.DUMMYFUNCTION("""COMPUTED_VALUE"""),"NO")</f>
        <v>NO</v>
      </c>
      <c r="C576" s="6" t="str">
        <f>IFERROR(__xludf.DUMMYFUNCTION("""COMPUTED_VALUE"""),"NO")</f>
        <v>NO</v>
      </c>
      <c r="D576" s="6"/>
      <c r="E576" s="6"/>
    </row>
    <row r="577">
      <c r="A577" s="6" t="str">
        <f>IFERROR(__xludf.DUMMYFUNCTION("""COMPUTED_VALUE"""),"shubham.mahajan@mitaoe.ac.in")</f>
        <v>shubham.mahajan@mitaoe.ac.in</v>
      </c>
      <c r="B577" s="6" t="str">
        <f>IFERROR(__xludf.DUMMYFUNCTION("""COMPUTED_VALUE"""),"NO")</f>
        <v>NO</v>
      </c>
      <c r="C577" s="6" t="str">
        <f>IFERROR(__xludf.DUMMYFUNCTION("""COMPUTED_VALUE"""),"NO")</f>
        <v>NO</v>
      </c>
      <c r="D577" s="6"/>
      <c r="E577" s="6"/>
    </row>
    <row r="578">
      <c r="A578" s="6" t="str">
        <f>IFERROR(__xludf.DUMMYFUNCTION("""COMPUTED_VALUE"""),"shradha.rathod@mitaoe.ac.in")</f>
        <v>shradha.rathod@mitaoe.ac.in</v>
      </c>
      <c r="B578" s="6" t="str">
        <f>IFERROR(__xludf.DUMMYFUNCTION("""COMPUTED_VALUE"""),"NO")</f>
        <v>NO</v>
      </c>
      <c r="C578" s="6" t="str">
        <f>IFERROR(__xludf.DUMMYFUNCTION("""COMPUTED_VALUE"""),"YES")</f>
        <v>YES</v>
      </c>
      <c r="D578" s="6"/>
      <c r="E578" s="49" t="str">
        <f>IFERROR(__xludf.DUMMYFUNCTION("""COMPUTED_VALUE"""),"https://drive.google.com/open?id=1p0r8loyUA__P_m0pFo-TeoVvD0voQJOP")</f>
        <v>https://drive.google.com/open?id=1p0r8loyUA__P_m0pFo-TeoVvD0voQJOP</v>
      </c>
    </row>
    <row r="579">
      <c r="A579" s="6" t="str">
        <f>IFERROR(__xludf.DUMMYFUNCTION("""COMPUTED_VALUE"""),"raju.kadam@mitaoe.ac.in")</f>
        <v>raju.kadam@mitaoe.ac.in</v>
      </c>
      <c r="B579" s="6" t="str">
        <f>IFERROR(__xludf.DUMMYFUNCTION("""COMPUTED_VALUE"""),"NO")</f>
        <v>NO</v>
      </c>
      <c r="C579" s="6" t="str">
        <f>IFERROR(__xludf.DUMMYFUNCTION("""COMPUTED_VALUE"""),"NO")</f>
        <v>NO</v>
      </c>
      <c r="D579" s="6"/>
      <c r="E579" s="6"/>
    </row>
    <row r="580">
      <c r="A580" s="6" t="str">
        <f>IFERROR(__xludf.DUMMYFUNCTION("""COMPUTED_VALUE"""),"arpita.funde@mitaoe.ac.in")</f>
        <v>arpita.funde@mitaoe.ac.in</v>
      </c>
      <c r="B580" s="6" t="str">
        <f>IFERROR(__xludf.DUMMYFUNCTION("""COMPUTED_VALUE"""),"YES")</f>
        <v>YES</v>
      </c>
      <c r="C580" s="6" t="str">
        <f>IFERROR(__xludf.DUMMYFUNCTION("""COMPUTED_VALUE"""),"YES")</f>
        <v>YES</v>
      </c>
      <c r="D580" s="49" t="str">
        <f>IFERROR(__xludf.DUMMYFUNCTION("""COMPUTED_VALUE"""),"https://drive.google.com/open?id=1YInSUPptaHsW6osHd_JHhrUW2WGZTqHr")</f>
        <v>https://drive.google.com/open?id=1YInSUPptaHsW6osHd_JHhrUW2WGZTqHr</v>
      </c>
      <c r="E580" s="49" t="str">
        <f>IFERROR(__xludf.DUMMYFUNCTION("""COMPUTED_VALUE"""),"https://drive.google.com/open?id=1XLYDGKR7i50epdN2Hjj1tYprzfND6Jy3")</f>
        <v>https://drive.google.com/open?id=1XLYDGKR7i50epdN2Hjj1tYprzfND6Jy3</v>
      </c>
    </row>
    <row r="581">
      <c r="A581" s="6" t="str">
        <f>IFERROR(__xludf.DUMMYFUNCTION("""COMPUTED_VALUE"""),"pratima.hatkar@mitaoe.ac.in")</f>
        <v>pratima.hatkar@mitaoe.ac.in</v>
      </c>
      <c r="B581" s="6" t="str">
        <f>IFERROR(__xludf.DUMMYFUNCTION("""COMPUTED_VALUE"""),"NO")</f>
        <v>NO</v>
      </c>
      <c r="C581" s="6" t="str">
        <f>IFERROR(__xludf.DUMMYFUNCTION("""COMPUTED_VALUE"""),"NO")</f>
        <v>NO</v>
      </c>
      <c r="D581" s="6"/>
      <c r="E581" s="6"/>
    </row>
    <row r="582">
      <c r="A582" s="6" t="str">
        <f>IFERROR(__xludf.DUMMYFUNCTION("""COMPUTED_VALUE"""),"ram.naghore@mitaoe.ac.in")</f>
        <v>ram.naghore@mitaoe.ac.in</v>
      </c>
      <c r="B582" s="6" t="str">
        <f>IFERROR(__xludf.DUMMYFUNCTION("""COMPUTED_VALUE"""),"NO")</f>
        <v>NO</v>
      </c>
      <c r="C582" s="6" t="str">
        <f>IFERROR(__xludf.DUMMYFUNCTION("""COMPUTED_VALUE"""),"YES")</f>
        <v>YES</v>
      </c>
      <c r="D582" s="6"/>
      <c r="E582" s="49" t="str">
        <f>IFERROR(__xludf.DUMMYFUNCTION("""COMPUTED_VALUE"""),"https://drive.google.com/open?id=1gs0y2KyYRfiOirMeyC6hmd3TdFgs9TOe")</f>
        <v>https://drive.google.com/open?id=1gs0y2KyYRfiOirMeyC6hmd3TdFgs9TOe</v>
      </c>
    </row>
    <row r="583">
      <c r="A583" s="6" t="str">
        <f>IFERROR(__xludf.DUMMYFUNCTION("""COMPUTED_VALUE"""),"sryelwande@mitaoe.ac.in")</f>
        <v>sryelwande@mitaoe.ac.in</v>
      </c>
      <c r="B583" s="6" t="str">
        <f>IFERROR(__xludf.DUMMYFUNCTION("""COMPUTED_VALUE"""),"NO")</f>
        <v>NO</v>
      </c>
      <c r="C583" s="6" t="str">
        <f>IFERROR(__xludf.DUMMYFUNCTION("""COMPUTED_VALUE"""),"NO")</f>
        <v>NO</v>
      </c>
      <c r="D583" s="6"/>
      <c r="E583" s="6"/>
    </row>
    <row r="584">
      <c r="A584" s="6" t="str">
        <f>IFERROR(__xludf.DUMMYFUNCTION("""COMPUTED_VALUE"""),"vishnu.patil@mitaoe.ac.in")</f>
        <v>vishnu.patil@mitaoe.ac.in</v>
      </c>
      <c r="B584" s="6" t="str">
        <f>IFERROR(__xludf.DUMMYFUNCTION("""COMPUTED_VALUE"""),"NO")</f>
        <v>NO</v>
      </c>
      <c r="C584" s="6" t="str">
        <f>IFERROR(__xludf.DUMMYFUNCTION("""COMPUTED_VALUE"""),"NO")</f>
        <v>NO</v>
      </c>
      <c r="D584" s="6"/>
      <c r="E584" s="49" t="str">
        <f>IFERROR(__xludf.DUMMYFUNCTION("""COMPUTED_VALUE"""),"https://drive.google.com/open?id=1LZkgsPm6YuHQwdMHxgTjXsgHmr-AcxKk")</f>
        <v>https://drive.google.com/open?id=1LZkgsPm6YuHQwdMHxgTjXsgHmr-AcxKk</v>
      </c>
    </row>
    <row r="585">
      <c r="A585" s="6" t="str">
        <f>IFERROR(__xludf.DUMMYFUNCTION("""COMPUTED_VALUE"""),"akgaikwad@mitaoe.ac.in")</f>
        <v>akgaikwad@mitaoe.ac.in</v>
      </c>
      <c r="B585" s="6" t="str">
        <f>IFERROR(__xludf.DUMMYFUNCTION("""COMPUTED_VALUE"""),"NO")</f>
        <v>NO</v>
      </c>
      <c r="C585" s="6" t="str">
        <f>IFERROR(__xludf.DUMMYFUNCTION("""COMPUTED_VALUE"""),"NO")</f>
        <v>NO</v>
      </c>
      <c r="D585" s="6"/>
      <c r="E585" s="6"/>
    </row>
    <row r="586">
      <c r="A586" s="6" t="str">
        <f>IFERROR(__xludf.DUMMYFUNCTION("""COMPUTED_VALUE"""),"ketan.wagh@mitaoe.ac.in")</f>
        <v>ketan.wagh@mitaoe.ac.in</v>
      </c>
      <c r="B586" s="6" t="str">
        <f>IFERROR(__xludf.DUMMYFUNCTION("""COMPUTED_VALUE"""),"YES")</f>
        <v>YES</v>
      </c>
      <c r="C586" s="6" t="str">
        <f>IFERROR(__xludf.DUMMYFUNCTION("""COMPUTED_VALUE"""),"NO")</f>
        <v>NO</v>
      </c>
      <c r="D586" s="49" t="str">
        <f>IFERROR(__xludf.DUMMYFUNCTION("""COMPUTED_VALUE"""),"https://drive.google.com/open?id=1OcIbnC_u9RkTRTfSXuOzGWM3YTcNmwxv")</f>
        <v>https://drive.google.com/open?id=1OcIbnC_u9RkTRTfSXuOzGWM3YTcNmwxv</v>
      </c>
      <c r="E586" s="6"/>
    </row>
    <row r="587">
      <c r="A587" s="6" t="str">
        <f>IFERROR(__xludf.DUMMYFUNCTION("""COMPUTED_VALUE"""),"akash.damdhar@mitaoe.ac.in")</f>
        <v>akash.damdhar@mitaoe.ac.in</v>
      </c>
      <c r="B587" s="6" t="str">
        <f>IFERROR(__xludf.DUMMYFUNCTION("""COMPUTED_VALUE"""),"YES")</f>
        <v>YES</v>
      </c>
      <c r="C587" s="6" t="str">
        <f>IFERROR(__xludf.DUMMYFUNCTION("""COMPUTED_VALUE"""),"YES")</f>
        <v>YES</v>
      </c>
      <c r="D587" s="49" t="str">
        <f>IFERROR(__xludf.DUMMYFUNCTION("""COMPUTED_VALUE"""),"https://drive.google.com/open?id=1cJPpgvpolCbmlFaiyUV_CPFXoE7EftYs")</f>
        <v>https://drive.google.com/open?id=1cJPpgvpolCbmlFaiyUV_CPFXoE7EftYs</v>
      </c>
      <c r="E587" s="49" t="str">
        <f>IFERROR(__xludf.DUMMYFUNCTION("""COMPUTED_VALUE"""),"https://drive.google.com/open?id=1cGVnTvc_rtIvPbrjsSH3kGjWbSIyG4EM")</f>
        <v>https://drive.google.com/open?id=1cGVnTvc_rtIvPbrjsSH3kGjWbSIyG4EM</v>
      </c>
    </row>
    <row r="588">
      <c r="A588" s="6" t="str">
        <f>IFERROR(__xludf.DUMMYFUNCTION("""COMPUTED_VALUE"""),"siraj.shaikh@mitaoe.ac.in")</f>
        <v>siraj.shaikh@mitaoe.ac.in</v>
      </c>
      <c r="B588" s="6" t="str">
        <f>IFERROR(__xludf.DUMMYFUNCTION("""COMPUTED_VALUE"""),"NO")</f>
        <v>NO</v>
      </c>
      <c r="C588" s="6" t="str">
        <f>IFERROR(__xludf.DUMMYFUNCTION("""COMPUTED_VALUE"""),"NO")</f>
        <v>NO</v>
      </c>
      <c r="D588" s="6"/>
      <c r="E588" s="6"/>
    </row>
    <row r="589">
      <c r="A589" s="6" t="str">
        <f>IFERROR(__xludf.DUMMYFUNCTION("""COMPUTED_VALUE"""),"shubham.sonawane@mitaoe.ac.in")</f>
        <v>shubham.sonawane@mitaoe.ac.in</v>
      </c>
      <c r="B589" s="6" t="str">
        <f>IFERROR(__xludf.DUMMYFUNCTION("""COMPUTED_VALUE"""),"YES")</f>
        <v>YES</v>
      </c>
      <c r="C589" s="6" t="str">
        <f>IFERROR(__xludf.DUMMYFUNCTION("""COMPUTED_VALUE"""),"YES")</f>
        <v>YES</v>
      </c>
      <c r="D589" s="49" t="str">
        <f>IFERROR(__xludf.DUMMYFUNCTION("""COMPUTED_VALUE"""),"https://drive.google.com/open?id=1flhkc3rt4lCAJtZecnW1frwwMg1B97a9")</f>
        <v>https://drive.google.com/open?id=1flhkc3rt4lCAJtZecnW1frwwMg1B97a9</v>
      </c>
      <c r="E589" s="49" t="str">
        <f>IFERROR(__xludf.DUMMYFUNCTION("""COMPUTED_VALUE"""),"https://drive.google.com/open?id=1BflWw39UGODIWJfjVd4aRMOCnLzZ05Xk")</f>
        <v>https://drive.google.com/open?id=1BflWw39UGODIWJfjVd4aRMOCnLzZ05Xk</v>
      </c>
    </row>
    <row r="590">
      <c r="A590" s="6" t="str">
        <f>IFERROR(__xludf.DUMMYFUNCTION("""COMPUTED_VALUE"""),"vishal.gaikwad@mitaoe.ac.in")</f>
        <v>vishal.gaikwad@mitaoe.ac.in</v>
      </c>
      <c r="B590" s="6" t="str">
        <f>IFERROR(__xludf.DUMMYFUNCTION("""COMPUTED_VALUE"""),"NO")</f>
        <v>NO</v>
      </c>
      <c r="C590" s="6" t="str">
        <f>IFERROR(__xludf.DUMMYFUNCTION("""COMPUTED_VALUE"""),"NO")</f>
        <v>NO</v>
      </c>
      <c r="D590" s="6"/>
      <c r="E590" s="6"/>
    </row>
    <row r="591">
      <c r="A591" s="6" t="str">
        <f>IFERROR(__xludf.DUMMYFUNCTION("""COMPUTED_VALUE"""),"krantisinha.jagtap@mitaoe.ac.in")</f>
        <v>krantisinha.jagtap@mitaoe.ac.in</v>
      </c>
      <c r="B591" s="6" t="str">
        <f>IFERROR(__xludf.DUMMYFUNCTION("""COMPUTED_VALUE"""),"YES (1 &amp; 2 Flipped)")</f>
        <v>YES (1 &amp; 2 Flipped)</v>
      </c>
      <c r="C591" s="6" t="str">
        <f>IFERROR(__xludf.DUMMYFUNCTION("""COMPUTED_VALUE"""),"YES (1 &amp; 2 Flipped)")</f>
        <v>YES (1 &amp; 2 Flipped)</v>
      </c>
      <c r="D591" s="49" t="str">
        <f>IFERROR(__xludf.DUMMYFUNCTION("""COMPUTED_VALUE"""),"https://drive.google.com/open?id=13nmUikgXaI1qbFwJlJdNDATSmw1AFT8J")</f>
        <v>https://drive.google.com/open?id=13nmUikgXaI1qbFwJlJdNDATSmw1AFT8J</v>
      </c>
      <c r="E591" s="49" t="str">
        <f>IFERROR(__xludf.DUMMYFUNCTION("""COMPUTED_VALUE"""),"https://drive.google.com/open?id=1SL8DciOHmwHyz0wTL11nWk-w8vQSGwyU")</f>
        <v>https://drive.google.com/open?id=1SL8DciOHmwHyz0wTL11nWk-w8vQSGwyU</v>
      </c>
    </row>
    <row r="592">
      <c r="A592" s="6" t="str">
        <f>IFERROR(__xludf.DUMMYFUNCTION("""COMPUTED_VALUE"""),"salman.tamboli@mitaoe.ac.in")</f>
        <v>salman.tamboli@mitaoe.ac.in</v>
      </c>
      <c r="B592" s="6" t="str">
        <f>IFERROR(__xludf.DUMMYFUNCTION("""COMPUTED_VALUE"""),"YES")</f>
        <v>YES</v>
      </c>
      <c r="C592" s="6" t="str">
        <f>IFERROR(__xludf.DUMMYFUNCTION("""COMPUTED_VALUE"""),"YES")</f>
        <v>YES</v>
      </c>
      <c r="D592" s="49" t="str">
        <f>IFERROR(__xludf.DUMMYFUNCTION("""COMPUTED_VALUE"""),"https://drive.google.com/open?id=1mC-URmdMFpk4x1Aj6eFxln46s2K9l7RI")</f>
        <v>https://drive.google.com/open?id=1mC-URmdMFpk4x1Aj6eFxln46s2K9l7RI</v>
      </c>
      <c r="E592" s="49" t="str">
        <f>IFERROR(__xludf.DUMMYFUNCTION("""COMPUTED_VALUE"""),"https://drive.google.com/open?id=1mSayFSKnTGunP9pKDMtnTFLZyPEAUEzE")</f>
        <v>https://drive.google.com/open?id=1mSayFSKnTGunP9pKDMtnTFLZyPEAUEzE</v>
      </c>
    </row>
    <row r="593">
      <c r="A593" s="6" t="str">
        <f>IFERROR(__xludf.DUMMYFUNCTION("""COMPUTED_VALUE"""),"mohit.jadhav@mitaoe.ac.in")</f>
        <v>mohit.jadhav@mitaoe.ac.in</v>
      </c>
      <c r="B593" s="6" t="str">
        <f>IFERROR(__xludf.DUMMYFUNCTION("""COMPUTED_VALUE"""),"YES")</f>
        <v>YES</v>
      </c>
      <c r="C593" s="6" t="str">
        <f>IFERROR(__xludf.DUMMYFUNCTION("""COMPUTED_VALUE"""),"YES")</f>
        <v>YES</v>
      </c>
      <c r="D593" s="49" t="str">
        <f>IFERROR(__xludf.DUMMYFUNCTION("""COMPUTED_VALUE"""),"https://drive.google.com/open?id=1ZN3eK_QNfFGM-MdxqvxwlyQ858iDaE4F")</f>
        <v>https://drive.google.com/open?id=1ZN3eK_QNfFGM-MdxqvxwlyQ858iDaE4F</v>
      </c>
      <c r="E593" s="49" t="str">
        <f>IFERROR(__xludf.DUMMYFUNCTION("""COMPUTED_VALUE"""),"https://drive.google.com/open?id=1ibwpCXZyveY-du6ew15tP5EQ8GlvssEq")</f>
        <v>https://drive.google.com/open?id=1ibwpCXZyveY-du6ew15tP5EQ8GlvssEq</v>
      </c>
    </row>
    <row r="594">
      <c r="A594" s="6" t="str">
        <f>IFERROR(__xludf.DUMMYFUNCTION("""COMPUTED_VALUE"""),"varad.madhavi@mitaoe.ac.in")</f>
        <v>varad.madhavi@mitaoe.ac.in</v>
      </c>
      <c r="B594" s="6" t="str">
        <f>IFERROR(__xludf.DUMMYFUNCTION("""COMPUTED_VALUE"""),"NO")</f>
        <v>NO</v>
      </c>
      <c r="C594" s="6" t="str">
        <f>IFERROR(__xludf.DUMMYFUNCTION("""COMPUTED_VALUE"""),"NO")</f>
        <v>NO</v>
      </c>
      <c r="D594" s="6"/>
      <c r="E594" s="6"/>
    </row>
    <row r="595">
      <c r="A595" s="6" t="str">
        <f>IFERROR(__xludf.DUMMYFUNCTION("""COMPUTED_VALUE"""),"rugved.naigaonkar@mitaoe.ac.in")</f>
        <v>rugved.naigaonkar@mitaoe.ac.in</v>
      </c>
      <c r="B595" s="6" t="str">
        <f>IFERROR(__xludf.DUMMYFUNCTION("""COMPUTED_VALUE"""),"YES")</f>
        <v>YES</v>
      </c>
      <c r="C595" s="6" t="str">
        <f>IFERROR(__xludf.DUMMYFUNCTION("""COMPUTED_VALUE"""),"YES")</f>
        <v>YES</v>
      </c>
      <c r="D595" s="49" t="str">
        <f>IFERROR(__xludf.DUMMYFUNCTION("""COMPUTED_VALUE"""),"https://drive.google.com/open?id=1qWv7q-9EX-kwnA85Tu6xviswb7ss9pIU")</f>
        <v>https://drive.google.com/open?id=1qWv7q-9EX-kwnA85Tu6xviswb7ss9pIU</v>
      </c>
      <c r="E595" s="49" t="str">
        <f>IFERROR(__xludf.DUMMYFUNCTION("""COMPUTED_VALUE"""),"https://drive.google.com/open?id=1CXIgpnnHxBPZGqRIaK3-5BQe0Wsy79xY")</f>
        <v>https://drive.google.com/open?id=1CXIgpnnHxBPZGqRIaK3-5BQe0Wsy79xY</v>
      </c>
    </row>
    <row r="596">
      <c r="A596" s="6" t="str">
        <f>IFERROR(__xludf.DUMMYFUNCTION("""COMPUTED_VALUE"""),"prathamesh.dhamnikar@mitaoe.ac.in")</f>
        <v>prathamesh.dhamnikar@mitaoe.ac.in</v>
      </c>
      <c r="B596" s="6" t="str">
        <f>IFERROR(__xludf.DUMMYFUNCTION("""COMPUTED_VALUE"""),"YES")</f>
        <v>YES</v>
      </c>
      <c r="C596" s="6" t="str">
        <f>IFERROR(__xludf.DUMMYFUNCTION("""COMPUTED_VALUE"""),"YES")</f>
        <v>YES</v>
      </c>
      <c r="D596" s="49" t="str">
        <f>IFERROR(__xludf.DUMMYFUNCTION("""COMPUTED_VALUE"""),"https://drive.google.com/open?id=11tj2f88YzwQ0nW1cMSD0PE-wz2nvdzfT")</f>
        <v>https://drive.google.com/open?id=11tj2f88YzwQ0nW1cMSD0PE-wz2nvdzfT</v>
      </c>
      <c r="E596" s="49" t="str">
        <f>IFERROR(__xludf.DUMMYFUNCTION("""COMPUTED_VALUE"""),"https://drive.google.com/open?id=1yrA0ln_Fcuid8uDcTaPOltbt2ZVpoqwk")</f>
        <v>https://drive.google.com/open?id=1yrA0ln_Fcuid8uDcTaPOltbt2ZVpoqwk</v>
      </c>
    </row>
    <row r="597">
      <c r="A597" s="6" t="str">
        <f>IFERROR(__xludf.DUMMYFUNCTION("""COMPUTED_VALUE"""),"prajwal.agarwal@mitaoe.ac.in")</f>
        <v>prajwal.agarwal@mitaoe.ac.in</v>
      </c>
      <c r="B597" s="6" t="str">
        <f>IFERROR(__xludf.DUMMYFUNCTION("""COMPUTED_VALUE"""),"NO")</f>
        <v>NO</v>
      </c>
      <c r="C597" s="6" t="str">
        <f>IFERROR(__xludf.DUMMYFUNCTION("""COMPUTED_VALUE"""),"NO")</f>
        <v>NO</v>
      </c>
      <c r="D597" s="6"/>
      <c r="E597" s="6"/>
    </row>
    <row r="598">
      <c r="A598" s="6" t="str">
        <f>IFERROR(__xludf.DUMMYFUNCTION("""COMPUTED_VALUE"""),"pavankumar.sarvade@mitaoe.ac.in")</f>
        <v>pavankumar.sarvade@mitaoe.ac.in</v>
      </c>
      <c r="B598" s="6" t="str">
        <f>IFERROR(__xludf.DUMMYFUNCTION("""COMPUTED_VALUE"""),"NO")</f>
        <v>NO</v>
      </c>
      <c r="C598" s="6" t="str">
        <f>IFERROR(__xludf.DUMMYFUNCTION("""COMPUTED_VALUE"""),"NO")</f>
        <v>NO</v>
      </c>
      <c r="D598" s="6"/>
      <c r="E598" s="6"/>
    </row>
    <row r="599">
      <c r="A599" s="6" t="str">
        <f>IFERROR(__xludf.DUMMYFUNCTION("""COMPUTED_VALUE"""),"rutuja.tarkase@mitaoe.ac.in")</f>
        <v>rutuja.tarkase@mitaoe.ac.in</v>
      </c>
      <c r="B599" s="6" t="str">
        <f>IFERROR(__xludf.DUMMYFUNCTION("""COMPUTED_VALUE"""),"NO")</f>
        <v>NO</v>
      </c>
      <c r="C599" s="6" t="str">
        <f>IFERROR(__xludf.DUMMYFUNCTION("""COMPUTED_VALUE"""),"NO")</f>
        <v>NO</v>
      </c>
      <c r="D599" s="6"/>
      <c r="E599" s="6"/>
    </row>
    <row r="600">
      <c r="A600" s="6" t="str">
        <f>IFERROR(__xludf.DUMMYFUNCTION("""COMPUTED_VALUE"""),"yash.sujgure@mitaoe.ac.in")</f>
        <v>yash.sujgure@mitaoe.ac.in</v>
      </c>
      <c r="B600" s="6" t="str">
        <f>IFERROR(__xludf.DUMMYFUNCTION("""COMPUTED_VALUE"""),"NO")</f>
        <v>NO</v>
      </c>
      <c r="C600" s="6" t="str">
        <f>IFERROR(__xludf.DUMMYFUNCTION("""COMPUTED_VALUE"""),"NO")</f>
        <v>NO</v>
      </c>
      <c r="D600" s="6"/>
      <c r="E600" s="6"/>
    </row>
    <row r="601">
      <c r="A601" s="6" t="str">
        <f>IFERROR(__xludf.DUMMYFUNCTION("""COMPUTED_VALUE"""),"raj.dhole@mitaoe.ac.in")</f>
        <v>raj.dhole@mitaoe.ac.in</v>
      </c>
      <c r="B601" s="6" t="str">
        <f>IFERROR(__xludf.DUMMYFUNCTION("""COMPUTED_VALUE"""),"YES")</f>
        <v>YES</v>
      </c>
      <c r="C601" s="6" t="str">
        <f>IFERROR(__xludf.DUMMYFUNCTION("""COMPUTED_VALUE"""),"YES")</f>
        <v>YES</v>
      </c>
      <c r="D601" s="49" t="str">
        <f>IFERROR(__xludf.DUMMYFUNCTION("""COMPUTED_VALUE"""),"https://drive.google.com/open?id=1na1GBRdalAx5gW-JYnXyt826uX-DZiKN")</f>
        <v>https://drive.google.com/open?id=1na1GBRdalAx5gW-JYnXyt826uX-DZiKN</v>
      </c>
      <c r="E601" s="49" t="str">
        <f>IFERROR(__xludf.DUMMYFUNCTION("""COMPUTED_VALUE"""),"https://drive.google.com/open?id=1e2OYMnSqzuDl0x2dtjMOGZGQCcv-kIHn")</f>
        <v>https://drive.google.com/open?id=1e2OYMnSqzuDl0x2dtjMOGZGQCcv-kIHn</v>
      </c>
    </row>
    <row r="602">
      <c r="A602" s="6" t="str">
        <f>IFERROR(__xludf.DUMMYFUNCTION("""COMPUTED_VALUE"""),"rishabhraj@mitaoe.ac.in")</f>
        <v>rishabhraj@mitaoe.ac.in</v>
      </c>
      <c r="B602" s="6" t="str">
        <f>IFERROR(__xludf.DUMMYFUNCTION("""COMPUTED_VALUE"""),"YES")</f>
        <v>YES</v>
      </c>
      <c r="C602" s="6" t="str">
        <f>IFERROR(__xludf.DUMMYFUNCTION("""COMPUTED_VALUE"""),"YES")</f>
        <v>YES</v>
      </c>
      <c r="D602" s="49" t="str">
        <f>IFERROR(__xludf.DUMMYFUNCTION("""COMPUTED_VALUE"""),"https://drive.google.com/open?id=1YhelV-V5rHuMpPeotuEda9OIRyt8WzGf")</f>
        <v>https://drive.google.com/open?id=1YhelV-V5rHuMpPeotuEda9OIRyt8WzGf</v>
      </c>
      <c r="E602" s="49" t="str">
        <f>IFERROR(__xludf.DUMMYFUNCTION("""COMPUTED_VALUE"""),"https://drive.google.com/open?id=17IFLZlU-eirw2IHFUUwHEMgRrHfVBhr0")</f>
        <v>https://drive.google.com/open?id=17IFLZlU-eirw2IHFUUwHEMgRrHfVBhr0</v>
      </c>
    </row>
    <row r="603">
      <c r="A603" s="6" t="str">
        <f>IFERROR(__xludf.DUMMYFUNCTION("""COMPUTED_VALUE"""),"manav.tak@mitaoe.ac.in")</f>
        <v>manav.tak@mitaoe.ac.in</v>
      </c>
      <c r="B603" s="6" t="str">
        <f>IFERROR(__xludf.DUMMYFUNCTION("""COMPUTED_VALUE"""),"NO")</f>
        <v>NO</v>
      </c>
      <c r="C603" s="6" t="str">
        <f>IFERROR(__xludf.DUMMYFUNCTION("""COMPUTED_VALUE"""),"YES")</f>
        <v>YES</v>
      </c>
      <c r="D603" s="6"/>
      <c r="E603" s="49" t="str">
        <f>IFERROR(__xludf.DUMMYFUNCTION("""COMPUTED_VALUE"""),"https://drive.google.com/open?id=1U_kHrBzgUiWPGvnAHa82Tjje9em0fQBc")</f>
        <v>https://drive.google.com/open?id=1U_kHrBzgUiWPGvnAHa82Tjje9em0fQBc</v>
      </c>
    </row>
    <row r="604">
      <c r="A604" s="6" t="str">
        <f>IFERROR(__xludf.DUMMYFUNCTION("""COMPUTED_VALUE"""),"ashlesha.suwase@mitaoe.ac.in")</f>
        <v>ashlesha.suwase@mitaoe.ac.in</v>
      </c>
      <c r="B604" s="6" t="str">
        <f>IFERROR(__xludf.DUMMYFUNCTION("""COMPUTED_VALUE"""),"NO")</f>
        <v>NO</v>
      </c>
      <c r="C604" s="6" t="str">
        <f>IFERROR(__xludf.DUMMYFUNCTION("""COMPUTED_VALUE"""),"NO")</f>
        <v>NO</v>
      </c>
      <c r="D604" s="6"/>
      <c r="E604" s="6"/>
    </row>
    <row r="605">
      <c r="A605" s="6" t="str">
        <f>IFERROR(__xludf.DUMMYFUNCTION("""COMPUTED_VALUE"""),"abdulmuiz.ghori@mitaoe.ac.in")</f>
        <v>abdulmuiz.ghori@mitaoe.ac.in</v>
      </c>
      <c r="B605" s="6" t="str">
        <f>IFERROR(__xludf.DUMMYFUNCTION("""COMPUTED_VALUE"""),"YES")</f>
        <v>YES</v>
      </c>
      <c r="C605" s="6" t="str">
        <f>IFERROR(__xludf.DUMMYFUNCTION("""COMPUTED_VALUE"""),"YES")</f>
        <v>YES</v>
      </c>
      <c r="D605" s="49" t="str">
        <f>IFERROR(__xludf.DUMMYFUNCTION("""COMPUTED_VALUE"""),"https://drive.google.com/open?id=1KuJfwPeHL6jwCKHc8F6uIPV_7lYcFPQC")</f>
        <v>https://drive.google.com/open?id=1KuJfwPeHL6jwCKHc8F6uIPV_7lYcFPQC</v>
      </c>
      <c r="E605" s="49" t="str">
        <f>IFERROR(__xludf.DUMMYFUNCTION("""COMPUTED_VALUE"""),"https://drive.google.com/open?id=16S1nKV73HeFGmenBCt_NiLVS-aKdVDuv")</f>
        <v>https://drive.google.com/open?id=16S1nKV73HeFGmenBCt_NiLVS-aKdVDuv</v>
      </c>
    </row>
    <row r="606">
      <c r="A606" s="6" t="str">
        <f>IFERROR(__xludf.DUMMYFUNCTION("""COMPUTED_VALUE"""),"machindranath.bothe@mitaoe.ac.in")</f>
        <v>machindranath.bothe@mitaoe.ac.in</v>
      </c>
      <c r="B606" s="6" t="str">
        <f>IFERROR(__xludf.DUMMYFUNCTION("""COMPUTED_VALUE"""),"YES")</f>
        <v>YES</v>
      </c>
      <c r="C606" s="6" t="str">
        <f>IFERROR(__xludf.DUMMYFUNCTION("""COMPUTED_VALUE"""),"YES")</f>
        <v>YES</v>
      </c>
      <c r="D606" s="49" t="str">
        <f>IFERROR(__xludf.DUMMYFUNCTION("""COMPUTED_VALUE"""),"https://drive.google.com/open?id=1X1ey7HnMNUo622aS9xYIqKEIfOwZ9MUU")</f>
        <v>https://drive.google.com/open?id=1X1ey7HnMNUo622aS9xYIqKEIfOwZ9MUU</v>
      </c>
      <c r="E606" s="49" t="str">
        <f>IFERROR(__xludf.DUMMYFUNCTION("""COMPUTED_VALUE"""),"https://drive.google.com/open?id=10etb1V61SOYealaqxWf6xMKBwok0gHaP")</f>
        <v>https://drive.google.com/open?id=10etb1V61SOYealaqxWf6xMKBwok0gHaP</v>
      </c>
    </row>
    <row r="607">
      <c r="A607" s="6" t="str">
        <f>IFERROR(__xludf.DUMMYFUNCTION("""COMPUTED_VALUE"""),"amol.sonawane@mitaoe.ac.in")</f>
        <v>amol.sonawane@mitaoe.ac.in</v>
      </c>
      <c r="B607" s="6" t="str">
        <f>IFERROR(__xludf.DUMMYFUNCTION("""COMPUTED_VALUE"""),"YES")</f>
        <v>YES</v>
      </c>
      <c r="C607" s="6" t="str">
        <f>IFERROR(__xludf.DUMMYFUNCTION("""COMPUTED_VALUE"""),"YES")</f>
        <v>YES</v>
      </c>
      <c r="D607" s="49" t="str">
        <f>IFERROR(__xludf.DUMMYFUNCTION("""COMPUTED_VALUE"""),"https://drive.google.com/open?id=1hnJDFp5TYhPg8kJxjdDmCgB_zZaj96iS")</f>
        <v>https://drive.google.com/open?id=1hnJDFp5TYhPg8kJxjdDmCgB_zZaj96iS</v>
      </c>
      <c r="E607" s="49" t="str">
        <f>IFERROR(__xludf.DUMMYFUNCTION("""COMPUTED_VALUE"""),"https://drive.google.com/open?id=1THbK5ofavOdJn63IVUyVjZxaM6KlrTJ-")</f>
        <v>https://drive.google.com/open?id=1THbK5ofavOdJn63IVUyVjZxaM6KlrTJ-</v>
      </c>
    </row>
    <row r="608">
      <c r="A608" s="6" t="str">
        <f>IFERROR(__xludf.DUMMYFUNCTION("""COMPUTED_VALUE"""),"odsonawane@mitaoe.ac.in")</f>
        <v>odsonawane@mitaoe.ac.in</v>
      </c>
      <c r="B608" s="6" t="str">
        <f>IFERROR(__xludf.DUMMYFUNCTION("""COMPUTED_VALUE"""),"NO")</f>
        <v>NO</v>
      </c>
      <c r="C608" s="6" t="str">
        <f>IFERROR(__xludf.DUMMYFUNCTION("""COMPUTED_VALUE"""),"YES")</f>
        <v>YES</v>
      </c>
      <c r="D608" s="6"/>
      <c r="E608" s="49" t="str">
        <f>IFERROR(__xludf.DUMMYFUNCTION("""COMPUTED_VALUE"""),"https://drive.google.com/open?id=1xiE2P2Nefp30B1QxW6OK7PS5K-FWOsyp")</f>
        <v>https://drive.google.com/open?id=1xiE2P2Nefp30B1QxW6OK7PS5K-FWOsyp</v>
      </c>
    </row>
    <row r="609">
      <c r="A609" s="6" t="str">
        <f>IFERROR(__xludf.DUMMYFUNCTION("""COMPUTED_VALUE"""),"ashishgurav@mitaoe.ac.in")</f>
        <v>ashishgurav@mitaoe.ac.in</v>
      </c>
      <c r="B609" s="6" t="str">
        <f>IFERROR(__xludf.DUMMYFUNCTION("""COMPUTED_VALUE"""),"NO")</f>
        <v>NO</v>
      </c>
      <c r="C609" s="6" t="str">
        <f>IFERROR(__xludf.DUMMYFUNCTION("""COMPUTED_VALUE"""),"YES")</f>
        <v>YES</v>
      </c>
      <c r="D609" s="6"/>
      <c r="E609" s="49" t="str">
        <f>IFERROR(__xludf.DUMMYFUNCTION("""COMPUTED_VALUE"""),"https://drive.google.com/open?id=1D3fHW0Aj7NWsUuOpLqDseriEav4d5Inb")</f>
        <v>https://drive.google.com/open?id=1D3fHW0Aj7NWsUuOpLqDseriEav4d5Inb</v>
      </c>
    </row>
    <row r="610">
      <c r="A610" s="6" t="str">
        <f>IFERROR(__xludf.DUMMYFUNCTION("""COMPUTED_VALUE"""),"mohit.thakkar@mitaoe.ac.in")</f>
        <v>mohit.thakkar@mitaoe.ac.in</v>
      </c>
      <c r="B610" s="6" t="str">
        <f>IFERROR(__xludf.DUMMYFUNCTION("""COMPUTED_VALUE"""),"NO")</f>
        <v>NO</v>
      </c>
      <c r="C610" s="6" t="str">
        <f>IFERROR(__xludf.DUMMYFUNCTION("""COMPUTED_VALUE"""),"YES")</f>
        <v>YES</v>
      </c>
      <c r="D610" s="6"/>
      <c r="E610" s="49" t="str">
        <f>IFERROR(__xludf.DUMMYFUNCTION("""COMPUTED_VALUE"""),"https://drive.google.com/open?id=1NObcPb3vD6EZMDbnBW3-D1yH_sYi-Mhl")</f>
        <v>https://drive.google.com/open?id=1NObcPb3vD6EZMDbnBW3-D1yH_sYi-Mhl</v>
      </c>
    </row>
    <row r="611">
      <c r="A611" s="6" t="str">
        <f>IFERROR(__xludf.DUMMYFUNCTION("""COMPUTED_VALUE"""),"pkbhujbal@mitaoe.ac.in")</f>
        <v>pkbhujbal@mitaoe.ac.in</v>
      </c>
      <c r="B611" s="6" t="str">
        <f>IFERROR(__xludf.DUMMYFUNCTION("""COMPUTED_VALUE"""),"YES")</f>
        <v>YES</v>
      </c>
      <c r="C611" s="6" t="str">
        <f>IFERROR(__xludf.DUMMYFUNCTION("""COMPUTED_VALUE"""),"YES")</f>
        <v>YES</v>
      </c>
      <c r="D611" s="6"/>
      <c r="E611" s="49" t="str">
        <f>IFERROR(__xludf.DUMMYFUNCTION("""COMPUTED_VALUE"""),"https://drive.google.com/open?id=15IjosFqeUPI7gfhO4KTA7UNjCVbrBP7i")</f>
        <v>https://drive.google.com/open?id=15IjosFqeUPI7gfhO4KTA7UNjCVbrBP7i</v>
      </c>
    </row>
    <row r="612">
      <c r="A612" s="6" t="str">
        <f>IFERROR(__xludf.DUMMYFUNCTION("""COMPUTED_VALUE"""),"hsbhidave@mitaoe.ac.in")</f>
        <v>hsbhidave@mitaoe.ac.in</v>
      </c>
      <c r="B612" s="6" t="str">
        <f>IFERROR(__xludf.DUMMYFUNCTION("""COMPUTED_VALUE"""),"NO")</f>
        <v>NO</v>
      </c>
      <c r="C612" s="6" t="str">
        <f>IFERROR(__xludf.DUMMYFUNCTION("""COMPUTED_VALUE"""),"YES")</f>
        <v>YES</v>
      </c>
      <c r="D612" s="6"/>
      <c r="E612" s="49" t="str">
        <f>IFERROR(__xludf.DUMMYFUNCTION("""COMPUTED_VALUE"""),"https://drive.google.com/open?id=1jejWBL83kRFQaWkOD4BgMwlocQBe1JmR")</f>
        <v>https://drive.google.com/open?id=1jejWBL83kRFQaWkOD4BgMwlocQBe1JmR</v>
      </c>
    </row>
    <row r="613">
      <c r="A613" s="6" t="str">
        <f>IFERROR(__xludf.DUMMYFUNCTION("""COMPUTED_VALUE"""),"sasarve@mitaoe.ac.in")</f>
        <v>sasarve@mitaoe.ac.in</v>
      </c>
      <c r="B613" s="6" t="str">
        <f>IFERROR(__xludf.DUMMYFUNCTION("""COMPUTED_VALUE"""),"YES")</f>
        <v>YES</v>
      </c>
      <c r="C613" s="6" t="str">
        <f>IFERROR(__xludf.DUMMYFUNCTION("""COMPUTED_VALUE"""),"YES")</f>
        <v>YES</v>
      </c>
      <c r="D613" s="49" t="str">
        <f>IFERROR(__xludf.DUMMYFUNCTION("""COMPUTED_VALUE"""),"https://drive.google.com/open?id=1S-fAjKG8xCwhEaw6810Y9OxvkwITZy_B")</f>
        <v>https://drive.google.com/open?id=1S-fAjKG8xCwhEaw6810Y9OxvkwITZy_B</v>
      </c>
      <c r="E613" s="49" t="str">
        <f>IFERROR(__xludf.DUMMYFUNCTION("""COMPUTED_VALUE"""),"https://drive.google.com/open?id=1usDXfvUbiUl2v2QExdjjRMJKTcIrTweO")</f>
        <v>https://drive.google.com/open?id=1usDXfvUbiUl2v2QExdjjRMJKTcIrTweO</v>
      </c>
    </row>
    <row r="614">
      <c r="A614" s="6" t="str">
        <f>IFERROR(__xludf.DUMMYFUNCTION("""COMPUTED_VALUE"""),"mrkorde@mitaoe.ac.in")</f>
        <v>mrkorde@mitaoe.ac.in</v>
      </c>
      <c r="B614" s="6" t="str">
        <f>IFERROR(__xludf.DUMMYFUNCTION("""COMPUTED_VALUE"""),"NO")</f>
        <v>NO</v>
      </c>
      <c r="C614" s="6"/>
      <c r="D614" s="6"/>
      <c r="E614" s="6"/>
    </row>
    <row r="615">
      <c r="A615" s="6" t="str">
        <f>IFERROR(__xludf.DUMMYFUNCTION("""COMPUTED_VALUE"""),"shekhar.tele@mitaoe.ac.in")</f>
        <v>shekhar.tele@mitaoe.ac.in</v>
      </c>
      <c r="B615" s="6" t="str">
        <f>IFERROR(__xludf.DUMMYFUNCTION("""COMPUTED_VALUE"""),"NO")</f>
        <v>NO</v>
      </c>
      <c r="C615" s="6" t="str">
        <f>IFERROR(__xludf.DUMMYFUNCTION("""COMPUTED_VALUE"""),"NO")</f>
        <v>NO</v>
      </c>
      <c r="D615" s="6"/>
      <c r="E615" s="6"/>
    </row>
    <row r="616">
      <c r="A616" s="6" t="str">
        <f>IFERROR(__xludf.DUMMYFUNCTION("""COMPUTED_VALUE"""),"pclobabhattu@mitaoe.ac.in")</f>
        <v>pclobabhattu@mitaoe.ac.in</v>
      </c>
      <c r="B616" s="6" t="str">
        <f>IFERROR(__xludf.DUMMYFUNCTION("""COMPUTED_VALUE"""),"NO")</f>
        <v>NO</v>
      </c>
      <c r="C616" s="6" t="str">
        <f>IFERROR(__xludf.DUMMYFUNCTION("""COMPUTED_VALUE"""),"NO")</f>
        <v>NO</v>
      </c>
      <c r="D616" s="6"/>
      <c r="E616" s="6"/>
    </row>
    <row r="617">
      <c r="A617" s="6" t="str">
        <f>IFERROR(__xludf.DUMMYFUNCTION("""COMPUTED_VALUE"""),"sachavan@mitaoe.ac.in")</f>
        <v>sachavan@mitaoe.ac.in</v>
      </c>
      <c r="B617" s="6" t="str">
        <f>IFERROR(__xludf.DUMMYFUNCTION("""COMPUTED_VALUE"""),"NO")</f>
        <v>NO</v>
      </c>
      <c r="C617" s="6" t="str">
        <f>IFERROR(__xludf.DUMMYFUNCTION("""COMPUTED_VALUE"""),"NO")</f>
        <v>NO</v>
      </c>
      <c r="D617" s="6"/>
      <c r="E617" s="6"/>
    </row>
    <row r="618">
      <c r="A618" s="6" t="str">
        <f>IFERROR(__xludf.DUMMYFUNCTION("""COMPUTED_VALUE"""),"mrsaha@mitaoe.ac.in")</f>
        <v>mrsaha@mitaoe.ac.in</v>
      </c>
      <c r="B618" s="6" t="str">
        <f>IFERROR(__xludf.DUMMYFUNCTION("""COMPUTED_VALUE"""),"YES")</f>
        <v>YES</v>
      </c>
      <c r="C618" s="6" t="str">
        <f>IFERROR(__xludf.DUMMYFUNCTION("""COMPUTED_VALUE"""),"YES")</f>
        <v>YES</v>
      </c>
      <c r="D618" s="49" t="str">
        <f>IFERROR(__xludf.DUMMYFUNCTION("""COMPUTED_VALUE"""),"https://drive.google.com/open?id=1G93aGhdUIyccVI72_4k4nfkIDNLxVMQJ")</f>
        <v>https://drive.google.com/open?id=1G93aGhdUIyccVI72_4k4nfkIDNLxVMQJ</v>
      </c>
      <c r="E618" s="49" t="str">
        <f>IFERROR(__xludf.DUMMYFUNCTION("""COMPUTED_VALUE"""),"https://drive.google.com/open?id=1qgNG0xsO4L8M15q0BJsyUxetnL45BJmy")</f>
        <v>https://drive.google.com/open?id=1qgNG0xsO4L8M15q0BJsyUxetnL45BJmy</v>
      </c>
    </row>
    <row r="619">
      <c r="A619" s="6" t="str">
        <f>IFERROR(__xludf.DUMMYFUNCTION("""COMPUTED_VALUE"""),"nikhil.shinde@mitaoe.ac.in")</f>
        <v>nikhil.shinde@mitaoe.ac.in</v>
      </c>
      <c r="B619" s="6" t="str">
        <f>IFERROR(__xludf.DUMMYFUNCTION("""COMPUTED_VALUE"""),"NO")</f>
        <v>NO</v>
      </c>
      <c r="C619" s="6" t="str">
        <f>IFERROR(__xludf.DUMMYFUNCTION("""COMPUTED_VALUE"""),"NO")</f>
        <v>NO</v>
      </c>
      <c r="D619" s="6"/>
      <c r="E619" s="6"/>
    </row>
    <row r="620">
      <c r="A620" s="6" t="str">
        <f>IFERROR(__xludf.DUMMYFUNCTION("""COMPUTED_VALUE"""),"chanda.nagdeote@mitaoe.ac.in")</f>
        <v>chanda.nagdeote@mitaoe.ac.in</v>
      </c>
      <c r="B620" s="6" t="str">
        <f>IFERROR(__xludf.DUMMYFUNCTION("""COMPUTED_VALUE"""),"YES")</f>
        <v>YES</v>
      </c>
      <c r="C620" s="6" t="str">
        <f>IFERROR(__xludf.DUMMYFUNCTION("""COMPUTED_VALUE"""),"NO")</f>
        <v>NO</v>
      </c>
      <c r="D620" s="49" t="str">
        <f>IFERROR(__xludf.DUMMYFUNCTION("""COMPUTED_VALUE"""),"https://drive.google.com/open?id=1fM_HqC3fKft7sx-m6RY7LxgjMM2uEjeZ")</f>
        <v>https://drive.google.com/open?id=1fM_HqC3fKft7sx-m6RY7LxgjMM2uEjeZ</v>
      </c>
      <c r="E620" s="6"/>
    </row>
    <row r="621">
      <c r="A621" s="6" t="str">
        <f>IFERROR(__xludf.DUMMYFUNCTION("""COMPUTED_VALUE"""),"akshay.chaure@mitaoe.ac.in")</f>
        <v>akshay.chaure@mitaoe.ac.in</v>
      </c>
      <c r="B621" s="6" t="str">
        <f>IFERROR(__xludf.DUMMYFUNCTION("""COMPUTED_VALUE"""),"NO")</f>
        <v>NO</v>
      </c>
      <c r="C621" s="6" t="str">
        <f>IFERROR(__xludf.DUMMYFUNCTION("""COMPUTED_VALUE"""),"NO")</f>
        <v>NO</v>
      </c>
      <c r="D621" s="6"/>
      <c r="E621" s="6"/>
    </row>
    <row r="622">
      <c r="A622" s="6" t="str">
        <f>IFERROR(__xludf.DUMMYFUNCTION("""COMPUTED_VALUE"""),"vvmanaji@mitaoe.ac.in")</f>
        <v>vvmanaji@mitaoe.ac.in</v>
      </c>
      <c r="B622" s="6" t="str">
        <f>IFERROR(__xludf.DUMMYFUNCTION("""COMPUTED_VALUE"""),"NO")</f>
        <v>NO</v>
      </c>
      <c r="C622" s="6" t="str">
        <f>IFERROR(__xludf.DUMMYFUNCTION("""COMPUTED_VALUE"""),"NO")</f>
        <v>NO</v>
      </c>
      <c r="D622" s="6"/>
      <c r="E622" s="6"/>
    </row>
    <row r="623">
      <c r="A623" s="6" t="str">
        <f>IFERROR(__xludf.DUMMYFUNCTION("""COMPUTED_VALUE"""),"srgade@mitaoe.ac.in")</f>
        <v>srgade@mitaoe.ac.in</v>
      </c>
      <c r="B623" s="6" t="str">
        <f>IFERROR(__xludf.DUMMYFUNCTION("""COMPUTED_VALUE"""),"YES")</f>
        <v>YES</v>
      </c>
      <c r="C623" s="6" t="str">
        <f>IFERROR(__xludf.DUMMYFUNCTION("""COMPUTED_VALUE"""),"NO")</f>
        <v>NO</v>
      </c>
      <c r="D623" s="49" t="str">
        <f>IFERROR(__xludf.DUMMYFUNCTION("""COMPUTED_VALUE"""),"https://drive.google.com/open?id=1-ak525gRxq8nyfL8Le0VePagQ1BqYbQN")</f>
        <v>https://drive.google.com/open?id=1-ak525gRxq8nyfL8Le0VePagQ1BqYbQN</v>
      </c>
      <c r="E623" s="6"/>
    </row>
    <row r="624">
      <c r="A624" s="6" t="str">
        <f>IFERROR(__xludf.DUMMYFUNCTION("""COMPUTED_VALUE"""),"ovdumne@mitaoe.ac.in")</f>
        <v>ovdumne@mitaoe.ac.in</v>
      </c>
      <c r="B624" s="6" t="str">
        <f>IFERROR(__xludf.DUMMYFUNCTION("""COMPUTED_VALUE"""),"NO")</f>
        <v>NO</v>
      </c>
      <c r="C624" s="6" t="str">
        <f>IFERROR(__xludf.DUMMYFUNCTION("""COMPUTED_VALUE"""),"NO")</f>
        <v>NO</v>
      </c>
      <c r="D624" s="6"/>
      <c r="E624" s="6"/>
    </row>
    <row r="625">
      <c r="A625" s="6" t="str">
        <f>IFERROR(__xludf.DUMMYFUNCTION("""COMPUTED_VALUE"""),"shambhurajpatil@mitaoe.ac.in")</f>
        <v>shambhurajpatil@mitaoe.ac.in</v>
      </c>
      <c r="B625" s="6" t="str">
        <f>IFERROR(__xludf.DUMMYFUNCTION("""COMPUTED_VALUE"""),"NO")</f>
        <v>NO</v>
      </c>
      <c r="C625" s="6" t="str">
        <f>IFERROR(__xludf.DUMMYFUNCTION("""COMPUTED_VALUE"""),"NO")</f>
        <v>NO</v>
      </c>
      <c r="D625" s="6"/>
      <c r="E625" s="6"/>
    </row>
    <row r="626">
      <c r="A626" s="6" t="str">
        <f>IFERROR(__xludf.DUMMYFUNCTION("""COMPUTED_VALUE"""),"akdongre@mitaoe.ac.in")</f>
        <v>akdongre@mitaoe.ac.in</v>
      </c>
      <c r="B626" s="6" t="str">
        <f>IFERROR(__xludf.DUMMYFUNCTION("""COMPUTED_VALUE"""),"NO")</f>
        <v>NO</v>
      </c>
      <c r="C626" s="6" t="str">
        <f>IFERROR(__xludf.DUMMYFUNCTION("""COMPUTED_VALUE"""),"NO")</f>
        <v>NO</v>
      </c>
      <c r="D626" s="6"/>
      <c r="E626" s="6"/>
    </row>
    <row r="627">
      <c r="A627" s="6" t="str">
        <f>IFERROR(__xludf.DUMMYFUNCTION("""COMPUTED_VALUE"""),"pankaj.yadav@mitaoe.ac.in")</f>
        <v>pankaj.yadav@mitaoe.ac.in</v>
      </c>
      <c r="B627" s="6" t="str">
        <f>IFERROR(__xludf.DUMMYFUNCTION("""COMPUTED_VALUE"""),"NO")</f>
        <v>NO</v>
      </c>
      <c r="C627" s="6" t="str">
        <f>IFERROR(__xludf.DUMMYFUNCTION("""COMPUTED_VALUE"""),"NO")</f>
        <v>NO</v>
      </c>
      <c r="D627" s="6"/>
      <c r="E627" s="6"/>
    </row>
    <row r="628">
      <c r="A628" s="6" t="str">
        <f>IFERROR(__xludf.DUMMYFUNCTION("""COMPUTED_VALUE"""),"osmandavkar@mitaoe.ac.in")</f>
        <v>osmandavkar@mitaoe.ac.in</v>
      </c>
      <c r="B628" s="6" t="str">
        <f>IFERROR(__xludf.DUMMYFUNCTION("""COMPUTED_VALUE"""),"NO")</f>
        <v>NO</v>
      </c>
      <c r="C628" s="6" t="str">
        <f>IFERROR(__xludf.DUMMYFUNCTION("""COMPUTED_VALUE"""),"YES")</f>
        <v>YES</v>
      </c>
      <c r="D628" s="6"/>
      <c r="E628" s="49" t="str">
        <f>IFERROR(__xludf.DUMMYFUNCTION("""COMPUTED_VALUE"""),"https://drive.google.com/open?id=15fvHU_ub9Vk5Lzd2MQH1rCGcso5n6GJM")</f>
        <v>https://drive.google.com/open?id=15fvHU_ub9Vk5Lzd2MQH1rCGcso5n6GJM</v>
      </c>
    </row>
    <row r="629">
      <c r="A629" s="6" t="str">
        <f>IFERROR(__xludf.DUMMYFUNCTION("""COMPUTED_VALUE"""),"mbpawar@mitaoe.ac.in")</f>
        <v>mbpawar@mitaoe.ac.in</v>
      </c>
      <c r="B629" s="6" t="str">
        <f>IFERROR(__xludf.DUMMYFUNCTION("""COMPUTED_VALUE"""),"YES")</f>
        <v>YES</v>
      </c>
      <c r="C629" s="6" t="str">
        <f>IFERROR(__xludf.DUMMYFUNCTION("""COMPUTED_VALUE"""),"YES")</f>
        <v>YES</v>
      </c>
      <c r="D629" s="49" t="str">
        <f>IFERROR(__xludf.DUMMYFUNCTION("""COMPUTED_VALUE"""),"https://drive.google.com/open?id=1U33uxl6xglUBvogKALY5pZ-OfhFxhst6")</f>
        <v>https://drive.google.com/open?id=1U33uxl6xglUBvogKALY5pZ-OfhFxhst6</v>
      </c>
      <c r="E629" s="49" t="str">
        <f>IFERROR(__xludf.DUMMYFUNCTION("""COMPUTED_VALUE"""),"https://drive.google.com/open?id=12JtYSge2rYlyesYmyFZaf-Z_XTsx95qk")</f>
        <v>https://drive.google.com/open?id=12JtYSge2rYlyesYmyFZaf-Z_XTsx95qk</v>
      </c>
    </row>
    <row r="630">
      <c r="A630" s="6" t="str">
        <f>IFERROR(__xludf.DUMMYFUNCTION("""COMPUTED_VALUE"""),"pachavan@mitaoe.ac.in")</f>
        <v>pachavan@mitaoe.ac.in</v>
      </c>
      <c r="B630" s="6" t="str">
        <f>IFERROR(__xludf.DUMMYFUNCTION("""COMPUTED_VALUE"""),"YES")</f>
        <v>YES</v>
      </c>
      <c r="C630" s="6" t="str">
        <f>IFERROR(__xludf.DUMMYFUNCTION("""COMPUTED_VALUE"""),"NO")</f>
        <v>NO</v>
      </c>
      <c r="D630" s="49" t="str">
        <f>IFERROR(__xludf.DUMMYFUNCTION("""COMPUTED_VALUE"""),"https://drive.google.com/open?id=1mwWXx8C5NazNxUuo9QLai7-OjhJI116O")</f>
        <v>https://drive.google.com/open?id=1mwWXx8C5NazNxUuo9QLai7-OjhJI116O</v>
      </c>
      <c r="E630" s="6"/>
    </row>
    <row r="631">
      <c r="A631" s="6" t="str">
        <f>IFERROR(__xludf.DUMMYFUNCTION("""COMPUTED_VALUE"""),"sachate@mitaoe.ac.in")</f>
        <v>sachate@mitaoe.ac.in</v>
      </c>
      <c r="B631" s="6" t="str">
        <f>IFERROR(__xludf.DUMMYFUNCTION("""COMPUTED_VALUE"""),"YES")</f>
        <v>YES</v>
      </c>
      <c r="C631" s="6" t="str">
        <f>IFERROR(__xludf.DUMMYFUNCTION("""COMPUTED_VALUE"""),"YES")</f>
        <v>YES</v>
      </c>
      <c r="D631" s="49" t="str">
        <f>IFERROR(__xludf.DUMMYFUNCTION("""COMPUTED_VALUE"""),"https://drive.google.com/open?id=1_e2GFs4JvXV51xyJmhLEGnjwQPWuj-P0")</f>
        <v>https://drive.google.com/open?id=1_e2GFs4JvXV51xyJmhLEGnjwQPWuj-P0</v>
      </c>
      <c r="E631" s="49" t="str">
        <f>IFERROR(__xludf.DUMMYFUNCTION("""COMPUTED_VALUE"""),"https://drive.google.com/open?id=1JGLqupwomZCeL2NM4dHqdKNBL5u-grPq")</f>
        <v>https://drive.google.com/open?id=1JGLqupwomZCeL2NM4dHqdKNBL5u-grPq</v>
      </c>
    </row>
    <row r="632">
      <c r="A632" s="6" t="str">
        <f>IFERROR(__xludf.DUMMYFUNCTION("""COMPUTED_VALUE"""),"npsonawane@mitaoe.ac.in")</f>
        <v>npsonawane@mitaoe.ac.in</v>
      </c>
      <c r="B632" s="6" t="str">
        <f>IFERROR(__xludf.DUMMYFUNCTION("""COMPUTED_VALUE"""),"YES")</f>
        <v>YES</v>
      </c>
      <c r="C632" s="6" t="str">
        <f>IFERROR(__xludf.DUMMYFUNCTION("""COMPUTED_VALUE"""),"YES")</f>
        <v>YES</v>
      </c>
      <c r="D632" s="49" t="str">
        <f>IFERROR(__xludf.DUMMYFUNCTION("""COMPUTED_VALUE"""),"https://drive.google.com/open?id=1XjZI2U_3-J6yrool_WsKpvJWLU3Nd-yK")</f>
        <v>https://drive.google.com/open?id=1XjZI2U_3-J6yrool_WsKpvJWLU3Nd-yK</v>
      </c>
      <c r="E632" s="49" t="str">
        <f>IFERROR(__xludf.DUMMYFUNCTION("""COMPUTED_VALUE"""),"https://drive.google.com/open?id=1amThlOqSKP_2tbo88MOcPPpzBVjQk_sc")</f>
        <v>https://drive.google.com/open?id=1amThlOqSKP_2tbo88MOcPPpzBVjQk_sc</v>
      </c>
    </row>
    <row r="633">
      <c r="A633" s="6" t="str">
        <f>IFERROR(__xludf.DUMMYFUNCTION("""COMPUTED_VALUE"""),"prlandge@mitaoe.ac.in")</f>
        <v>prlandge@mitaoe.ac.in</v>
      </c>
      <c r="B633" s="6" t="str">
        <f>IFERROR(__xludf.DUMMYFUNCTION("""COMPUTED_VALUE"""),"NO")</f>
        <v>NO</v>
      </c>
      <c r="C633" s="6" t="str">
        <f>IFERROR(__xludf.DUMMYFUNCTION("""COMPUTED_VALUE"""),"NO")</f>
        <v>NO</v>
      </c>
      <c r="D633" s="6"/>
      <c r="E633" s="6"/>
    </row>
    <row r="634">
      <c r="A634" s="6" t="str">
        <f>IFERROR(__xludf.DUMMYFUNCTION("""COMPUTED_VALUE"""),"vrmalwade@mitaoe.ac.in")</f>
        <v>vrmalwade@mitaoe.ac.in</v>
      </c>
      <c r="B634" s="6" t="str">
        <f>IFERROR(__xludf.DUMMYFUNCTION("""COMPUTED_VALUE"""),"NO")</f>
        <v>NO</v>
      </c>
      <c r="C634" s="6" t="str">
        <f>IFERROR(__xludf.DUMMYFUNCTION("""COMPUTED_VALUE"""),"NO")</f>
        <v>NO</v>
      </c>
      <c r="D634" s="6"/>
      <c r="E634" s="6"/>
    </row>
    <row r="635">
      <c r="A635" s="6" t="str">
        <f>IFERROR(__xludf.DUMMYFUNCTION("""COMPUTED_VALUE"""),"prasadgore@mitaoe.ac.in")</f>
        <v>prasadgore@mitaoe.ac.in</v>
      </c>
      <c r="B635" s="6" t="str">
        <f>IFERROR(__xludf.DUMMYFUNCTION("""COMPUTED_VALUE"""),"NO")</f>
        <v>NO</v>
      </c>
      <c r="C635" s="6" t="str">
        <f>IFERROR(__xludf.DUMMYFUNCTION("""COMPUTED_VALUE"""),"NO")</f>
        <v>NO</v>
      </c>
      <c r="D635" s="6"/>
      <c r="E635" s="6"/>
    </row>
    <row r="636">
      <c r="A636" s="6" t="str">
        <f>IFERROR(__xludf.DUMMYFUNCTION("""COMPUTED_VALUE"""),"manish.bhabad@mitaoe.ac.in")</f>
        <v>manish.bhabad@mitaoe.ac.in</v>
      </c>
      <c r="B636" s="6" t="str">
        <f>IFERROR(__xludf.DUMMYFUNCTION("""COMPUTED_VALUE"""),"NO")</f>
        <v>NO</v>
      </c>
      <c r="C636" s="6" t="str">
        <f>IFERROR(__xludf.DUMMYFUNCTION("""COMPUTED_VALUE"""),"NO")</f>
        <v>NO</v>
      </c>
      <c r="D636" s="6"/>
      <c r="E636" s="6"/>
    </row>
    <row r="637">
      <c r="A637" s="6" t="str">
        <f>IFERROR(__xludf.DUMMYFUNCTION("""COMPUTED_VALUE"""),"ppbudge@mitaoe.ac.in")</f>
        <v>ppbudge@mitaoe.ac.in</v>
      </c>
      <c r="B637" s="6" t="str">
        <f>IFERROR(__xludf.DUMMYFUNCTION("""COMPUTED_VALUE"""),"NO")</f>
        <v>NO</v>
      </c>
      <c r="C637" s="6" t="str">
        <f>IFERROR(__xludf.DUMMYFUNCTION("""COMPUTED_VALUE"""),"NO")</f>
        <v>NO</v>
      </c>
      <c r="D637" s="6"/>
      <c r="E637" s="6"/>
    </row>
    <row r="638">
      <c r="A638" s="6" t="str">
        <f>IFERROR(__xludf.DUMMYFUNCTION("""COMPUTED_VALUE"""),"kjsingh@mitaoe.ac.in")</f>
        <v>kjsingh@mitaoe.ac.in</v>
      </c>
      <c r="B638" s="6" t="str">
        <f>IFERROR(__xludf.DUMMYFUNCTION("""COMPUTED_VALUE"""),"NO")</f>
        <v>NO</v>
      </c>
      <c r="C638" s="6" t="str">
        <f>IFERROR(__xludf.DUMMYFUNCTION("""COMPUTED_VALUE"""),"NO")</f>
        <v>NO</v>
      </c>
      <c r="D638" s="6"/>
      <c r="E638" s="6"/>
    </row>
    <row r="639">
      <c r="A639" s="6" t="str">
        <f>IFERROR(__xludf.DUMMYFUNCTION("""COMPUTED_VALUE"""),"srlad@mitaoe.ac.in")</f>
        <v>srlad@mitaoe.ac.in</v>
      </c>
      <c r="B639" s="6" t="str">
        <f>IFERROR(__xludf.DUMMYFUNCTION("""COMPUTED_VALUE"""),"NO")</f>
        <v>NO</v>
      </c>
      <c r="C639" s="6" t="str">
        <f>IFERROR(__xludf.DUMMYFUNCTION("""COMPUTED_VALUE"""),"NO")</f>
        <v>NO</v>
      </c>
      <c r="D639" s="6"/>
      <c r="E639" s="6"/>
    </row>
    <row r="640">
      <c r="A640" s="6" t="str">
        <f>IFERROR(__xludf.DUMMYFUNCTION("""COMPUTED_VALUE"""),"ogpawar@mitaoe.ac.in")</f>
        <v>ogpawar@mitaoe.ac.in</v>
      </c>
      <c r="B640" s="6" t="str">
        <f>IFERROR(__xludf.DUMMYFUNCTION("""COMPUTED_VALUE"""),"NO")</f>
        <v>NO</v>
      </c>
      <c r="C640" s="6" t="str">
        <f>IFERROR(__xludf.DUMMYFUNCTION("""COMPUTED_VALUE"""),"NO")</f>
        <v>NO</v>
      </c>
      <c r="D640" s="6"/>
      <c r="E640" s="6"/>
    </row>
    <row r="641">
      <c r="A641" s="6" t="str">
        <f>IFERROR(__xludf.DUMMYFUNCTION("""COMPUTED_VALUE"""),"vskhandke@mitaoe.ac.in")</f>
        <v>vskhandke@mitaoe.ac.in</v>
      </c>
      <c r="B641" s="6" t="str">
        <f>IFERROR(__xludf.DUMMYFUNCTION("""COMPUTED_VALUE"""),"YES")</f>
        <v>YES</v>
      </c>
      <c r="C641" s="6" t="str">
        <f>IFERROR(__xludf.DUMMYFUNCTION("""COMPUTED_VALUE"""),"YES")</f>
        <v>YES</v>
      </c>
      <c r="D641" s="49" t="str">
        <f>IFERROR(__xludf.DUMMYFUNCTION("""COMPUTED_VALUE"""),"https://drive.google.com/open?id=1gFEC21cekSrznQk6hdRjEBc5qSdhE0gR")</f>
        <v>https://drive.google.com/open?id=1gFEC21cekSrznQk6hdRjEBc5qSdhE0gR</v>
      </c>
      <c r="E641" s="49" t="str">
        <f>IFERROR(__xludf.DUMMYFUNCTION("""COMPUTED_VALUE"""),"https://drive.google.com/open?id=18l6XCOsUk8RJFUsw_8aG3sElWCZXBS0y")</f>
        <v>https://drive.google.com/open?id=18l6XCOsUk8RJFUsw_8aG3sElWCZXBS0y</v>
      </c>
    </row>
    <row r="642">
      <c r="A642" s="6" t="str">
        <f>IFERROR(__xludf.DUMMYFUNCTION("""COMPUTED_VALUE"""),"vrpatel@mitaoe.ac.in")</f>
        <v>vrpatel@mitaoe.ac.in</v>
      </c>
      <c r="B642" s="6" t="str">
        <f>IFERROR(__xludf.DUMMYFUNCTION("""COMPUTED_VALUE"""),"NO")</f>
        <v>NO</v>
      </c>
      <c r="C642" s="6" t="str">
        <f>IFERROR(__xludf.DUMMYFUNCTION("""COMPUTED_VALUE"""),"NO")</f>
        <v>NO</v>
      </c>
      <c r="D642" s="6"/>
      <c r="E642" s="6"/>
    </row>
    <row r="643">
      <c r="A643" s="6" t="str">
        <f>IFERROR(__xludf.DUMMYFUNCTION("""COMPUTED_VALUE"""),"skkeskar@mitaoe.ac.in")</f>
        <v>skkeskar@mitaoe.ac.in</v>
      </c>
      <c r="B643" s="6" t="str">
        <f>IFERROR(__xludf.DUMMYFUNCTION("""COMPUTED_VALUE"""),"NO")</f>
        <v>NO</v>
      </c>
      <c r="C643" s="6" t="str">
        <f>IFERROR(__xludf.DUMMYFUNCTION("""COMPUTED_VALUE"""),"NO")</f>
        <v>NO</v>
      </c>
      <c r="D643" s="6"/>
      <c r="E643" s="6"/>
    </row>
    <row r="644">
      <c r="A644" s="6" t="str">
        <f>IFERROR(__xludf.DUMMYFUNCTION("""COMPUTED_VALUE"""),"ssbhawani@mitaoe.ac.in")</f>
        <v>ssbhawani@mitaoe.ac.in</v>
      </c>
      <c r="B644" s="6" t="str">
        <f>IFERROR(__xludf.DUMMYFUNCTION("""COMPUTED_VALUE"""),"NO")</f>
        <v>NO</v>
      </c>
      <c r="C644" s="6" t="str">
        <f>IFERROR(__xludf.DUMMYFUNCTION("""COMPUTED_VALUE"""),"YES")</f>
        <v>YES</v>
      </c>
      <c r="D644" s="6"/>
      <c r="E644" s="49" t="str">
        <f>IFERROR(__xludf.DUMMYFUNCTION("""COMPUTED_VALUE"""),"https://drive.google.com/open?id=1JJ8G6s9HSYu3Vy62fzQRZvERda_kX1HR")</f>
        <v>https://drive.google.com/open?id=1JJ8G6s9HSYu3Vy62fzQRZvERda_kX1HR</v>
      </c>
    </row>
    <row r="645">
      <c r="A645" s="6" t="str">
        <f>IFERROR(__xludf.DUMMYFUNCTION("""COMPUTED_VALUE"""),"vbbhadale@mitaoe.ac.in")</f>
        <v>vbbhadale@mitaoe.ac.in</v>
      </c>
      <c r="B645" s="6" t="str">
        <f>IFERROR(__xludf.DUMMYFUNCTION("""COMPUTED_VALUE"""),"YES")</f>
        <v>YES</v>
      </c>
      <c r="C645" s="6" t="str">
        <f>IFERROR(__xludf.DUMMYFUNCTION("""COMPUTED_VALUE"""),"YES")</f>
        <v>YES</v>
      </c>
      <c r="D645" s="49" t="str">
        <f>IFERROR(__xludf.DUMMYFUNCTION("""COMPUTED_VALUE"""),"https://drive.google.com/open?id=1VEE4q03GBgw3wvf_Y_ocCZxJ3jPaDGV6")</f>
        <v>https://drive.google.com/open?id=1VEE4q03GBgw3wvf_Y_ocCZxJ3jPaDGV6</v>
      </c>
      <c r="E645" s="49" t="str">
        <f>IFERROR(__xludf.DUMMYFUNCTION("""COMPUTED_VALUE"""),"https://drive.google.com/open?id=1w_s4IQwzyjE_i6f_SL0CuFct0BAwDrSB")</f>
        <v>https://drive.google.com/open?id=1w_s4IQwzyjE_i6f_SL0CuFct0BAwDrSB</v>
      </c>
    </row>
    <row r="646">
      <c r="A646" s="6" t="str">
        <f>IFERROR(__xludf.DUMMYFUNCTION("""COMPUTED_VALUE"""),"adishwarsharma@mitaoe.ac.in")</f>
        <v>adishwarsharma@mitaoe.ac.in</v>
      </c>
      <c r="B646" s="6" t="str">
        <f>IFERROR(__xludf.DUMMYFUNCTION("""COMPUTED_VALUE"""),"NO")</f>
        <v>NO</v>
      </c>
      <c r="C646" s="6" t="str">
        <f>IFERROR(__xludf.DUMMYFUNCTION("""COMPUTED_VALUE"""),"NO")</f>
        <v>NO</v>
      </c>
      <c r="D646" s="6"/>
      <c r="E646" s="6"/>
    </row>
    <row r="647">
      <c r="A647" s="6" t="str">
        <f>IFERROR(__xludf.DUMMYFUNCTION("""COMPUTED_VALUE"""),"vsbhosle@mitaoe.ac.in")</f>
        <v>vsbhosle@mitaoe.ac.in</v>
      </c>
      <c r="B647" s="6" t="str">
        <f>IFERROR(__xludf.DUMMYFUNCTION("""COMPUTED_VALUE"""),"YES")</f>
        <v>YES</v>
      </c>
      <c r="C647" s="6" t="str">
        <f>IFERROR(__xludf.DUMMYFUNCTION("""COMPUTED_VALUE"""),"YES")</f>
        <v>YES</v>
      </c>
      <c r="D647" s="49" t="str">
        <f>IFERROR(__xludf.DUMMYFUNCTION("""COMPUTED_VALUE"""),"https://drive.google.com/open?id=1BN0Ml2lxePewX40VSnMfxkVa756AMtnM")</f>
        <v>https://drive.google.com/open?id=1BN0Ml2lxePewX40VSnMfxkVa756AMtnM</v>
      </c>
      <c r="E647" s="49" t="str">
        <f>IFERROR(__xludf.DUMMYFUNCTION("""COMPUTED_VALUE"""),"https://drive.google.com/open?id=1kUH_mF72pvnXexZbR0SbU_3UeQo2LNt7")</f>
        <v>https://drive.google.com/open?id=1kUH_mF72pvnXexZbR0SbU_3UeQo2LNt7</v>
      </c>
    </row>
    <row r="648">
      <c r="A648" s="6" t="str">
        <f>IFERROR(__xludf.DUMMYFUNCTION("""COMPUTED_VALUE"""),"yrcharpe@mitaoe.ac.in")</f>
        <v>yrcharpe@mitaoe.ac.in</v>
      </c>
      <c r="B648" s="6" t="str">
        <f>IFERROR(__xludf.DUMMYFUNCTION("""COMPUTED_VALUE"""),"NO")</f>
        <v>NO</v>
      </c>
      <c r="C648" s="6" t="str">
        <f>IFERROR(__xludf.DUMMYFUNCTION("""COMPUTED_VALUE"""),"NO")</f>
        <v>NO</v>
      </c>
      <c r="D648" s="6"/>
      <c r="E648" s="6"/>
    </row>
    <row r="649">
      <c r="A649" s="6" t="str">
        <f>IFERROR(__xludf.DUMMYFUNCTION("""COMPUTED_VALUE"""),"ysvidyasagar@mitaoe.ac.in")</f>
        <v>ysvidyasagar@mitaoe.ac.in</v>
      </c>
      <c r="B649" s="6" t="str">
        <f>IFERROR(__xludf.DUMMYFUNCTION("""COMPUTED_VALUE"""),"YES")</f>
        <v>YES</v>
      </c>
      <c r="C649" s="6" t="str">
        <f>IFERROR(__xludf.DUMMYFUNCTION("""COMPUTED_VALUE"""),"YES")</f>
        <v>YES</v>
      </c>
      <c r="D649" s="49" t="str">
        <f>IFERROR(__xludf.DUMMYFUNCTION("""COMPUTED_VALUE"""),"https://drive.google.com/open?id=1uRgSwSW3FHh5eP6B4aUclo7P9bce7rOj")</f>
        <v>https://drive.google.com/open?id=1uRgSwSW3FHh5eP6B4aUclo7P9bce7rOj</v>
      </c>
      <c r="E649" s="49" t="str">
        <f>IFERROR(__xludf.DUMMYFUNCTION("""COMPUTED_VALUE"""),"https://drive.google.com/open?id=17xFYfyTMN92CBXr-6nZYQO0nUpdM1dVW")</f>
        <v>https://drive.google.com/open?id=17xFYfyTMN92CBXr-6nZYQO0nUpdM1dVW</v>
      </c>
    </row>
    <row r="650">
      <c r="A650" s="6" t="str">
        <f>IFERROR(__xludf.DUMMYFUNCTION("""COMPUTED_VALUE"""),"tpgavkhare@mitaoe.ac.in")</f>
        <v>tpgavkhare@mitaoe.ac.in</v>
      </c>
      <c r="B650" s="6" t="str">
        <f>IFERROR(__xludf.DUMMYFUNCTION("""COMPUTED_VALUE"""),"NO (screenshot uploaded)")</f>
        <v>NO (screenshot uploaded)</v>
      </c>
      <c r="C650" s="6" t="str">
        <f>IFERROR(__xludf.DUMMYFUNCTION("""COMPUTED_VALUE"""),"NO (screenshot uploaded)")</f>
        <v>NO (screenshot uploaded)</v>
      </c>
      <c r="D650" s="49" t="str">
        <f>IFERROR(__xludf.DUMMYFUNCTION("""COMPUTED_VALUE"""),"https://drive.google.com/open?id=10whI8cYExcwq67gignH4rylBOkr8N2tu")</f>
        <v>https://drive.google.com/open?id=10whI8cYExcwq67gignH4rylBOkr8N2tu</v>
      </c>
      <c r="E650" s="49" t="str">
        <f>IFERROR(__xludf.DUMMYFUNCTION("""COMPUTED_VALUE"""),"https://drive.google.com/open?id=1VlHY7GU-XO3lkc6dmQglS1kS1GDc9Ti2")</f>
        <v>https://drive.google.com/open?id=1VlHY7GU-XO3lkc6dmQglS1kS1GDc9Ti2</v>
      </c>
    </row>
    <row r="651">
      <c r="A651" s="6" t="str">
        <f>IFERROR(__xludf.DUMMYFUNCTION("""COMPUTED_VALUE"""),"rhdukare@mitaoe.ac.in")</f>
        <v>rhdukare@mitaoe.ac.in</v>
      </c>
      <c r="B651" s="6" t="str">
        <f>IFERROR(__xludf.DUMMYFUNCTION("""COMPUTED_VALUE"""),"YES")</f>
        <v>YES</v>
      </c>
      <c r="C651" s="6" t="str">
        <f>IFERROR(__xludf.DUMMYFUNCTION("""COMPUTED_VALUE"""),"YES")</f>
        <v>YES</v>
      </c>
      <c r="D651" s="49" t="str">
        <f>IFERROR(__xludf.DUMMYFUNCTION("""COMPUTED_VALUE"""),"https://drive.google.com/open?id=1Od6fiQA8axxcEWsQRiyjxLZeGCDiS-Ng")</f>
        <v>https://drive.google.com/open?id=1Od6fiQA8axxcEWsQRiyjxLZeGCDiS-Ng</v>
      </c>
      <c r="E651" s="49" t="str">
        <f>IFERROR(__xludf.DUMMYFUNCTION("""COMPUTED_VALUE"""),"https://drive.google.com/open?id=10E29lIWgPzQPExo292u1j-ZMi6HShiAs")</f>
        <v>https://drive.google.com/open?id=10E29lIWgPzQPExo292u1j-ZMi6HShiAs</v>
      </c>
    </row>
    <row r="652">
      <c r="A652" s="6" t="str">
        <f>IFERROR(__xludf.DUMMYFUNCTION("""COMPUTED_VALUE"""),"kvkhairkar@mitaoe.ac.in")</f>
        <v>kvkhairkar@mitaoe.ac.in</v>
      </c>
      <c r="B652" s="6" t="str">
        <f>IFERROR(__xludf.DUMMYFUNCTION("""COMPUTED_VALUE"""),"YES")</f>
        <v>YES</v>
      </c>
      <c r="C652" s="6" t="str">
        <f>IFERROR(__xludf.DUMMYFUNCTION("""COMPUTED_VALUE"""),"YES")</f>
        <v>YES</v>
      </c>
      <c r="D652" s="49" t="str">
        <f>IFERROR(__xludf.DUMMYFUNCTION("""COMPUTED_VALUE"""),"https://drive.google.com/open?id=17L7-gIJfdw_-nheavT2ehMWUMyfmFnEK")</f>
        <v>https://drive.google.com/open?id=17L7-gIJfdw_-nheavT2ehMWUMyfmFnEK</v>
      </c>
      <c r="E652" s="49" t="str">
        <f>IFERROR(__xludf.DUMMYFUNCTION("""COMPUTED_VALUE"""),"https://drive.google.com/open?id=1rRAxFIPoewERl3-_4MkeqkAR6H-1bxtl")</f>
        <v>https://drive.google.com/open?id=1rRAxFIPoewERl3-_4MkeqkAR6H-1bxtl</v>
      </c>
    </row>
    <row r="653">
      <c r="A653" s="6" t="str">
        <f>IFERROR(__xludf.DUMMYFUNCTION("""COMPUTED_VALUE"""),"psbhardwaj@mitaoe.ac.in")</f>
        <v>psbhardwaj@mitaoe.ac.in</v>
      </c>
      <c r="B653" s="6" t="str">
        <f>IFERROR(__xludf.DUMMYFUNCTION("""COMPUTED_VALUE"""),"NO")</f>
        <v>NO</v>
      </c>
      <c r="C653" s="6" t="str">
        <f>IFERROR(__xludf.DUMMYFUNCTION("""COMPUTED_VALUE"""),"NO")</f>
        <v>NO</v>
      </c>
      <c r="D653" s="6"/>
      <c r="E653" s="6"/>
    </row>
    <row r="654">
      <c r="A654" s="6" t="str">
        <f>IFERROR(__xludf.DUMMYFUNCTION("""COMPUTED_VALUE"""),"npkhune@mitaoe.ac.in")</f>
        <v>npkhune@mitaoe.ac.in</v>
      </c>
      <c r="B654" s="6" t="str">
        <f>IFERROR(__xludf.DUMMYFUNCTION("""COMPUTED_VALUE"""),"NO")</f>
        <v>NO</v>
      </c>
      <c r="C654" s="6" t="str">
        <f>IFERROR(__xludf.DUMMYFUNCTION("""COMPUTED_VALUE"""),"NO")</f>
        <v>NO</v>
      </c>
      <c r="D654" s="6"/>
      <c r="E654" s="6"/>
    </row>
    <row r="655">
      <c r="A655" s="6" t="str">
        <f>IFERROR(__xludf.DUMMYFUNCTION("""COMPUTED_VALUE"""),"rkpradhan@mitaoe.ac.in")</f>
        <v>rkpradhan@mitaoe.ac.in</v>
      </c>
      <c r="B655" s="6" t="str">
        <f>IFERROR(__xludf.DUMMYFUNCTION("""COMPUTED_VALUE"""),"NO")</f>
        <v>NO</v>
      </c>
      <c r="C655" s="6" t="str">
        <f>IFERROR(__xludf.DUMMYFUNCTION("""COMPUTED_VALUE"""),"NO")</f>
        <v>NO</v>
      </c>
      <c r="D655" s="6"/>
      <c r="E655" s="6"/>
    </row>
    <row r="656">
      <c r="A656" s="6" t="str">
        <f>IFERROR(__xludf.DUMMYFUNCTION("""COMPUTED_VALUE"""),"ppkale@mitaoe.ac.in")</f>
        <v>ppkale@mitaoe.ac.in</v>
      </c>
      <c r="B656" s="6" t="str">
        <f>IFERROR(__xludf.DUMMYFUNCTION("""COMPUTED_VALUE"""),"NO")</f>
        <v>NO</v>
      </c>
      <c r="C656" s="6" t="str">
        <f>IFERROR(__xludf.DUMMYFUNCTION("""COMPUTED_VALUE"""),"NO")</f>
        <v>NO</v>
      </c>
      <c r="D656" s="6"/>
      <c r="E656" s="6"/>
    </row>
    <row r="657">
      <c r="A657" s="6" t="str">
        <f>IFERROR(__xludf.DUMMYFUNCTION("""COMPUTED_VALUE"""),"tnkalje@mitaoe.ac.in")</f>
        <v>tnkalje@mitaoe.ac.in</v>
      </c>
      <c r="B657" s="6" t="str">
        <f>IFERROR(__xludf.DUMMYFUNCTION("""COMPUTED_VALUE"""),"NO")</f>
        <v>NO</v>
      </c>
      <c r="C657" s="6" t="str">
        <f>IFERROR(__xludf.DUMMYFUNCTION("""COMPUTED_VALUE"""),"NO")</f>
        <v>NO</v>
      </c>
      <c r="D657" s="6"/>
      <c r="E657" s="6"/>
    </row>
    <row r="658">
      <c r="A658" s="6" t="str">
        <f>IFERROR(__xludf.DUMMYFUNCTION("""COMPUTED_VALUE"""),"mayureshkumar@mitaoe.ac.in")</f>
        <v>mayureshkumar@mitaoe.ac.in</v>
      </c>
      <c r="B658" s="6" t="str">
        <f>IFERROR(__xludf.DUMMYFUNCTION("""COMPUTED_VALUE"""),"YES")</f>
        <v>YES</v>
      </c>
      <c r="C658" s="6" t="str">
        <f>IFERROR(__xludf.DUMMYFUNCTION("""COMPUTED_VALUE"""),"YES")</f>
        <v>YES</v>
      </c>
      <c r="D658" s="49" t="str">
        <f>IFERROR(__xludf.DUMMYFUNCTION("""COMPUTED_VALUE"""),"https://drive.google.com/open?id=1NNuiXfwQM-VpeT2HrBaGVZ38zFZoPdvN")</f>
        <v>https://drive.google.com/open?id=1NNuiXfwQM-VpeT2HrBaGVZ38zFZoPdvN</v>
      </c>
      <c r="E658" s="49" t="str">
        <f>IFERROR(__xludf.DUMMYFUNCTION("""COMPUTED_VALUE"""),"https://drive.google.com/open?id=1EJblnOGIy0NgR88O1FZlPOb4mK1CrpzL")</f>
        <v>https://drive.google.com/open?id=1EJblnOGIy0NgR88O1FZlPOb4mK1CrpzL</v>
      </c>
    </row>
    <row r="659">
      <c r="A659" s="6" t="str">
        <f>IFERROR(__xludf.DUMMYFUNCTION("""COMPUTED_VALUE"""),"ndgirhe@mitaoe.ac.in")</f>
        <v>ndgirhe@mitaoe.ac.in</v>
      </c>
      <c r="B659" s="6" t="str">
        <f>IFERROR(__xludf.DUMMYFUNCTION("""COMPUTED_VALUE"""),"YES")</f>
        <v>YES</v>
      </c>
      <c r="C659" s="6" t="str">
        <f>IFERROR(__xludf.DUMMYFUNCTION("""COMPUTED_VALUE"""),"YES")</f>
        <v>YES</v>
      </c>
      <c r="D659" s="49" t="str">
        <f>IFERROR(__xludf.DUMMYFUNCTION("""COMPUTED_VALUE"""),"https://drive.google.com/open?id=1P6gyoNlk5CkajHFDvHIn4ucx3dB0Qc4R")</f>
        <v>https://drive.google.com/open?id=1P6gyoNlk5CkajHFDvHIn4ucx3dB0Qc4R</v>
      </c>
      <c r="E659" s="49" t="str">
        <f>IFERROR(__xludf.DUMMYFUNCTION("""COMPUTED_VALUE"""),"https://drive.google.com/open?id=1SmQRQYZ1lNgQ4EPHqHMIoTnVAlEspTaS")</f>
        <v>https://drive.google.com/open?id=1SmQRQYZ1lNgQ4EPHqHMIoTnVAlEspTaS</v>
      </c>
    </row>
    <row r="660">
      <c r="A660" s="6" t="str">
        <f>IFERROR(__xludf.DUMMYFUNCTION("""COMPUTED_VALUE"""),"pdhatwar@mitaoe.ac.in")</f>
        <v>pdhatwar@mitaoe.ac.in</v>
      </c>
      <c r="B660" s="6" t="str">
        <f>IFERROR(__xludf.DUMMYFUNCTION("""COMPUTED_VALUE"""),"NO")</f>
        <v>NO</v>
      </c>
      <c r="C660" s="6" t="str">
        <f>IFERROR(__xludf.DUMMYFUNCTION("""COMPUTED_VALUE"""),"NO")</f>
        <v>NO</v>
      </c>
      <c r="D660" s="6"/>
      <c r="E660" s="6"/>
    </row>
    <row r="661">
      <c r="A661" s="6" t="str">
        <f>IFERROR(__xludf.DUMMYFUNCTION("""COMPUTED_VALUE"""),"skgaikwad@mitaoe.ac.in")</f>
        <v>skgaikwad@mitaoe.ac.in</v>
      </c>
      <c r="B661" s="6" t="str">
        <f>IFERROR(__xludf.DUMMYFUNCTION("""COMPUTED_VALUE"""),"NO")</f>
        <v>NO</v>
      </c>
      <c r="C661" s="6" t="str">
        <f>IFERROR(__xludf.DUMMYFUNCTION("""COMPUTED_VALUE"""),"NO")</f>
        <v>NO</v>
      </c>
      <c r="D661" s="6"/>
      <c r="E661" s="6"/>
    </row>
    <row r="662">
      <c r="A662" s="6" t="str">
        <f>IFERROR(__xludf.DUMMYFUNCTION("""COMPUTED_VALUE"""),"sushantgawade@mitaoe.ac.in")</f>
        <v>sushantgawade@mitaoe.ac.in</v>
      </c>
      <c r="B662" s="6" t="str">
        <f>IFERROR(__xludf.DUMMYFUNCTION("""COMPUTED_VALUE"""),"NO")</f>
        <v>NO</v>
      </c>
      <c r="C662" s="6" t="str">
        <f>IFERROR(__xludf.DUMMYFUNCTION("""COMPUTED_VALUE"""),"NO")</f>
        <v>NO</v>
      </c>
      <c r="D662" s="6"/>
      <c r="E662" s="6"/>
    </row>
    <row r="663">
      <c r="A663" s="6" t="str">
        <f>IFERROR(__xludf.DUMMYFUNCTION("""COMPUTED_VALUE"""),"sakshi.jagtap@mitaoe.ac.in")</f>
        <v>sakshi.jagtap@mitaoe.ac.in</v>
      </c>
      <c r="B663" s="6" t="str">
        <f>IFERROR(__xludf.DUMMYFUNCTION("""COMPUTED_VALUE"""),"YES")</f>
        <v>YES</v>
      </c>
      <c r="C663" s="6" t="str">
        <f>IFERROR(__xludf.DUMMYFUNCTION("""COMPUTED_VALUE"""),"YES")</f>
        <v>YES</v>
      </c>
      <c r="D663" s="49" t="str">
        <f>IFERROR(__xludf.DUMMYFUNCTION("""COMPUTED_VALUE"""),"https://drive.google.com/open?id=1LLSSJ7FCCOo3FKtTigZThzkfMEpAMVvs")</f>
        <v>https://drive.google.com/open?id=1LLSSJ7FCCOo3FKtTigZThzkfMEpAMVvs</v>
      </c>
      <c r="E663" s="49" t="str">
        <f>IFERROR(__xludf.DUMMYFUNCTION("""COMPUTED_VALUE"""),"https://drive.google.com/open?id=1ErYTeVQqtIQXw1V1TZLdFVtNWxz-v_kr")</f>
        <v>https://drive.google.com/open?id=1ErYTeVQqtIQXw1V1TZLdFVtNWxz-v_kr</v>
      </c>
    </row>
    <row r="664">
      <c r="A664" s="6" t="str">
        <f>IFERROR(__xludf.DUMMYFUNCTION("""COMPUTED_VALUE"""),"tanuja.hakepatil@mitaoe.ac.in")</f>
        <v>tanuja.hakepatil@mitaoe.ac.in</v>
      </c>
      <c r="B664" s="6" t="str">
        <f>IFERROR(__xludf.DUMMYFUNCTION("""COMPUTED_VALUE"""),"NO")</f>
        <v>NO</v>
      </c>
      <c r="C664" s="6" t="str">
        <f>IFERROR(__xludf.DUMMYFUNCTION("""COMPUTED_VALUE"""),"NO")</f>
        <v>NO</v>
      </c>
      <c r="D664" s="6"/>
      <c r="E664" s="6"/>
    </row>
    <row r="665">
      <c r="A665" s="6" t="str">
        <f>IFERROR(__xludf.DUMMYFUNCTION("""COMPUTED_VALUE"""),"pkhule@mitaoe.ac.in")</f>
        <v>pkhule@mitaoe.ac.in</v>
      </c>
      <c r="B665" s="6" t="str">
        <f>IFERROR(__xludf.DUMMYFUNCTION("""COMPUTED_VALUE"""),"NO")</f>
        <v>NO</v>
      </c>
      <c r="C665" s="6" t="str">
        <f>IFERROR(__xludf.DUMMYFUNCTION("""COMPUTED_VALUE"""),"NO")</f>
        <v>NO</v>
      </c>
      <c r="D665" s="6"/>
      <c r="E665" s="6"/>
    </row>
    <row r="666">
      <c r="A666" s="6" t="str">
        <f>IFERROR(__xludf.DUMMYFUNCTION("""COMPUTED_VALUE"""),"chaudharipk@mitaoe.ac.in")</f>
        <v>chaudharipk@mitaoe.ac.in</v>
      </c>
      <c r="B666" s="6" t="str">
        <f>IFERROR(__xludf.DUMMYFUNCTION("""COMPUTED_VALUE"""),"YES")</f>
        <v>YES</v>
      </c>
      <c r="C666" s="6" t="str">
        <f>IFERROR(__xludf.DUMMYFUNCTION("""COMPUTED_VALUE"""),"YES")</f>
        <v>YES</v>
      </c>
      <c r="D666" s="49" t="str">
        <f>IFERROR(__xludf.DUMMYFUNCTION("""COMPUTED_VALUE"""),"https://drive.google.com/open?id=1qk3HnTZlfOxVgM6LkNHekNycfn4xDYSd")</f>
        <v>https://drive.google.com/open?id=1qk3HnTZlfOxVgM6LkNHekNycfn4xDYSd</v>
      </c>
      <c r="E666" s="49" t="str">
        <f>IFERROR(__xludf.DUMMYFUNCTION("""COMPUTED_VALUE"""),"https://drive.google.com/open?id=16iBH6L1zNk4OlyZ_PZop29r9--vDDDcX")</f>
        <v>https://drive.google.com/open?id=16iBH6L1zNk4OlyZ_PZop29r9--vDDDcX</v>
      </c>
    </row>
    <row r="667">
      <c r="A667" s="6" t="str">
        <f>IFERROR(__xludf.DUMMYFUNCTION("""COMPUTED_VALUE"""),"atbarge@mitaoe.ac.in")</f>
        <v>atbarge@mitaoe.ac.in</v>
      </c>
      <c r="B667" s="6" t="str">
        <f>IFERROR(__xludf.DUMMYFUNCTION("""COMPUTED_VALUE"""),"YES")</f>
        <v>YES</v>
      </c>
      <c r="C667" s="6" t="str">
        <f>IFERROR(__xludf.DUMMYFUNCTION("""COMPUTED_VALUE"""),"NO")</f>
        <v>NO</v>
      </c>
      <c r="D667" s="49" t="str">
        <f>IFERROR(__xludf.DUMMYFUNCTION("""COMPUTED_VALUE"""),"https://drive.google.com/open?id=1rvSkdELDO7ENkeWAtAtnVd-yp4O5wMSH")</f>
        <v>https://drive.google.com/open?id=1rvSkdELDO7ENkeWAtAtnVd-yp4O5wMSH</v>
      </c>
      <c r="E667" s="6"/>
    </row>
    <row r="668">
      <c r="A668" s="6" t="str">
        <f>IFERROR(__xludf.DUMMYFUNCTION("""COMPUTED_VALUE"""),"ssshrivastava@mitaoe.ac.in")</f>
        <v>ssshrivastava@mitaoe.ac.in</v>
      </c>
      <c r="B668" s="6" t="str">
        <f>IFERROR(__xludf.DUMMYFUNCTION("""COMPUTED_VALUE"""),"NO")</f>
        <v>NO</v>
      </c>
      <c r="C668" s="6" t="str">
        <f>IFERROR(__xludf.DUMMYFUNCTION("""COMPUTED_VALUE"""),"NO")</f>
        <v>NO</v>
      </c>
      <c r="D668" s="6"/>
      <c r="E668" s="6"/>
    </row>
    <row r="669">
      <c r="A669" s="6" t="str">
        <f>IFERROR(__xludf.DUMMYFUNCTION("""COMPUTED_VALUE"""),"ksfartade@mitaoe.ac.in")</f>
        <v>ksfartade@mitaoe.ac.in</v>
      </c>
      <c r="B669" s="6" t="str">
        <f>IFERROR(__xludf.DUMMYFUNCTION("""COMPUTED_VALUE"""),"YES")</f>
        <v>YES</v>
      </c>
      <c r="C669" s="6" t="str">
        <f>IFERROR(__xludf.DUMMYFUNCTION("""COMPUTED_VALUE"""),"YES")</f>
        <v>YES</v>
      </c>
      <c r="D669" s="49" t="str">
        <f>IFERROR(__xludf.DUMMYFUNCTION("""COMPUTED_VALUE"""),"https://drive.google.com/open?id=1wib9-WOxhvBgR71rAmySIDyQ0SxFcwDI")</f>
        <v>https://drive.google.com/open?id=1wib9-WOxhvBgR71rAmySIDyQ0SxFcwDI</v>
      </c>
      <c r="E669" s="49" t="str">
        <f>IFERROR(__xludf.DUMMYFUNCTION("""COMPUTED_VALUE"""),"https://drive.google.com/open?id=1jb8I-jMiADlFQlH3yF0M2n-3kCRTXwuy")</f>
        <v>https://drive.google.com/open?id=1jb8I-jMiADlFQlH3yF0M2n-3kCRTXwuy</v>
      </c>
    </row>
    <row r="670">
      <c r="A670" s="6" t="str">
        <f>IFERROR(__xludf.DUMMYFUNCTION("""COMPUTED_VALUE"""),"arkadoo@mitaoe.ac.in")</f>
        <v>arkadoo@mitaoe.ac.in</v>
      </c>
      <c r="B670" s="6" t="str">
        <f>IFERROR(__xludf.DUMMYFUNCTION("""COMPUTED_VALUE"""),"YES")</f>
        <v>YES</v>
      </c>
      <c r="C670" s="6" t="str">
        <f>IFERROR(__xludf.DUMMYFUNCTION("""COMPUTED_VALUE"""),"YES")</f>
        <v>YES</v>
      </c>
      <c r="D670" s="49" t="str">
        <f>IFERROR(__xludf.DUMMYFUNCTION("""COMPUTED_VALUE"""),"https://drive.google.com/open?id=1rRZLR_wLbxiQPvhPXQZ7REipT0Q_TyzA")</f>
        <v>https://drive.google.com/open?id=1rRZLR_wLbxiQPvhPXQZ7REipT0Q_TyzA</v>
      </c>
      <c r="E670" s="49" t="str">
        <f>IFERROR(__xludf.DUMMYFUNCTION("""COMPUTED_VALUE"""),"https://drive.google.com/open?id=1OmrnNZ0Nn0y-b2c65W4rEdiw2XSHeIfO")</f>
        <v>https://drive.google.com/open?id=1OmrnNZ0Nn0y-b2c65W4rEdiw2XSHeIfO</v>
      </c>
    </row>
    <row r="671">
      <c r="A671" s="6" t="str">
        <f>IFERROR(__xludf.DUMMYFUNCTION("""COMPUTED_VALUE"""),"madhurendra@mitaoe.ac.in")</f>
        <v>madhurendra@mitaoe.ac.in</v>
      </c>
      <c r="B671" s="6" t="str">
        <f>IFERROR(__xludf.DUMMYFUNCTION("""COMPUTED_VALUE"""),"NO")</f>
        <v>NO</v>
      </c>
      <c r="C671" s="6" t="str">
        <f>IFERROR(__xludf.DUMMYFUNCTION("""COMPUTED_VALUE"""),"YES")</f>
        <v>YES</v>
      </c>
      <c r="D671" s="6"/>
      <c r="E671" s="49" t="str">
        <f>IFERROR(__xludf.DUMMYFUNCTION("""COMPUTED_VALUE"""),"https://drive.google.com/open?id=1uKK2FWutRKrnNB83PIJ8ZMame_phw7vW")</f>
        <v>https://drive.google.com/open?id=1uKK2FWutRKrnNB83PIJ8ZMame_phw7vW</v>
      </c>
    </row>
    <row r="672">
      <c r="A672" s="6" t="str">
        <f>IFERROR(__xludf.DUMMYFUNCTION("""COMPUTED_VALUE"""),"gpchandere@mitaoe.ac.in")</f>
        <v>gpchandere@mitaoe.ac.in</v>
      </c>
      <c r="B672" s="6" t="str">
        <f>IFERROR(__xludf.DUMMYFUNCTION("""COMPUTED_VALUE"""),"YES")</f>
        <v>YES</v>
      </c>
      <c r="C672" s="6" t="str">
        <f>IFERROR(__xludf.DUMMYFUNCTION("""COMPUTED_VALUE"""),"YES")</f>
        <v>YES</v>
      </c>
      <c r="D672" s="49" t="str">
        <f>IFERROR(__xludf.DUMMYFUNCTION("""COMPUTED_VALUE"""),"https://drive.google.com/open?id=1tsE9daim2ibVbLjJimtQ_2Zs1tf-Ufji")</f>
        <v>https://drive.google.com/open?id=1tsE9daim2ibVbLjJimtQ_2Zs1tf-Ufji</v>
      </c>
      <c r="E672" s="49" t="str">
        <f>IFERROR(__xludf.DUMMYFUNCTION("""COMPUTED_VALUE"""),"https://drive.google.com/open?id=1-0jmB_SZfKb4feaB1lxM_0yyadbYSK6R")</f>
        <v>https://drive.google.com/open?id=1-0jmB_SZfKb4feaB1lxM_0yyadbYSK6R</v>
      </c>
    </row>
    <row r="673">
      <c r="A673" s="6" t="str">
        <f>IFERROR(__xludf.DUMMYFUNCTION("""COMPUTED_VALUE"""),"ajmodak@mitaoe.ac.in")</f>
        <v>ajmodak@mitaoe.ac.in</v>
      </c>
      <c r="B673" s="6" t="str">
        <f>IFERROR(__xludf.DUMMYFUNCTION("""COMPUTED_VALUE"""),"NO")</f>
        <v>NO</v>
      </c>
      <c r="C673" s="6" t="str">
        <f>IFERROR(__xludf.DUMMYFUNCTION("""COMPUTED_VALUE"""),"NO")</f>
        <v>NO</v>
      </c>
      <c r="D673" s="6"/>
      <c r="E673" s="6"/>
    </row>
    <row r="674">
      <c r="A674" s="6" t="str">
        <f>IFERROR(__xludf.DUMMYFUNCTION("""COMPUTED_VALUE"""),"vsdevshatwar@mitaoe.ac.in")</f>
        <v>vsdevshatwar@mitaoe.ac.in</v>
      </c>
      <c r="B674" s="6" t="str">
        <f>IFERROR(__xludf.DUMMYFUNCTION("""COMPUTED_VALUE"""),"NO")</f>
        <v>NO</v>
      </c>
      <c r="C674" s="6" t="str">
        <f>IFERROR(__xludf.DUMMYFUNCTION("""COMPUTED_VALUE"""),"NO")</f>
        <v>NO</v>
      </c>
      <c r="D674" s="6"/>
      <c r="E674" s="6"/>
    </row>
    <row r="675">
      <c r="A675" s="6" t="str">
        <f>IFERROR(__xludf.DUMMYFUNCTION("""COMPUTED_VALUE"""),"vdmukhedkar@mitaoe.ac.in")</f>
        <v>vdmukhedkar@mitaoe.ac.in</v>
      </c>
      <c r="B675" s="6" t="str">
        <f>IFERROR(__xludf.DUMMYFUNCTION("""COMPUTED_VALUE"""),"NO")</f>
        <v>NO</v>
      </c>
      <c r="C675" s="6" t="str">
        <f>IFERROR(__xludf.DUMMYFUNCTION("""COMPUTED_VALUE"""),"YES")</f>
        <v>YES</v>
      </c>
      <c r="D675" s="6"/>
      <c r="E675" s="49" t="str">
        <f>IFERROR(__xludf.DUMMYFUNCTION("""COMPUTED_VALUE"""),"https://drive.google.com/open?id=1V5bgncuicB1rtD7clSbyLHfuWGPFfGxi")</f>
        <v>https://drive.google.com/open?id=1V5bgncuicB1rtD7clSbyLHfuWGPFfGxi</v>
      </c>
    </row>
    <row r="676">
      <c r="A676" s="6" t="str">
        <f>IFERROR(__xludf.DUMMYFUNCTION("""COMPUTED_VALUE"""),"vsingole@mitaoe.ac.in")</f>
        <v>vsingole@mitaoe.ac.in</v>
      </c>
      <c r="B676" s="6" t="str">
        <f>IFERROR(__xludf.DUMMYFUNCTION("""COMPUTED_VALUE"""),"NO")</f>
        <v>NO</v>
      </c>
      <c r="C676" s="6" t="str">
        <f>IFERROR(__xludf.DUMMYFUNCTION("""COMPUTED_VALUE"""),"NO")</f>
        <v>NO</v>
      </c>
      <c r="D676" s="6"/>
      <c r="E676" s="6"/>
    </row>
    <row r="677">
      <c r="A677" s="6" t="str">
        <f>IFERROR(__xludf.DUMMYFUNCTION("""COMPUTED_VALUE"""),"aarudraksh@mitaoe.ac.in")</f>
        <v>aarudraksh@mitaoe.ac.in</v>
      </c>
      <c r="B677" s="6" t="str">
        <f>IFERROR(__xludf.DUMMYFUNCTION("""COMPUTED_VALUE"""),"NO")</f>
        <v>NO</v>
      </c>
      <c r="C677" s="6" t="str">
        <f>IFERROR(__xludf.DUMMYFUNCTION("""COMPUTED_VALUE"""),"NO")</f>
        <v>NO</v>
      </c>
      <c r="D677" s="6"/>
      <c r="E677" s="6"/>
    </row>
    <row r="678">
      <c r="A678" s="6" t="str">
        <f>IFERROR(__xludf.DUMMYFUNCTION("""COMPUTED_VALUE"""),"takhandait@mitaoe.ac.in")</f>
        <v>takhandait@mitaoe.ac.in</v>
      </c>
      <c r="B678" s="6" t="str">
        <f>IFERROR(__xludf.DUMMYFUNCTION("""COMPUTED_VALUE"""),"NO")</f>
        <v>NO</v>
      </c>
      <c r="C678" s="6" t="str">
        <f>IFERROR(__xludf.DUMMYFUNCTION("""COMPUTED_VALUE"""),"NO")</f>
        <v>NO</v>
      </c>
      <c r="D678" s="6"/>
      <c r="E678" s="6"/>
    </row>
    <row r="679">
      <c r="A679" s="6" t="str">
        <f>IFERROR(__xludf.DUMMYFUNCTION("""COMPUTED_VALUE"""),"sgpardhi@mitaoe.ac.in")</f>
        <v>sgpardhi@mitaoe.ac.in</v>
      </c>
      <c r="B679" s="6" t="str">
        <f>IFERROR(__xludf.DUMMYFUNCTION("""COMPUTED_VALUE"""),"NO")</f>
        <v>NO</v>
      </c>
      <c r="C679" s="6" t="str">
        <f>IFERROR(__xludf.DUMMYFUNCTION("""COMPUTED_VALUE"""),"NO")</f>
        <v>NO</v>
      </c>
      <c r="D679" s="6"/>
      <c r="E679" s="6"/>
    </row>
    <row r="680">
      <c r="A680" s="6" t="str">
        <f>IFERROR(__xludf.DUMMYFUNCTION("""COMPUTED_VALUE"""),"kaahirrao@mitaoe.ac.in")</f>
        <v>kaahirrao@mitaoe.ac.in</v>
      </c>
      <c r="B680" s="6" t="str">
        <f>IFERROR(__xludf.DUMMYFUNCTION("""COMPUTED_VALUE"""),"NO")</f>
        <v>NO</v>
      </c>
      <c r="C680" s="6" t="str">
        <f>IFERROR(__xludf.DUMMYFUNCTION("""COMPUTED_VALUE"""),"NO")</f>
        <v>NO</v>
      </c>
      <c r="D680" s="6"/>
      <c r="E680" s="6"/>
    </row>
    <row r="681">
      <c r="A681" s="6" t="str">
        <f>IFERROR(__xludf.DUMMYFUNCTION("""COMPUTED_VALUE"""),"ppdeshpande@mitaoe.ac.in")</f>
        <v>ppdeshpande@mitaoe.ac.in</v>
      </c>
      <c r="B681" s="6" t="str">
        <f>IFERROR(__xludf.DUMMYFUNCTION("""COMPUTED_VALUE"""),"NO")</f>
        <v>NO</v>
      </c>
      <c r="C681" s="6" t="str">
        <f>IFERROR(__xludf.DUMMYFUNCTION("""COMPUTED_VALUE"""),"NO")</f>
        <v>NO</v>
      </c>
      <c r="D681" s="6"/>
      <c r="E681" s="6"/>
    </row>
    <row r="682">
      <c r="A682" s="6" t="str">
        <f>IFERROR(__xludf.DUMMYFUNCTION("""COMPUTED_VALUE"""),"mpdeshpande@mitaoe.ac.in")</f>
        <v>mpdeshpande@mitaoe.ac.in</v>
      </c>
      <c r="B682" s="6" t="str">
        <f>IFERROR(__xludf.DUMMYFUNCTION("""COMPUTED_VALUE"""),"NO")</f>
        <v>NO</v>
      </c>
      <c r="C682" s="6" t="str">
        <f>IFERROR(__xludf.DUMMYFUNCTION("""COMPUTED_VALUE"""),"NO")</f>
        <v>NO</v>
      </c>
      <c r="D682" s="6"/>
      <c r="E682" s="6"/>
    </row>
    <row r="683">
      <c r="A683" s="6" t="str">
        <f>IFERROR(__xludf.DUMMYFUNCTION("""COMPUTED_VALUE"""),"avgondane@mitaoe.ac.in")</f>
        <v>avgondane@mitaoe.ac.in</v>
      </c>
      <c r="B683" s="6" t="str">
        <f>IFERROR(__xludf.DUMMYFUNCTION("""COMPUTED_VALUE"""),"NO")</f>
        <v>NO</v>
      </c>
      <c r="C683" s="6" t="str">
        <f>IFERROR(__xludf.DUMMYFUNCTION("""COMPUTED_VALUE"""),"NO")</f>
        <v>NO</v>
      </c>
      <c r="D683" s="6"/>
      <c r="E683" s="6"/>
    </row>
    <row r="684">
      <c r="A684" s="6" t="str">
        <f>IFERROR(__xludf.DUMMYFUNCTION("""COMPUTED_VALUE"""),"tsshar@mitaoe.ac.in")</f>
        <v>tsshar@mitaoe.ac.in</v>
      </c>
      <c r="B684" s="6" t="str">
        <f>IFERROR(__xludf.DUMMYFUNCTION("""COMPUTED_VALUE"""),"YES")</f>
        <v>YES</v>
      </c>
      <c r="C684" s="6" t="str">
        <f>IFERROR(__xludf.DUMMYFUNCTION("""COMPUTED_VALUE"""),"YES")</f>
        <v>YES</v>
      </c>
      <c r="D684" s="49" t="str">
        <f>IFERROR(__xludf.DUMMYFUNCTION("""COMPUTED_VALUE"""),"https://drive.google.com/open?id=1yHNRqdUxEaebKNUyFZyJ4sqmSGyLQMtA")</f>
        <v>https://drive.google.com/open?id=1yHNRqdUxEaebKNUyFZyJ4sqmSGyLQMtA</v>
      </c>
      <c r="E684" s="49" t="str">
        <f>IFERROR(__xludf.DUMMYFUNCTION("""COMPUTED_VALUE"""),"https://drive.google.com/open?id=1GmZVdFuJGJH9gejwh1zXKwC9JuhitL9I")</f>
        <v>https://drive.google.com/open?id=1GmZVdFuJGJH9gejwh1zXKwC9JuhitL9I</v>
      </c>
    </row>
    <row r="685">
      <c r="A685" s="6" t="str">
        <f>IFERROR(__xludf.DUMMYFUNCTION("""COMPUTED_VALUE"""),"sjbhutada@mitaoe.ac.in")</f>
        <v>sjbhutada@mitaoe.ac.in</v>
      </c>
      <c r="B685" s="6" t="str">
        <f>IFERROR(__xludf.DUMMYFUNCTION("""COMPUTED_VALUE"""),"YES")</f>
        <v>YES</v>
      </c>
      <c r="C685" s="6" t="str">
        <f>IFERROR(__xludf.DUMMYFUNCTION("""COMPUTED_VALUE"""),"YES")</f>
        <v>YES</v>
      </c>
      <c r="D685" s="49" t="str">
        <f>IFERROR(__xludf.DUMMYFUNCTION("""COMPUTED_VALUE"""),"https://drive.google.com/open?id=1M00gTbbjAAaW6lfCK9FAaeKp-hr3L0vX")</f>
        <v>https://drive.google.com/open?id=1M00gTbbjAAaW6lfCK9FAaeKp-hr3L0vX</v>
      </c>
      <c r="E685" s="49" t="str">
        <f>IFERROR(__xludf.DUMMYFUNCTION("""COMPUTED_VALUE"""),"https://drive.google.com/open?id=1gyjTljID_uV8ZqnLhmBCtl08IutZLHK5")</f>
        <v>https://drive.google.com/open?id=1gyjTljID_uV8ZqnLhmBCtl08IutZLHK5</v>
      </c>
    </row>
    <row r="686">
      <c r="A686" s="6" t="str">
        <f>IFERROR(__xludf.DUMMYFUNCTION("""COMPUTED_VALUE"""),"tmpatil@mitaoe.ac.in")</f>
        <v>tmpatil@mitaoe.ac.in</v>
      </c>
      <c r="B686" s="6" t="str">
        <f>IFERROR(__xludf.DUMMYFUNCTION("""COMPUTED_VALUE"""),"NO")</f>
        <v>NO</v>
      </c>
      <c r="C686" s="6" t="str">
        <f>IFERROR(__xludf.DUMMYFUNCTION("""COMPUTED_VALUE"""),"NO")</f>
        <v>NO</v>
      </c>
      <c r="D686" s="6"/>
      <c r="E686" s="6"/>
    </row>
    <row r="687">
      <c r="A687" s="6" t="str">
        <f>IFERROR(__xludf.DUMMYFUNCTION("""COMPUTED_VALUE"""),"kvdarwhekar@mitaoe.ac.in")</f>
        <v>kvdarwhekar@mitaoe.ac.in</v>
      </c>
      <c r="B687" s="6" t="str">
        <f>IFERROR(__xludf.DUMMYFUNCTION("""COMPUTED_VALUE"""),"YES")</f>
        <v>YES</v>
      </c>
      <c r="C687" s="6" t="str">
        <f>IFERROR(__xludf.DUMMYFUNCTION("""COMPUTED_VALUE"""),"YES")</f>
        <v>YES</v>
      </c>
      <c r="D687" s="49" t="str">
        <f>IFERROR(__xludf.DUMMYFUNCTION("""COMPUTED_VALUE"""),"https://drive.google.com/open?id=1Fbmn7_XwD7Z9KSgWClCIe7IZPeYiKhXD")</f>
        <v>https://drive.google.com/open?id=1Fbmn7_XwD7Z9KSgWClCIe7IZPeYiKhXD</v>
      </c>
      <c r="E687" s="49" t="str">
        <f>IFERROR(__xludf.DUMMYFUNCTION("""COMPUTED_VALUE"""),"https://drive.google.com/open?id=1zixx1Lx-Lk05-HuFG16PFCETeQzdjxDn")</f>
        <v>https://drive.google.com/open?id=1zixx1Lx-Lk05-HuFG16PFCETeQzdjxDn</v>
      </c>
    </row>
    <row r="688">
      <c r="A688" s="6" t="str">
        <f>IFERROR(__xludf.DUMMYFUNCTION("""COMPUTED_VALUE"""),"samarathe@mitaoe.ac.in")</f>
        <v>samarathe@mitaoe.ac.in</v>
      </c>
      <c r="B688" s="6" t="str">
        <f>IFERROR(__xludf.DUMMYFUNCTION("""COMPUTED_VALUE"""),"NO")</f>
        <v>NO</v>
      </c>
      <c r="C688" s="6" t="str">
        <f>IFERROR(__xludf.DUMMYFUNCTION("""COMPUTED_VALUE"""),"NO")</f>
        <v>NO</v>
      </c>
      <c r="D688" s="6"/>
      <c r="E688" s="6"/>
    </row>
    <row r="689">
      <c r="A689" s="6" t="str">
        <f>IFERROR(__xludf.DUMMYFUNCTION("""COMPUTED_VALUE"""),"trdambhare@mitaoe.ac.in")</f>
        <v>trdambhare@mitaoe.ac.in</v>
      </c>
      <c r="B689" s="6" t="str">
        <f>IFERROR(__xludf.DUMMYFUNCTION("""COMPUTED_VALUE"""),"YES ")</f>
        <v>YES </v>
      </c>
      <c r="C689" s="6" t="str">
        <f>IFERROR(__xludf.DUMMYFUNCTION("""COMPUTED_VALUE"""),"NO")</f>
        <v>NO</v>
      </c>
      <c r="D689" s="49" t="str">
        <f>IFERROR(__xludf.DUMMYFUNCTION("""COMPUTED_VALUE"""),"https://drive.google.com/open?id=1SGqqc9biqqxEXxDl6rWRrkfBCTO_EnOP")</f>
        <v>https://drive.google.com/open?id=1SGqqc9biqqxEXxDl6rWRrkfBCTO_EnOP</v>
      </c>
      <c r="E689" s="6"/>
    </row>
    <row r="690">
      <c r="A690" s="6" t="str">
        <f>IFERROR(__xludf.DUMMYFUNCTION("""COMPUTED_VALUE"""),"nsaurade@mitaoe.ac.in")</f>
        <v>nsaurade@mitaoe.ac.in</v>
      </c>
      <c r="B690" s="6" t="str">
        <f>IFERROR(__xludf.DUMMYFUNCTION("""COMPUTED_VALUE"""),"NO")</f>
        <v>NO</v>
      </c>
      <c r="C690" s="6" t="str">
        <f>IFERROR(__xludf.DUMMYFUNCTION("""COMPUTED_VALUE"""),"NO")</f>
        <v>NO</v>
      </c>
      <c r="D690" s="6"/>
      <c r="E690" s="6"/>
    </row>
    <row r="691">
      <c r="A691" s="6" t="str">
        <f>IFERROR(__xludf.DUMMYFUNCTION("""COMPUTED_VALUE"""),"srabrol@mitaoe.ac.in")</f>
        <v>srabrol@mitaoe.ac.in</v>
      </c>
      <c r="B691" s="6" t="str">
        <f>IFERROR(__xludf.DUMMYFUNCTION("""COMPUTED_VALUE"""),"NO")</f>
        <v>NO</v>
      </c>
      <c r="C691" s="6" t="str">
        <f>IFERROR(__xludf.DUMMYFUNCTION("""COMPUTED_VALUE"""),"NO")</f>
        <v>NO</v>
      </c>
      <c r="D691" s="6"/>
      <c r="E691" s="6"/>
    </row>
    <row r="692">
      <c r="A692" s="6" t="str">
        <f>IFERROR(__xludf.DUMMYFUNCTION("""COMPUTED_VALUE"""),"anushkapawar@mitaoe.ac.in")</f>
        <v>anushkapawar@mitaoe.ac.in</v>
      </c>
      <c r="B692" s="6" t="str">
        <f>IFERROR(__xludf.DUMMYFUNCTION("""COMPUTED_VALUE"""),"NO")</f>
        <v>NO</v>
      </c>
      <c r="C692" s="6" t="str">
        <f>IFERROR(__xludf.DUMMYFUNCTION("""COMPUTED_VALUE"""),"NO")</f>
        <v>NO</v>
      </c>
      <c r="D692" s="6"/>
      <c r="E692" s="6"/>
    </row>
    <row r="693">
      <c r="A693" s="6" t="str">
        <f>IFERROR(__xludf.DUMMYFUNCTION("""COMPUTED_VALUE"""),"tharunyha@mitaoe.ac.in")</f>
        <v>tharunyha@mitaoe.ac.in</v>
      </c>
      <c r="B693" s="6" t="str">
        <f>IFERROR(__xludf.DUMMYFUNCTION("""COMPUTED_VALUE"""),"YES")</f>
        <v>YES</v>
      </c>
      <c r="C693" s="6" t="str">
        <f>IFERROR(__xludf.DUMMYFUNCTION("""COMPUTED_VALUE"""),"YES")</f>
        <v>YES</v>
      </c>
      <c r="D693" s="49" t="str">
        <f>IFERROR(__xludf.DUMMYFUNCTION("""COMPUTED_VALUE"""),"https://drive.google.com/open?id=1m7B4RHbYhayqS7eZsQZhSF03Cwqp-vjx")</f>
        <v>https://drive.google.com/open?id=1m7B4RHbYhayqS7eZsQZhSF03Cwqp-vjx</v>
      </c>
      <c r="E693" s="49" t="str">
        <f>IFERROR(__xludf.DUMMYFUNCTION("""COMPUTED_VALUE"""),"https://drive.google.com/open?id=18R9hC_hqKKqXy0AHGAdCDzfCoZf_ADDO")</f>
        <v>https://drive.google.com/open?id=18R9hC_hqKKqXy0AHGAdCDzfCoZf_ADDO</v>
      </c>
    </row>
    <row r="694">
      <c r="A694" s="6" t="str">
        <f>IFERROR(__xludf.DUMMYFUNCTION("""COMPUTED_VALUE"""),"urmila.chavan@mitaoe.ac.in")</f>
        <v>urmila.chavan@mitaoe.ac.in</v>
      </c>
      <c r="B694" s="6" t="str">
        <f>IFERROR(__xludf.DUMMYFUNCTION("""COMPUTED_VALUE"""),"NO")</f>
        <v>NO</v>
      </c>
      <c r="C694" s="6" t="str">
        <f>IFERROR(__xludf.DUMMYFUNCTION("""COMPUTED_VALUE"""),"NO")</f>
        <v>NO</v>
      </c>
      <c r="D694" s="6"/>
      <c r="E694" s="6"/>
    </row>
    <row r="695">
      <c r="A695" s="6" t="str">
        <f>IFERROR(__xludf.DUMMYFUNCTION("""COMPUTED_VALUE"""),"shraddhashinde@mitaoe.ac.in")</f>
        <v>shraddhashinde@mitaoe.ac.in</v>
      </c>
      <c r="B695" s="6" t="str">
        <f>IFERROR(__xludf.DUMMYFUNCTION("""COMPUTED_VALUE"""),"YES")</f>
        <v>YES</v>
      </c>
      <c r="C695" s="6" t="str">
        <f>IFERROR(__xludf.DUMMYFUNCTION("""COMPUTED_VALUE"""),"YES")</f>
        <v>YES</v>
      </c>
      <c r="D695" s="49" t="str">
        <f>IFERROR(__xludf.DUMMYFUNCTION("""COMPUTED_VALUE"""),"https://drive.google.com/open?id=1ktrZjfRzIpQL44E60L0cHVp-LFEs3Rdm")</f>
        <v>https://drive.google.com/open?id=1ktrZjfRzIpQL44E60L0cHVp-LFEs3Rdm</v>
      </c>
      <c r="E695" s="49" t="str">
        <f>IFERROR(__xludf.DUMMYFUNCTION("""COMPUTED_VALUE"""),"https://drive.google.com/open?id=1tUNSY4LttG07G5E87CbiIYKl-KchXDSn")</f>
        <v>https://drive.google.com/open?id=1tUNSY4LttG07G5E87CbiIYKl-KchXDSn</v>
      </c>
    </row>
    <row r="696">
      <c r="A696" s="6" t="str">
        <f>IFERROR(__xludf.DUMMYFUNCTION("""COMPUTED_VALUE"""),"deshmukhss@mitaoe.ac.in")</f>
        <v>deshmukhss@mitaoe.ac.in</v>
      </c>
      <c r="B696" s="6" t="str">
        <f>IFERROR(__xludf.DUMMYFUNCTION("""COMPUTED_VALUE"""),"NO")</f>
        <v>NO</v>
      </c>
      <c r="C696" s="6" t="str">
        <f>IFERROR(__xludf.DUMMYFUNCTION("""COMPUTED_VALUE"""),"NO")</f>
        <v>NO</v>
      </c>
      <c r="D696" s="6"/>
      <c r="E696" s="6"/>
    </row>
    <row r="697">
      <c r="A697" s="6" t="str">
        <f>IFERROR(__xludf.DUMMYFUNCTION("""COMPUTED_VALUE"""),"csbalraje@mitaoe.ac.in")</f>
        <v>csbalraje@mitaoe.ac.in</v>
      </c>
      <c r="B697" s="6" t="str">
        <f>IFERROR(__xludf.DUMMYFUNCTION("""COMPUTED_VALUE"""),"NO")</f>
        <v>NO</v>
      </c>
      <c r="C697" s="6" t="str">
        <f>IFERROR(__xludf.DUMMYFUNCTION("""COMPUTED_VALUE"""),"NO")</f>
        <v>NO</v>
      </c>
      <c r="D697" s="6"/>
      <c r="E697" s="6"/>
    </row>
    <row r="698">
      <c r="A698" s="6" t="str">
        <f>IFERROR(__xludf.DUMMYFUNCTION("""COMPUTED_VALUE"""),"akaradwad@mitaoe.ac.in")</f>
        <v>akaradwad@mitaoe.ac.in</v>
      </c>
      <c r="B698" s="6" t="str">
        <f>IFERROR(__xludf.DUMMYFUNCTION("""COMPUTED_VALUE"""),"NO")</f>
        <v>NO</v>
      </c>
      <c r="C698" s="6" t="str">
        <f>IFERROR(__xludf.DUMMYFUNCTION("""COMPUTED_VALUE"""),"NO")</f>
        <v>NO</v>
      </c>
      <c r="D698" s="6"/>
      <c r="E698" s="6"/>
    </row>
    <row r="699">
      <c r="A699" s="6" t="str">
        <f>IFERROR(__xludf.DUMMYFUNCTION("""COMPUTED_VALUE"""),"ypbagul@mitaoe.ac.in")</f>
        <v>ypbagul@mitaoe.ac.in</v>
      </c>
      <c r="B699" s="6" t="str">
        <f>IFERROR(__xludf.DUMMYFUNCTION("""COMPUTED_VALUE"""),"YES")</f>
        <v>YES</v>
      </c>
      <c r="C699" s="6" t="str">
        <f>IFERROR(__xludf.DUMMYFUNCTION("""COMPUTED_VALUE"""),"YES")</f>
        <v>YES</v>
      </c>
      <c r="D699" s="49" t="str">
        <f>IFERROR(__xludf.DUMMYFUNCTION("""COMPUTED_VALUE"""),"https://drive.google.com/open?id=1QohcS7_av92LxMjk7gub_E-sc82h0bXm")</f>
        <v>https://drive.google.com/open?id=1QohcS7_av92LxMjk7gub_E-sc82h0bXm</v>
      </c>
      <c r="E699" s="49" t="str">
        <f>IFERROR(__xludf.DUMMYFUNCTION("""COMPUTED_VALUE"""),"https://drive.google.com/open?id=1JZVp3JZb_Edy_7Tl6MIj3tjDFXrWSqpD")</f>
        <v>https://drive.google.com/open?id=1JZVp3JZb_Edy_7Tl6MIj3tjDFXrWSqpD</v>
      </c>
    </row>
    <row r="700">
      <c r="A700" s="6" t="str">
        <f>IFERROR(__xludf.DUMMYFUNCTION("""COMPUTED_VALUE"""),"smhatte@mitaoe.ac.in")</f>
        <v>smhatte@mitaoe.ac.in</v>
      </c>
      <c r="B700" s="6" t="str">
        <f>IFERROR(__xludf.DUMMYFUNCTION("""COMPUTED_VALUE"""),"NO")</f>
        <v>NO</v>
      </c>
      <c r="C700" s="6" t="str">
        <f>IFERROR(__xludf.DUMMYFUNCTION("""COMPUTED_VALUE"""),"NO")</f>
        <v>NO</v>
      </c>
      <c r="D700" s="6"/>
      <c r="E700" s="6"/>
    </row>
    <row r="701">
      <c r="A701" s="6" t="str">
        <f>IFERROR(__xludf.DUMMYFUNCTION("""COMPUTED_VALUE"""),"asnetake@mitaoe.ac.in")</f>
        <v>asnetake@mitaoe.ac.in</v>
      </c>
      <c r="B701" s="6" t="str">
        <f>IFERROR(__xludf.DUMMYFUNCTION("""COMPUTED_VALUE"""),"NO")</f>
        <v>NO</v>
      </c>
      <c r="C701" s="6" t="str">
        <f>IFERROR(__xludf.DUMMYFUNCTION("""COMPUTED_VALUE"""),"YES")</f>
        <v>YES</v>
      </c>
      <c r="D701" s="6"/>
      <c r="E701" s="49" t="str">
        <f>IFERROR(__xludf.DUMMYFUNCTION("""COMPUTED_VALUE"""),"https://drive.google.com/open?id=1V7PA-QqWz2VpupRd4Ze3AertyBKAO1iv")</f>
        <v>https://drive.google.com/open?id=1V7PA-QqWz2VpupRd4Ze3AertyBKAO1iv</v>
      </c>
    </row>
    <row r="702">
      <c r="A702" s="6" t="str">
        <f>IFERROR(__xludf.DUMMYFUNCTION("""COMPUTED_VALUE"""),"hrchapke@mitaoe.ac.in")</f>
        <v>hrchapke@mitaoe.ac.in</v>
      </c>
      <c r="B702" s="6" t="str">
        <f>IFERROR(__xludf.DUMMYFUNCTION("""COMPUTED_VALUE"""),"YES")</f>
        <v>YES</v>
      </c>
      <c r="C702" s="6" t="str">
        <f>IFERROR(__xludf.DUMMYFUNCTION("""COMPUTED_VALUE"""),"YES")</f>
        <v>YES</v>
      </c>
      <c r="D702" s="49" t="str">
        <f>IFERROR(__xludf.DUMMYFUNCTION("""COMPUTED_VALUE"""),"https://drive.google.com/open?id=1EGhx711Xe8tTE9yVoQ1Mr9oxsxIA4dyB")</f>
        <v>https://drive.google.com/open?id=1EGhx711Xe8tTE9yVoQ1Mr9oxsxIA4dyB</v>
      </c>
      <c r="E702" s="49" t="str">
        <f>IFERROR(__xludf.DUMMYFUNCTION("""COMPUTED_VALUE"""),"https://drive.google.com/open?id=1S3x6zJPxHPPxfv67eywJTIXMIWyOo9ni")</f>
        <v>https://drive.google.com/open?id=1S3x6zJPxHPPxfv67eywJTIXMIWyOo9ni</v>
      </c>
    </row>
    <row r="703">
      <c r="A703" s="6" t="str">
        <f>IFERROR(__xludf.DUMMYFUNCTION("""COMPUTED_VALUE"""),"kkdubey@mitaoe.ac.in")</f>
        <v>kkdubey@mitaoe.ac.in</v>
      </c>
      <c r="B703" s="6" t="str">
        <f>IFERROR(__xludf.DUMMYFUNCTION("""COMPUTED_VALUE"""),"NO")</f>
        <v>NO</v>
      </c>
      <c r="C703" s="6" t="str">
        <f>IFERROR(__xludf.DUMMYFUNCTION("""COMPUTED_VALUE"""),"NO")</f>
        <v>NO</v>
      </c>
      <c r="D703" s="6"/>
      <c r="E703" s="6"/>
    </row>
    <row r="704">
      <c r="A704" s="6" t="str">
        <f>IFERROR(__xludf.DUMMYFUNCTION("""COMPUTED_VALUE"""),"prkhatavkar@mitaoe.ac.in")</f>
        <v>prkhatavkar@mitaoe.ac.in</v>
      </c>
      <c r="B704" s="6" t="str">
        <f>IFERROR(__xludf.DUMMYFUNCTION("""COMPUTED_VALUE"""),"NO")</f>
        <v>NO</v>
      </c>
      <c r="C704" s="6" t="str">
        <f>IFERROR(__xludf.DUMMYFUNCTION("""COMPUTED_VALUE"""),"NO")</f>
        <v>NO</v>
      </c>
      <c r="D704" s="6"/>
      <c r="E704" s="6"/>
    </row>
    <row r="705">
      <c r="A705" s="6" t="str">
        <f>IFERROR(__xludf.DUMMYFUNCTION("""COMPUTED_VALUE"""),"abmore@mitaoe.ac.in")</f>
        <v>abmore@mitaoe.ac.in</v>
      </c>
      <c r="B705" s="6" t="str">
        <f>IFERROR(__xludf.DUMMYFUNCTION("""COMPUTED_VALUE"""),"NO")</f>
        <v>NO</v>
      </c>
      <c r="C705" s="6" t="str">
        <f>IFERROR(__xludf.DUMMYFUNCTION("""COMPUTED_VALUE"""),"NO")</f>
        <v>NO</v>
      </c>
      <c r="D705" s="6"/>
      <c r="E705" s="6"/>
    </row>
    <row r="706">
      <c r="A706" s="6" t="str">
        <f>IFERROR(__xludf.DUMMYFUNCTION("""COMPUTED_VALUE"""),"sschalvadhi@mitaoe.ac.in")</f>
        <v>sschalvadhi@mitaoe.ac.in</v>
      </c>
      <c r="B706" s="6" t="str">
        <f>IFERROR(__xludf.DUMMYFUNCTION("""COMPUTED_VALUE"""),"NO")</f>
        <v>NO</v>
      </c>
      <c r="C706" s="6" t="str">
        <f>IFERROR(__xludf.DUMMYFUNCTION("""COMPUTED_VALUE"""),"NO")</f>
        <v>NO</v>
      </c>
      <c r="D706" s="6"/>
      <c r="E706" s="6"/>
    </row>
    <row r="707">
      <c r="A707" s="6" t="str">
        <f>IFERROR(__xludf.DUMMYFUNCTION("""COMPUTED_VALUE"""),"csalshetty@mitaoe.ac.in")</f>
        <v>csalshetty@mitaoe.ac.in</v>
      </c>
      <c r="B707" s="6" t="str">
        <f>IFERROR(__xludf.DUMMYFUNCTION("""COMPUTED_VALUE"""),"NO")</f>
        <v>NO</v>
      </c>
      <c r="C707" s="6" t="str">
        <f>IFERROR(__xludf.DUMMYFUNCTION("""COMPUTED_VALUE"""),"NO")</f>
        <v>NO</v>
      </c>
      <c r="D707" s="6"/>
      <c r="E707" s="6"/>
    </row>
    <row r="708">
      <c r="A708" s="6" t="str">
        <f>IFERROR(__xludf.DUMMYFUNCTION("""COMPUTED_VALUE"""),"pgghadge@mitaoe.ac.in")</f>
        <v>pgghadge@mitaoe.ac.in</v>
      </c>
      <c r="B708" s="6" t="str">
        <f>IFERROR(__xludf.DUMMYFUNCTION("""COMPUTED_VALUE"""),"NO")</f>
        <v>NO</v>
      </c>
      <c r="C708" s="6" t="str">
        <f>IFERROR(__xludf.DUMMYFUNCTION("""COMPUTED_VALUE"""),"NO")</f>
        <v>NO</v>
      </c>
      <c r="D708" s="6"/>
      <c r="E708" s="6"/>
    </row>
    <row r="709">
      <c r="A709" s="6" t="str">
        <f>IFERROR(__xludf.DUMMYFUNCTION("""COMPUTED_VALUE"""),"ypdengre@mitaoe.ac.in")</f>
        <v>ypdengre@mitaoe.ac.in</v>
      </c>
      <c r="B709" s="6" t="str">
        <f>IFERROR(__xludf.DUMMYFUNCTION("""COMPUTED_VALUE"""),"YES")</f>
        <v>YES</v>
      </c>
      <c r="C709" s="6" t="str">
        <f>IFERROR(__xludf.DUMMYFUNCTION("""COMPUTED_VALUE"""),"YES")</f>
        <v>YES</v>
      </c>
      <c r="D709" s="49" t="str">
        <f>IFERROR(__xludf.DUMMYFUNCTION("""COMPUTED_VALUE"""),"https://drive.google.com/open?id=1dhcBmTUz8sSOVx2UEoC8lAExoPqWwK28")</f>
        <v>https://drive.google.com/open?id=1dhcBmTUz8sSOVx2UEoC8lAExoPqWwK28</v>
      </c>
      <c r="E709" s="49" t="str">
        <f>IFERROR(__xludf.DUMMYFUNCTION("""COMPUTED_VALUE"""),"https://drive.google.com/open?id=1JR7W1yDP1ydY1Ea6hIQdiqIlhM4CSiQS")</f>
        <v>https://drive.google.com/open?id=1JR7W1yDP1ydY1Ea6hIQdiqIlhM4CSiQS</v>
      </c>
    </row>
    <row r="710">
      <c r="A710" s="6" t="str">
        <f>IFERROR(__xludf.DUMMYFUNCTION("""COMPUTED_VALUE"""),"anilkumar@mitaoe.ac.in")</f>
        <v>anilkumar@mitaoe.ac.in</v>
      </c>
      <c r="B710" s="6" t="str">
        <f>IFERROR(__xludf.DUMMYFUNCTION("""COMPUTED_VALUE"""),"NO")</f>
        <v>NO</v>
      </c>
      <c r="C710" s="6" t="str">
        <f>IFERROR(__xludf.DUMMYFUNCTION("""COMPUTED_VALUE"""),"NO")</f>
        <v>NO</v>
      </c>
      <c r="D710" s="6"/>
      <c r="E710" s="6"/>
    </row>
    <row r="711">
      <c r="A711" s="6" t="str">
        <f>IFERROR(__xludf.DUMMYFUNCTION("""COMPUTED_VALUE"""),"pranav.malasane@mitaoe.ac.in")</f>
        <v>pranav.malasane@mitaoe.ac.in</v>
      </c>
      <c r="B711" s="6" t="str">
        <f>IFERROR(__xludf.DUMMYFUNCTION("""COMPUTED_VALUE"""),"NO")</f>
        <v>NO</v>
      </c>
      <c r="C711" s="6" t="str">
        <f>IFERROR(__xludf.DUMMYFUNCTION("""COMPUTED_VALUE"""),"NO")</f>
        <v>NO</v>
      </c>
      <c r="D711" s="6"/>
      <c r="E711" s="6"/>
    </row>
    <row r="712">
      <c r="A712" s="6" t="str">
        <f>IFERROR(__xludf.DUMMYFUNCTION("""COMPUTED_VALUE"""),"rmmungse@mitaoe.ac.in")</f>
        <v>rmmungse@mitaoe.ac.in</v>
      </c>
      <c r="B712" s="6" t="str">
        <f>IFERROR(__xludf.DUMMYFUNCTION("""COMPUTED_VALUE"""),"NO")</f>
        <v>NO</v>
      </c>
      <c r="C712" s="6" t="str">
        <f>IFERROR(__xludf.DUMMYFUNCTION("""COMPUTED_VALUE"""),"NO")</f>
        <v>NO</v>
      </c>
      <c r="D712" s="6"/>
      <c r="E712" s="6"/>
    </row>
    <row r="713">
      <c r="A713" s="6" t="str">
        <f>IFERROR(__xludf.DUMMYFUNCTION("""COMPUTED_VALUE"""),"lpsharma@mitaoe.ac.in")</f>
        <v>lpsharma@mitaoe.ac.in</v>
      </c>
      <c r="B713" s="6" t="str">
        <f>IFERROR(__xludf.DUMMYFUNCTION("""COMPUTED_VALUE"""),"NO")</f>
        <v>NO</v>
      </c>
      <c r="C713" s="6" t="str">
        <f>IFERROR(__xludf.DUMMYFUNCTION("""COMPUTED_VALUE"""),"NO")</f>
        <v>NO</v>
      </c>
      <c r="D713" s="6"/>
      <c r="E713" s="6"/>
    </row>
    <row r="714">
      <c r="A714" s="6" t="str">
        <f>IFERROR(__xludf.DUMMYFUNCTION("""COMPUTED_VALUE"""),"sudnyan.wale@mitaoe.ac.in")</f>
        <v>sudnyan.wale@mitaoe.ac.in</v>
      </c>
      <c r="B714" s="6" t="str">
        <f>IFERROR(__xludf.DUMMYFUNCTION("""COMPUTED_VALUE"""),"NO")</f>
        <v>NO</v>
      </c>
      <c r="C714" s="6" t="str">
        <f>IFERROR(__xludf.DUMMYFUNCTION("""COMPUTED_VALUE"""),"NO")</f>
        <v>NO</v>
      </c>
      <c r="D714" s="6"/>
      <c r="E714" s="6"/>
    </row>
    <row r="715">
      <c r="A715" s="6" t="str">
        <f>IFERROR(__xludf.DUMMYFUNCTION("""COMPUTED_VALUE"""),"msjawale@mitaoe.ac.in")</f>
        <v>msjawale@mitaoe.ac.in</v>
      </c>
      <c r="B715" s="6" t="str">
        <f>IFERROR(__xludf.DUMMYFUNCTION("""COMPUTED_VALUE"""),"NO")</f>
        <v>NO</v>
      </c>
      <c r="C715" s="6" t="str">
        <f>IFERROR(__xludf.DUMMYFUNCTION("""COMPUTED_VALUE"""),"NO")</f>
        <v>NO</v>
      </c>
      <c r="D715" s="6"/>
      <c r="E715" s="6"/>
    </row>
    <row r="716">
      <c r="A716" s="6" t="str">
        <f>IFERROR(__xludf.DUMMYFUNCTION("""COMPUTED_VALUE"""),"padarsh@mitaoe.ac.in")</f>
        <v>padarsh@mitaoe.ac.in</v>
      </c>
      <c r="B716" s="6" t="str">
        <f>IFERROR(__xludf.DUMMYFUNCTION("""COMPUTED_VALUE"""),"YES")</f>
        <v>YES</v>
      </c>
      <c r="C716" s="6" t="str">
        <f>IFERROR(__xludf.DUMMYFUNCTION("""COMPUTED_VALUE"""),"YES")</f>
        <v>YES</v>
      </c>
      <c r="D716" s="49" t="str">
        <f>IFERROR(__xludf.DUMMYFUNCTION("""COMPUTED_VALUE"""),"https://drive.google.com/open?id=1P3cI70NNZtKStgWRy1YEx8yiwTslPBJ7")</f>
        <v>https://drive.google.com/open?id=1P3cI70NNZtKStgWRy1YEx8yiwTslPBJ7</v>
      </c>
      <c r="E716" s="49" t="str">
        <f>IFERROR(__xludf.DUMMYFUNCTION("""COMPUTED_VALUE"""),"https://drive.google.com/open?id=1c5fs6nwH3mNMff2CprQafNWpad_oOy18")</f>
        <v>https://drive.google.com/open?id=1c5fs6nwH3mNMff2CprQafNWpad_oOy18</v>
      </c>
    </row>
    <row r="717">
      <c r="A717" s="6" t="str">
        <f>IFERROR(__xludf.DUMMYFUNCTION("""COMPUTED_VALUE"""),"ckdumbre@mitaoe.ac.in")</f>
        <v>ckdumbre@mitaoe.ac.in</v>
      </c>
      <c r="B717" s="6" t="str">
        <f>IFERROR(__xludf.DUMMYFUNCTION("""COMPUTED_VALUE"""),"NO")</f>
        <v>NO</v>
      </c>
      <c r="C717" s="6" t="str">
        <f>IFERROR(__xludf.DUMMYFUNCTION("""COMPUTED_VALUE"""),"NO")</f>
        <v>NO</v>
      </c>
      <c r="D717" s="6"/>
      <c r="E717" s="6"/>
    </row>
    <row r="718">
      <c r="A718" s="6" t="str">
        <f>IFERROR(__xludf.DUMMYFUNCTION("""COMPUTED_VALUE"""),"sumedh.shelke@mitaoe.ac.in")</f>
        <v>sumedh.shelke@mitaoe.ac.in</v>
      </c>
      <c r="B718" s="6" t="str">
        <f>IFERROR(__xludf.DUMMYFUNCTION("""COMPUTED_VALUE"""),"YES")</f>
        <v>YES</v>
      </c>
      <c r="C718" s="6" t="str">
        <f>IFERROR(__xludf.DUMMYFUNCTION("""COMPUTED_VALUE"""),"YES")</f>
        <v>YES</v>
      </c>
      <c r="D718" s="49" t="str">
        <f>IFERROR(__xludf.DUMMYFUNCTION("""COMPUTED_VALUE"""),"https://drive.google.com/open?id=1P5A8ErMzB0iozmxoAeA2j9ypcW-UIjn1")</f>
        <v>https://drive.google.com/open?id=1P5A8ErMzB0iozmxoAeA2j9ypcW-UIjn1</v>
      </c>
      <c r="E718" s="49" t="str">
        <f>IFERROR(__xludf.DUMMYFUNCTION("""COMPUTED_VALUE"""),"https://drive.google.com/open?id=1fzxyU0HdEWV-X2x6h8ad0a87x2jP1fe2")</f>
        <v>https://drive.google.com/open?id=1fzxyU0HdEWV-X2x6h8ad0a87x2jP1fe2</v>
      </c>
    </row>
    <row r="719">
      <c r="A719" s="6" t="str">
        <f>IFERROR(__xludf.DUMMYFUNCTION("""COMPUTED_VALUE"""),"pvbhange@mitaoe.ac.in")</f>
        <v>pvbhange@mitaoe.ac.in</v>
      </c>
      <c r="B719" s="6" t="str">
        <f>IFERROR(__xludf.DUMMYFUNCTION("""COMPUTED_VALUE"""),"NO")</f>
        <v>NO</v>
      </c>
      <c r="C719" s="6" t="str">
        <f>IFERROR(__xludf.DUMMYFUNCTION("""COMPUTED_VALUE"""),"NO")</f>
        <v>NO</v>
      </c>
      <c r="D719" s="6"/>
      <c r="E719" s="6"/>
    </row>
    <row r="720">
      <c r="A720" s="6" t="str">
        <f>IFERROR(__xludf.DUMMYFUNCTION("""COMPUTED_VALUE"""),"abhishekwagh@mitaoe.ac.in")</f>
        <v>abhishekwagh@mitaoe.ac.in</v>
      </c>
      <c r="B720" s="6" t="str">
        <f>IFERROR(__xludf.DUMMYFUNCTION("""COMPUTED_VALUE"""),"NO")</f>
        <v>NO</v>
      </c>
      <c r="C720" s="6" t="str">
        <f>IFERROR(__xludf.DUMMYFUNCTION("""COMPUTED_VALUE"""),"NO")</f>
        <v>NO</v>
      </c>
      <c r="D720" s="6"/>
      <c r="E720" s="6"/>
    </row>
    <row r="721">
      <c r="A721" s="6" t="str">
        <f>IFERROR(__xludf.DUMMYFUNCTION("""COMPUTED_VALUE"""),"ssdalal@mitaoe.ac.in")</f>
        <v>ssdalal@mitaoe.ac.in</v>
      </c>
      <c r="B721" s="6" t="str">
        <f>IFERROR(__xludf.DUMMYFUNCTION("""COMPUTED_VALUE"""),"YES")</f>
        <v>YES</v>
      </c>
      <c r="C721" s="6" t="str">
        <f>IFERROR(__xludf.DUMMYFUNCTION("""COMPUTED_VALUE"""),"YES")</f>
        <v>YES</v>
      </c>
      <c r="D721" s="49" t="str">
        <f>IFERROR(__xludf.DUMMYFUNCTION("""COMPUTED_VALUE"""),"https://drive.google.com/open?id=1jtvfvLkBmaxHHaXQGgIwi-vPOu7W2Lr8")</f>
        <v>https://drive.google.com/open?id=1jtvfvLkBmaxHHaXQGgIwi-vPOu7W2Lr8</v>
      </c>
      <c r="E721" s="49" t="str">
        <f>IFERROR(__xludf.DUMMYFUNCTION("""COMPUTED_VALUE"""),"https://drive.google.com/open?id=1dzCKfLN7fExBUTEsTSq6--kPmiQoBerY")</f>
        <v>https://drive.google.com/open?id=1dzCKfLN7fExBUTEsTSq6--kPmiQoBerY</v>
      </c>
    </row>
    <row r="722">
      <c r="A722" s="6" t="str">
        <f>IFERROR(__xludf.DUMMYFUNCTION("""COMPUTED_VALUE"""),"mapawar@mitaoe.ac.in")</f>
        <v>mapawar@mitaoe.ac.in</v>
      </c>
      <c r="B722" s="6" t="str">
        <f>IFERROR(__xludf.DUMMYFUNCTION("""COMPUTED_VALUE"""),"NO")</f>
        <v>NO</v>
      </c>
      <c r="C722" s="6" t="str">
        <f>IFERROR(__xludf.DUMMYFUNCTION("""COMPUTED_VALUE"""),"NO")</f>
        <v>NO</v>
      </c>
      <c r="D722" s="6"/>
      <c r="E722" s="6"/>
    </row>
    <row r="723">
      <c r="A723" s="6" t="str">
        <f>IFERROR(__xludf.DUMMYFUNCTION("""COMPUTED_VALUE"""),"malias@mitaoe.ac.in")</f>
        <v>malias@mitaoe.ac.in</v>
      </c>
      <c r="B723" s="6" t="str">
        <f>IFERROR(__xludf.DUMMYFUNCTION("""COMPUTED_VALUE"""),"NO")</f>
        <v>NO</v>
      </c>
      <c r="C723" s="6" t="str">
        <f>IFERROR(__xludf.DUMMYFUNCTION("""COMPUTED_VALUE"""),"NO")</f>
        <v>NO</v>
      </c>
      <c r="D723" s="6"/>
      <c r="E723" s="6"/>
    </row>
    <row r="724">
      <c r="A724" s="6" t="str">
        <f>IFERROR(__xludf.DUMMYFUNCTION("""COMPUTED_VALUE"""),"snthorat@mitaoe.ac.in")</f>
        <v>snthorat@mitaoe.ac.in</v>
      </c>
      <c r="B724" s="6" t="str">
        <f>IFERROR(__xludf.DUMMYFUNCTION("""COMPUTED_VALUE"""),"NO")</f>
        <v>NO</v>
      </c>
      <c r="C724" s="6" t="str">
        <f>IFERROR(__xludf.DUMMYFUNCTION("""COMPUTED_VALUE"""),"NO")</f>
        <v>NO</v>
      </c>
      <c r="D724" s="6"/>
      <c r="E724" s="6"/>
    </row>
    <row r="725">
      <c r="A725" s="6" t="str">
        <f>IFERROR(__xludf.DUMMYFUNCTION("""COMPUTED_VALUE"""),"kbkolase@mitaoe.ac.in")</f>
        <v>kbkolase@mitaoe.ac.in</v>
      </c>
      <c r="B725" s="6" t="str">
        <f>IFERROR(__xludf.DUMMYFUNCTION("""COMPUTED_VALUE"""),"NO")</f>
        <v>NO</v>
      </c>
      <c r="C725" s="6" t="str">
        <f>IFERROR(__xludf.DUMMYFUNCTION("""COMPUTED_VALUE"""),"YES")</f>
        <v>YES</v>
      </c>
      <c r="D725" s="6"/>
      <c r="E725" s="49" t="str">
        <f>IFERROR(__xludf.DUMMYFUNCTION("""COMPUTED_VALUE"""),"https://drive.google.com/open?id=1LjdPYsCs41kfrlRE9Czi4GfnFPQhhJ8i")</f>
        <v>https://drive.google.com/open?id=1LjdPYsCs41kfrlRE9Czi4GfnFPQhhJ8i</v>
      </c>
    </row>
    <row r="726">
      <c r="A726" s="6" t="str">
        <f>IFERROR(__xludf.DUMMYFUNCTION("""COMPUTED_VALUE"""),"mrsolanki@mitaoe.ac.in")</f>
        <v>mrsolanki@mitaoe.ac.in</v>
      </c>
      <c r="B726" s="6" t="str">
        <f>IFERROR(__xludf.DUMMYFUNCTION("""COMPUTED_VALUE"""),"YES")</f>
        <v>YES</v>
      </c>
      <c r="C726" s="6" t="str">
        <f>IFERROR(__xludf.DUMMYFUNCTION("""COMPUTED_VALUE"""),"YES")</f>
        <v>YES</v>
      </c>
      <c r="D726" s="49" t="str">
        <f>IFERROR(__xludf.DUMMYFUNCTION("""COMPUTED_VALUE"""),"https://drive.google.com/open?id=1EsKh6nAINYiaeZfgHwlr8EX2bwSLRbg3")</f>
        <v>https://drive.google.com/open?id=1EsKh6nAINYiaeZfgHwlr8EX2bwSLRbg3</v>
      </c>
      <c r="E726" s="49" t="str">
        <f>IFERROR(__xludf.DUMMYFUNCTION("""COMPUTED_VALUE"""),"https://drive.google.com/open?id=1IWpDD2WdTO-Gga-ATUpKnoBZSfeAwi0n")</f>
        <v>https://drive.google.com/open?id=1IWpDD2WdTO-Gga-ATUpKnoBZSfeAwi0n</v>
      </c>
    </row>
    <row r="727">
      <c r="A727" s="6" t="str">
        <f>IFERROR(__xludf.DUMMYFUNCTION("""COMPUTED_VALUE"""),"nachitrakar@mitaoe.ac.in")</f>
        <v>nachitrakar@mitaoe.ac.in</v>
      </c>
      <c r="B727" s="6" t="str">
        <f>IFERROR(__xludf.DUMMYFUNCTION("""COMPUTED_VALUE"""),"YES")</f>
        <v>YES</v>
      </c>
      <c r="C727" s="6" t="str">
        <f>IFERROR(__xludf.DUMMYFUNCTION("""COMPUTED_VALUE"""),"YES")</f>
        <v>YES</v>
      </c>
      <c r="D727" s="49" t="str">
        <f>IFERROR(__xludf.DUMMYFUNCTION("""COMPUTED_VALUE"""),"https://drive.google.com/open?id=1qCo_HznSLpdHGRu-07ZK1Ht088m84dS-")</f>
        <v>https://drive.google.com/open?id=1qCo_HznSLpdHGRu-07ZK1Ht088m84dS-</v>
      </c>
      <c r="E727" s="49" t="str">
        <f>IFERROR(__xludf.DUMMYFUNCTION("""COMPUTED_VALUE"""),"https://drive.google.com/open?id=1wqqrJpyXREiDIjeFMd7F7WrwAiEgb3Tz")</f>
        <v>https://drive.google.com/open?id=1wqqrJpyXREiDIjeFMd7F7WrwAiEgb3Tz</v>
      </c>
    </row>
    <row r="728">
      <c r="A728" s="6" t="str">
        <f>IFERROR(__xludf.DUMMYFUNCTION("""COMPUTED_VALUE"""),"ngsatote@mitaoe.ac.in")</f>
        <v>ngsatote@mitaoe.ac.in</v>
      </c>
      <c r="B728" s="6" t="str">
        <f>IFERROR(__xludf.DUMMYFUNCTION("""COMPUTED_VALUE"""),"NO")</f>
        <v>NO</v>
      </c>
      <c r="C728" s="6" t="str">
        <f>IFERROR(__xludf.DUMMYFUNCTION("""COMPUTED_VALUE"""),"NO")</f>
        <v>NO</v>
      </c>
      <c r="D728" s="6"/>
      <c r="E728" s="6"/>
    </row>
    <row r="729">
      <c r="A729" s="6" t="str">
        <f>IFERROR(__xludf.DUMMYFUNCTION("""COMPUTED_VALUE"""),"vaibhav.gaikwad@mitaoe.ac.in")</f>
        <v>vaibhav.gaikwad@mitaoe.ac.in</v>
      </c>
      <c r="B729" s="6" t="str">
        <f>IFERROR(__xludf.DUMMYFUNCTION("""COMPUTED_VALUE"""),"N/A")</f>
        <v>N/A</v>
      </c>
      <c r="C729" s="6" t="str">
        <f>IFERROR(__xludf.DUMMYFUNCTION("""COMPUTED_VALUE"""),"N/A")</f>
        <v>N/A</v>
      </c>
      <c r="D729" s="6"/>
      <c r="E729" s="6"/>
    </row>
    <row r="730">
      <c r="A730" s="6" t="str">
        <f>IFERROR(__xludf.DUMMYFUNCTION("""COMPUTED_VALUE"""),"vvshinde@mitaoe.ac.in")</f>
        <v>vvshinde@mitaoe.ac.in</v>
      </c>
      <c r="B730" s="6" t="str">
        <f>IFERROR(__xludf.DUMMYFUNCTION("""COMPUTED_VALUE"""),"N/A")</f>
        <v>N/A</v>
      </c>
      <c r="C730" s="6" t="str">
        <f>IFERROR(__xludf.DUMMYFUNCTION("""COMPUTED_VALUE"""),"N/A")</f>
        <v>N/A</v>
      </c>
      <c r="D730" s="6"/>
      <c r="E730" s="6"/>
    </row>
    <row r="731">
      <c r="A731" s="6" t="str">
        <f>IFERROR(__xludf.DUMMYFUNCTION("""COMPUTED_VALUE"""),"tirupati.khaple@mitaoe.ac.in")</f>
        <v>tirupati.khaple@mitaoe.ac.in</v>
      </c>
      <c r="B731" s="6" t="str">
        <f>IFERROR(__xludf.DUMMYFUNCTION("""COMPUTED_VALUE"""),"NO")</f>
        <v>NO</v>
      </c>
      <c r="C731" s="6" t="str">
        <f>IFERROR(__xludf.DUMMYFUNCTION("""COMPUTED_VALUE"""),"NO")</f>
        <v>NO</v>
      </c>
      <c r="D731" s="6"/>
      <c r="E731" s="6"/>
    </row>
    <row r="732">
      <c r="A732" s="6" t="str">
        <f>IFERROR(__xludf.DUMMYFUNCTION("""COMPUTED_VALUE"""),"akash.kachgunde@mitaoe.ac.in")</f>
        <v>akash.kachgunde@mitaoe.ac.in</v>
      </c>
      <c r="B732" s="6" t="str">
        <f>IFERROR(__xludf.DUMMYFUNCTION("""COMPUTED_VALUE"""),"YES")</f>
        <v>YES</v>
      </c>
      <c r="C732" s="6" t="str">
        <f>IFERROR(__xludf.DUMMYFUNCTION("""COMPUTED_VALUE"""),"NO")</f>
        <v>NO</v>
      </c>
      <c r="D732" s="49" t="str">
        <f>IFERROR(__xludf.DUMMYFUNCTION("""COMPUTED_VALUE"""),"https://drive.google.com/open?id=1EBkGgCMMxmBoR3YcBcXvFvt6abB91LK-")</f>
        <v>https://drive.google.com/open?id=1EBkGgCMMxmBoR3YcBcXvFvt6abB91LK-</v>
      </c>
      <c r="E732" s="6"/>
    </row>
    <row r="733">
      <c r="A733" s="6" t="str">
        <f>IFERROR(__xludf.DUMMYFUNCTION("""COMPUTED_VALUE"""),"utkarsh.suryaawanshi@mitaoe.ac.in")</f>
        <v>utkarsh.suryaawanshi@mitaoe.ac.in</v>
      </c>
      <c r="B733" s="6" t="str">
        <f>IFERROR(__xludf.DUMMYFUNCTION("""COMPUTED_VALUE"""),"NO")</f>
        <v>NO</v>
      </c>
      <c r="C733" s="6" t="str">
        <f>IFERROR(__xludf.DUMMYFUNCTION("""COMPUTED_VALUE"""),"NO")</f>
        <v>NO</v>
      </c>
      <c r="D733" s="6"/>
      <c r="E733" s="6"/>
    </row>
    <row r="734">
      <c r="A734" s="6" t="str">
        <f>IFERROR(__xludf.DUMMYFUNCTION("""COMPUTED_VALUE"""),"vikrant.narad@mitaoe.ac.in")</f>
        <v>vikrant.narad@mitaoe.ac.in</v>
      </c>
      <c r="B734" s="6" t="str">
        <f>IFERROR(__xludf.DUMMYFUNCTION("""COMPUTED_VALUE"""),"NO")</f>
        <v>NO</v>
      </c>
      <c r="C734" s="6" t="str">
        <f>IFERROR(__xludf.DUMMYFUNCTION("""COMPUTED_VALUE"""),"NO")</f>
        <v>NO</v>
      </c>
      <c r="D734" s="6"/>
      <c r="E734" s="6"/>
    </row>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D2"/>
    <hyperlink r:id="rId2" ref="E2"/>
    <hyperlink r:id="rId3" ref="D3"/>
    <hyperlink r:id="rId4" ref="E3"/>
    <hyperlink r:id="rId5" ref="D4"/>
    <hyperlink r:id="rId6" ref="E4"/>
    <hyperlink r:id="rId7" ref="D6"/>
    <hyperlink r:id="rId8" ref="E6"/>
    <hyperlink r:id="rId9" ref="D7"/>
    <hyperlink r:id="rId10" ref="E7"/>
    <hyperlink r:id="rId11" ref="D10"/>
    <hyperlink r:id="rId12" ref="E10"/>
    <hyperlink r:id="rId13" ref="D13"/>
    <hyperlink r:id="rId14" ref="E13"/>
    <hyperlink r:id="rId15" ref="D15"/>
    <hyperlink r:id="rId16" ref="E15"/>
    <hyperlink r:id="rId17" ref="D16"/>
    <hyperlink r:id="rId18" ref="E16"/>
    <hyperlink r:id="rId19" ref="D17"/>
    <hyperlink r:id="rId20" ref="E18"/>
    <hyperlink r:id="rId21" ref="D20"/>
    <hyperlink r:id="rId22" ref="E20"/>
    <hyperlink r:id="rId23" ref="D21"/>
    <hyperlink r:id="rId24" ref="E21"/>
    <hyperlink r:id="rId25" ref="D22"/>
    <hyperlink r:id="rId26" ref="E22"/>
    <hyperlink r:id="rId27" ref="E26"/>
    <hyperlink r:id="rId28" ref="D27"/>
    <hyperlink r:id="rId29" ref="E27"/>
    <hyperlink r:id="rId30" ref="D28"/>
    <hyperlink r:id="rId31" ref="E28"/>
    <hyperlink r:id="rId32" ref="D29"/>
    <hyperlink r:id="rId33" ref="D30"/>
    <hyperlink r:id="rId34" ref="E30"/>
    <hyperlink r:id="rId35" ref="D31"/>
    <hyperlink r:id="rId36" ref="E31"/>
    <hyperlink r:id="rId37" ref="D32"/>
    <hyperlink r:id="rId38" ref="D33"/>
    <hyperlink r:id="rId39" ref="E33"/>
    <hyperlink r:id="rId40" ref="E36"/>
    <hyperlink r:id="rId41" ref="D37"/>
    <hyperlink r:id="rId42" ref="E37"/>
    <hyperlink r:id="rId43" ref="D41"/>
    <hyperlink r:id="rId44" ref="E41"/>
    <hyperlink r:id="rId45" ref="E42"/>
    <hyperlink r:id="rId46" ref="E43"/>
    <hyperlink r:id="rId47" ref="D44"/>
    <hyperlink r:id="rId48" ref="E44"/>
    <hyperlink r:id="rId49" ref="D45"/>
    <hyperlink r:id="rId50" ref="E45"/>
    <hyperlink r:id="rId51" ref="E47"/>
    <hyperlink r:id="rId52" ref="D49"/>
    <hyperlink r:id="rId53" ref="E49"/>
    <hyperlink r:id="rId54" ref="E50"/>
    <hyperlink r:id="rId55" ref="D54"/>
    <hyperlink r:id="rId56" ref="E54"/>
    <hyperlink r:id="rId57" ref="D57"/>
    <hyperlink r:id="rId58" ref="E57"/>
    <hyperlink r:id="rId59" ref="E58"/>
    <hyperlink r:id="rId60" ref="D59"/>
    <hyperlink r:id="rId61" ref="E59"/>
    <hyperlink r:id="rId62" ref="D60"/>
    <hyperlink r:id="rId63" ref="E60"/>
    <hyperlink r:id="rId64" ref="D61"/>
    <hyperlink r:id="rId65" ref="E61"/>
    <hyperlink r:id="rId66" ref="D62"/>
    <hyperlink r:id="rId67" ref="E62"/>
    <hyperlink r:id="rId68" ref="E63"/>
    <hyperlink r:id="rId69" ref="D64"/>
    <hyperlink r:id="rId70" ref="E64"/>
    <hyperlink r:id="rId71" ref="D65"/>
    <hyperlink r:id="rId72" ref="E65"/>
    <hyperlink r:id="rId73" ref="D66"/>
    <hyperlink r:id="rId74" ref="E66"/>
    <hyperlink r:id="rId75" ref="D67"/>
    <hyperlink r:id="rId76" ref="E67"/>
    <hyperlink r:id="rId77" ref="D68"/>
    <hyperlink r:id="rId78" ref="E68"/>
    <hyperlink r:id="rId79" ref="D72"/>
    <hyperlink r:id="rId80" ref="E72"/>
    <hyperlink r:id="rId81" ref="D74"/>
    <hyperlink r:id="rId82" ref="E74"/>
    <hyperlink r:id="rId83" ref="D77"/>
    <hyperlink r:id="rId84" ref="E77"/>
    <hyperlink r:id="rId85" ref="D78"/>
    <hyperlink r:id="rId86" ref="E78"/>
    <hyperlink r:id="rId87" ref="D81"/>
    <hyperlink r:id="rId88" ref="E81"/>
    <hyperlink r:id="rId89" ref="D83"/>
    <hyperlink r:id="rId90" ref="E83"/>
    <hyperlink r:id="rId91" ref="D84"/>
    <hyperlink r:id="rId92" ref="E84"/>
    <hyperlink r:id="rId93" ref="D86"/>
    <hyperlink r:id="rId94" ref="E86"/>
    <hyperlink r:id="rId95" ref="D87"/>
    <hyperlink r:id="rId96" ref="E87"/>
    <hyperlink r:id="rId97" ref="D88"/>
    <hyperlink r:id="rId98" ref="E88"/>
    <hyperlink r:id="rId99" ref="D90"/>
    <hyperlink r:id="rId100" ref="E90"/>
    <hyperlink r:id="rId101" ref="D92"/>
    <hyperlink r:id="rId102" ref="E92"/>
    <hyperlink r:id="rId103" ref="D93"/>
    <hyperlink r:id="rId104" ref="E93"/>
    <hyperlink r:id="rId105" ref="D94"/>
    <hyperlink r:id="rId106" ref="D95"/>
    <hyperlink r:id="rId107" ref="E95"/>
    <hyperlink r:id="rId108" ref="D96"/>
    <hyperlink r:id="rId109" ref="E96"/>
    <hyperlink r:id="rId110" ref="D97"/>
    <hyperlink r:id="rId111" ref="E97"/>
    <hyperlink r:id="rId112" ref="D98"/>
    <hyperlink r:id="rId113" ref="E98"/>
    <hyperlink r:id="rId114" ref="D99"/>
    <hyperlink r:id="rId115" ref="D100"/>
    <hyperlink r:id="rId116" ref="D102"/>
    <hyperlink r:id="rId117" ref="E102"/>
    <hyperlink r:id="rId118" ref="D103"/>
    <hyperlink r:id="rId119" ref="E103"/>
    <hyperlink r:id="rId120" ref="D104"/>
    <hyperlink r:id="rId121" ref="E104"/>
    <hyperlink r:id="rId122" ref="D105"/>
    <hyperlink r:id="rId123" ref="E105"/>
    <hyperlink r:id="rId124" ref="D106"/>
    <hyperlink r:id="rId125" ref="D107"/>
    <hyperlink r:id="rId126" ref="D108"/>
    <hyperlink r:id="rId127" ref="E108"/>
    <hyperlink r:id="rId128" ref="D109"/>
    <hyperlink r:id="rId129" ref="E109"/>
    <hyperlink r:id="rId130" ref="D110"/>
    <hyperlink r:id="rId131" ref="E110"/>
    <hyperlink r:id="rId132" ref="D111"/>
    <hyperlink r:id="rId133" ref="E111"/>
    <hyperlink r:id="rId134" ref="D112"/>
    <hyperlink r:id="rId135" ref="E112"/>
    <hyperlink r:id="rId136" ref="D113"/>
    <hyperlink r:id="rId137" ref="E113"/>
    <hyperlink r:id="rId138" ref="D114"/>
    <hyperlink r:id="rId139" ref="E114"/>
    <hyperlink r:id="rId140" ref="D115"/>
    <hyperlink r:id="rId141" ref="E115"/>
    <hyperlink r:id="rId142" ref="E116"/>
    <hyperlink r:id="rId143" ref="D117"/>
    <hyperlink r:id="rId144" ref="E117"/>
    <hyperlink r:id="rId145" ref="D118"/>
    <hyperlink r:id="rId146" ref="E118"/>
    <hyperlink r:id="rId147" ref="D119"/>
    <hyperlink r:id="rId148" ref="E119"/>
    <hyperlink r:id="rId149" ref="D120"/>
    <hyperlink r:id="rId150" ref="E120"/>
    <hyperlink r:id="rId151" ref="D121"/>
    <hyperlink r:id="rId152" ref="E121"/>
    <hyperlink r:id="rId153" ref="E122"/>
    <hyperlink r:id="rId154" ref="D123"/>
    <hyperlink r:id="rId155" ref="E123"/>
    <hyperlink r:id="rId156" ref="D125"/>
    <hyperlink r:id="rId157" ref="E125"/>
    <hyperlink r:id="rId158" ref="D126"/>
    <hyperlink r:id="rId159" ref="E126"/>
    <hyperlink r:id="rId160" ref="D127"/>
    <hyperlink r:id="rId161" ref="E127"/>
    <hyperlink r:id="rId162" ref="D129"/>
    <hyperlink r:id="rId163" ref="E129"/>
    <hyperlink r:id="rId164" ref="D130"/>
    <hyperlink r:id="rId165" ref="E130"/>
    <hyperlink r:id="rId166" ref="D131"/>
    <hyperlink r:id="rId167" ref="E131"/>
    <hyperlink r:id="rId168" ref="D132"/>
    <hyperlink r:id="rId169" ref="E132"/>
    <hyperlink r:id="rId170" ref="D133"/>
    <hyperlink r:id="rId171" ref="E133"/>
    <hyperlink r:id="rId172" ref="D135"/>
    <hyperlink r:id="rId173" ref="E135"/>
    <hyperlink r:id="rId174" ref="D136"/>
    <hyperlink r:id="rId175" ref="E136"/>
    <hyperlink r:id="rId176" ref="D138"/>
    <hyperlink r:id="rId177" ref="E138"/>
    <hyperlink r:id="rId178" ref="D139"/>
    <hyperlink r:id="rId179" ref="E139"/>
    <hyperlink r:id="rId180" ref="D140"/>
    <hyperlink r:id="rId181" ref="E140"/>
    <hyperlink r:id="rId182" ref="D142"/>
    <hyperlink r:id="rId183" ref="E142"/>
    <hyperlink r:id="rId184" ref="D143"/>
    <hyperlink r:id="rId185" ref="E143"/>
    <hyperlink r:id="rId186" ref="E144"/>
    <hyperlink r:id="rId187" ref="D145"/>
    <hyperlink r:id="rId188" ref="E145"/>
    <hyperlink r:id="rId189" ref="D146"/>
    <hyperlink r:id="rId190" ref="E146"/>
    <hyperlink r:id="rId191" ref="D147"/>
    <hyperlink r:id="rId192" ref="E147"/>
    <hyperlink r:id="rId193" ref="D148"/>
    <hyperlink r:id="rId194" ref="E148"/>
    <hyperlink r:id="rId195" ref="D150"/>
    <hyperlink r:id="rId196" ref="E150"/>
    <hyperlink r:id="rId197" ref="D151"/>
    <hyperlink r:id="rId198" ref="E151"/>
    <hyperlink r:id="rId199" ref="D153"/>
    <hyperlink r:id="rId200" ref="E153"/>
    <hyperlink r:id="rId201" ref="E154"/>
    <hyperlink r:id="rId202" ref="D155"/>
    <hyperlink r:id="rId203" ref="E155"/>
    <hyperlink r:id="rId204" ref="D157"/>
    <hyperlink r:id="rId205" ref="E157"/>
    <hyperlink r:id="rId206" ref="D158"/>
    <hyperlink r:id="rId207" ref="E158"/>
    <hyperlink r:id="rId208" ref="D159"/>
    <hyperlink r:id="rId209" ref="E159"/>
    <hyperlink r:id="rId210" ref="D161"/>
    <hyperlink r:id="rId211" ref="E161"/>
    <hyperlink r:id="rId212" ref="D162"/>
    <hyperlink r:id="rId213" ref="E162"/>
    <hyperlink r:id="rId214" ref="D163"/>
    <hyperlink r:id="rId215" ref="E163"/>
    <hyperlink r:id="rId216" ref="E164"/>
    <hyperlink r:id="rId217" ref="D165"/>
    <hyperlink r:id="rId218" ref="E165"/>
    <hyperlink r:id="rId219" ref="D166"/>
    <hyperlink r:id="rId220" ref="E166"/>
    <hyperlink r:id="rId221" ref="D167"/>
    <hyperlink r:id="rId222" ref="E167"/>
    <hyperlink r:id="rId223" ref="D168"/>
    <hyperlink r:id="rId224" ref="E168"/>
    <hyperlink r:id="rId225" ref="D169"/>
    <hyperlink r:id="rId226" ref="E169"/>
    <hyperlink r:id="rId227" ref="D170"/>
    <hyperlink r:id="rId228" ref="E170"/>
    <hyperlink r:id="rId229" ref="D172"/>
    <hyperlink r:id="rId230" ref="E172"/>
    <hyperlink r:id="rId231" ref="D173"/>
    <hyperlink r:id="rId232" ref="E173"/>
    <hyperlink r:id="rId233" ref="D174"/>
    <hyperlink r:id="rId234" ref="E174"/>
    <hyperlink r:id="rId235" ref="D175"/>
    <hyperlink r:id="rId236" ref="E175"/>
    <hyperlink r:id="rId237" ref="D176"/>
    <hyperlink r:id="rId238" ref="E176"/>
    <hyperlink r:id="rId239" ref="E177"/>
    <hyperlink r:id="rId240" ref="D178"/>
    <hyperlink r:id="rId241" ref="E178"/>
    <hyperlink r:id="rId242" ref="D179"/>
    <hyperlink r:id="rId243" ref="E179"/>
    <hyperlink r:id="rId244" ref="D180"/>
    <hyperlink r:id="rId245" ref="E180"/>
    <hyperlink r:id="rId246" ref="D181"/>
    <hyperlink r:id="rId247" ref="E181"/>
    <hyperlink r:id="rId248" ref="D182"/>
    <hyperlink r:id="rId249" ref="E182"/>
    <hyperlink r:id="rId250" ref="D184"/>
    <hyperlink r:id="rId251" ref="E184"/>
    <hyperlink r:id="rId252" ref="D185"/>
    <hyperlink r:id="rId253" ref="E185"/>
    <hyperlink r:id="rId254" ref="D186"/>
    <hyperlink r:id="rId255" ref="E186"/>
    <hyperlink r:id="rId256" ref="D189"/>
    <hyperlink r:id="rId257" ref="E189"/>
    <hyperlink r:id="rId258" ref="D191"/>
    <hyperlink r:id="rId259" ref="E191"/>
    <hyperlink r:id="rId260" ref="D193"/>
    <hyperlink r:id="rId261" ref="E193"/>
    <hyperlink r:id="rId262" ref="D194"/>
    <hyperlink r:id="rId263" ref="E194"/>
    <hyperlink r:id="rId264" ref="D195"/>
    <hyperlink r:id="rId265" ref="D196"/>
    <hyperlink r:id="rId266" ref="E196"/>
    <hyperlink r:id="rId267" ref="D197"/>
    <hyperlink r:id="rId268" ref="E197"/>
    <hyperlink r:id="rId269" ref="D198"/>
    <hyperlink r:id="rId270" ref="E198"/>
    <hyperlink r:id="rId271" ref="D199"/>
    <hyperlink r:id="rId272" ref="D200"/>
    <hyperlink r:id="rId273" ref="D202"/>
    <hyperlink r:id="rId274" ref="E202"/>
    <hyperlink r:id="rId275" ref="D203"/>
    <hyperlink r:id="rId276" ref="E203"/>
    <hyperlink r:id="rId277" ref="D204"/>
    <hyperlink r:id="rId278" ref="E204"/>
    <hyperlink r:id="rId279" ref="D205"/>
    <hyperlink r:id="rId280" ref="E205"/>
    <hyperlink r:id="rId281" ref="D206"/>
    <hyperlink r:id="rId282" ref="E206"/>
    <hyperlink r:id="rId283" ref="D207"/>
    <hyperlink r:id="rId284" ref="E207"/>
    <hyperlink r:id="rId285" ref="D208"/>
    <hyperlink r:id="rId286" ref="E208"/>
    <hyperlink r:id="rId287" ref="D209"/>
    <hyperlink r:id="rId288" ref="E209"/>
    <hyperlink r:id="rId289" ref="D210"/>
    <hyperlink r:id="rId290" ref="E210"/>
    <hyperlink r:id="rId291" ref="D211"/>
    <hyperlink r:id="rId292" ref="E211"/>
    <hyperlink r:id="rId293" ref="D212"/>
    <hyperlink r:id="rId294" ref="E212"/>
    <hyperlink r:id="rId295" ref="D214"/>
    <hyperlink r:id="rId296" ref="E214"/>
    <hyperlink r:id="rId297" ref="D215"/>
    <hyperlink r:id="rId298" ref="E215"/>
    <hyperlink r:id="rId299" ref="D217"/>
    <hyperlink r:id="rId300" ref="E217"/>
    <hyperlink r:id="rId301" ref="E218"/>
    <hyperlink r:id="rId302" ref="D220"/>
    <hyperlink r:id="rId303" ref="E220"/>
    <hyperlink r:id="rId304" ref="D221"/>
    <hyperlink r:id="rId305" ref="E221"/>
    <hyperlink r:id="rId306" ref="D222"/>
    <hyperlink r:id="rId307" ref="E222"/>
    <hyperlink r:id="rId308" ref="D223"/>
    <hyperlink r:id="rId309" ref="E223"/>
    <hyperlink r:id="rId310" ref="D227"/>
    <hyperlink r:id="rId311" ref="E227"/>
    <hyperlink r:id="rId312" ref="D228"/>
    <hyperlink r:id="rId313" ref="E228"/>
    <hyperlink r:id="rId314" ref="E229"/>
    <hyperlink r:id="rId315" ref="E230"/>
    <hyperlink r:id="rId316" ref="D231"/>
    <hyperlink r:id="rId317" ref="E231"/>
    <hyperlink r:id="rId318" ref="D232"/>
    <hyperlink r:id="rId319" ref="E232"/>
    <hyperlink r:id="rId320" ref="D233"/>
    <hyperlink r:id="rId321" ref="E233"/>
    <hyperlink r:id="rId322" ref="D234"/>
    <hyperlink r:id="rId323" ref="E234"/>
    <hyperlink r:id="rId324" ref="D235"/>
    <hyperlink r:id="rId325" ref="E235"/>
    <hyperlink r:id="rId326" ref="D236"/>
    <hyperlink r:id="rId327" ref="E236"/>
    <hyperlink r:id="rId328" ref="D237"/>
    <hyperlink r:id="rId329" ref="E237"/>
    <hyperlink r:id="rId330" ref="D238"/>
    <hyperlink r:id="rId331" ref="E238"/>
    <hyperlink r:id="rId332" ref="D239"/>
    <hyperlink r:id="rId333" ref="E239"/>
    <hyperlink r:id="rId334" ref="D240"/>
    <hyperlink r:id="rId335" ref="E240"/>
    <hyperlink r:id="rId336" ref="E241"/>
    <hyperlink r:id="rId337" ref="D242"/>
    <hyperlink r:id="rId338" ref="E242"/>
    <hyperlink r:id="rId339" ref="D244"/>
    <hyperlink r:id="rId340" ref="E244"/>
    <hyperlink r:id="rId341" ref="D245"/>
    <hyperlink r:id="rId342" ref="E245"/>
    <hyperlink r:id="rId343" ref="D246"/>
    <hyperlink r:id="rId344" ref="E246"/>
    <hyperlink r:id="rId345" ref="D248"/>
    <hyperlink r:id="rId346" ref="E248"/>
    <hyperlink r:id="rId347" ref="D249"/>
    <hyperlink r:id="rId348" ref="E249"/>
    <hyperlink r:id="rId349" ref="D250"/>
    <hyperlink r:id="rId350" ref="E250"/>
    <hyperlink r:id="rId351" ref="D251"/>
    <hyperlink r:id="rId352" ref="E251"/>
    <hyperlink r:id="rId353" ref="D252"/>
    <hyperlink r:id="rId354" ref="E252"/>
    <hyperlink r:id="rId355" ref="D253"/>
    <hyperlink r:id="rId356" ref="E253"/>
    <hyperlink r:id="rId357" ref="D254"/>
    <hyperlink r:id="rId358" ref="E254"/>
    <hyperlink r:id="rId359" ref="D255"/>
    <hyperlink r:id="rId360" ref="E255"/>
    <hyperlink r:id="rId361" ref="D256"/>
    <hyperlink r:id="rId362" ref="E256"/>
    <hyperlink r:id="rId363" ref="D257"/>
    <hyperlink r:id="rId364" ref="E257"/>
    <hyperlink r:id="rId365" ref="D258"/>
    <hyperlink r:id="rId366" ref="E258"/>
    <hyperlink r:id="rId367" ref="D259"/>
    <hyperlink r:id="rId368" ref="E259"/>
    <hyperlink r:id="rId369" ref="D260"/>
    <hyperlink r:id="rId370" ref="D262"/>
    <hyperlink r:id="rId371" ref="E262"/>
    <hyperlink r:id="rId372" ref="D263"/>
    <hyperlink r:id="rId373" ref="E263"/>
    <hyperlink r:id="rId374" ref="D264"/>
    <hyperlink r:id="rId375" ref="E264"/>
    <hyperlink r:id="rId376" ref="D267"/>
    <hyperlink r:id="rId377" ref="E267"/>
    <hyperlink r:id="rId378" ref="D268"/>
    <hyperlink r:id="rId379" ref="E268"/>
    <hyperlink r:id="rId380" ref="D270"/>
    <hyperlink r:id="rId381" ref="E270"/>
    <hyperlink r:id="rId382" ref="D271"/>
    <hyperlink r:id="rId383" ref="E271"/>
    <hyperlink r:id="rId384" ref="D272"/>
    <hyperlink r:id="rId385" ref="E272"/>
    <hyperlink r:id="rId386" ref="D273"/>
    <hyperlink r:id="rId387" ref="E273"/>
    <hyperlink r:id="rId388" ref="D275"/>
    <hyperlink r:id="rId389" ref="E275"/>
    <hyperlink r:id="rId390" ref="E276"/>
    <hyperlink r:id="rId391" ref="D277"/>
    <hyperlink r:id="rId392" ref="E277"/>
    <hyperlink r:id="rId393" ref="D279"/>
    <hyperlink r:id="rId394" ref="E279"/>
    <hyperlink r:id="rId395" ref="D280"/>
    <hyperlink r:id="rId396" ref="E280"/>
    <hyperlink r:id="rId397" ref="D281"/>
    <hyperlink r:id="rId398" ref="E281"/>
    <hyperlink r:id="rId399" ref="D283"/>
    <hyperlink r:id="rId400" ref="E283"/>
    <hyperlink r:id="rId401" ref="D284"/>
    <hyperlink r:id="rId402" ref="E284"/>
    <hyperlink r:id="rId403" ref="D285"/>
    <hyperlink r:id="rId404" ref="E285"/>
    <hyperlink r:id="rId405" ref="D286"/>
    <hyperlink r:id="rId406" ref="E286"/>
    <hyperlink r:id="rId407" ref="E287"/>
    <hyperlink r:id="rId408" ref="D288"/>
    <hyperlink r:id="rId409" ref="E288"/>
    <hyperlink r:id="rId410" ref="D290"/>
    <hyperlink r:id="rId411" ref="E290"/>
    <hyperlink r:id="rId412" ref="D291"/>
    <hyperlink r:id="rId413" ref="D292"/>
    <hyperlink r:id="rId414" ref="E292"/>
    <hyperlink r:id="rId415" ref="D293"/>
    <hyperlink r:id="rId416" ref="E293"/>
    <hyperlink r:id="rId417" ref="D294"/>
    <hyperlink r:id="rId418" ref="E294"/>
    <hyperlink r:id="rId419" ref="D295"/>
    <hyperlink r:id="rId420" ref="E295"/>
    <hyperlink r:id="rId421" ref="D296"/>
    <hyperlink r:id="rId422" ref="E296"/>
    <hyperlink r:id="rId423" ref="D297"/>
    <hyperlink r:id="rId424" ref="E297"/>
    <hyperlink r:id="rId425" ref="D299"/>
    <hyperlink r:id="rId426" ref="D300"/>
    <hyperlink r:id="rId427" ref="E300"/>
    <hyperlink r:id="rId428" ref="E301"/>
    <hyperlink r:id="rId429" ref="D302"/>
    <hyperlink r:id="rId430" ref="E302"/>
    <hyperlink r:id="rId431" ref="D303"/>
    <hyperlink r:id="rId432" ref="E303"/>
    <hyperlink r:id="rId433" ref="D304"/>
    <hyperlink r:id="rId434" ref="E304"/>
    <hyperlink r:id="rId435" ref="D305"/>
    <hyperlink r:id="rId436" ref="E305"/>
    <hyperlink r:id="rId437" ref="E306"/>
    <hyperlink r:id="rId438" ref="D307"/>
    <hyperlink r:id="rId439" ref="E307"/>
    <hyperlink r:id="rId440" ref="D308"/>
    <hyperlink r:id="rId441" ref="E308"/>
    <hyperlink r:id="rId442" ref="D309"/>
    <hyperlink r:id="rId443" ref="E309"/>
    <hyperlink r:id="rId444" ref="D310"/>
    <hyperlink r:id="rId445" ref="E310"/>
    <hyperlink r:id="rId446" ref="D312"/>
    <hyperlink r:id="rId447" ref="E312"/>
    <hyperlink r:id="rId448" ref="E313"/>
    <hyperlink r:id="rId449" ref="E314"/>
    <hyperlink r:id="rId450" ref="D315"/>
    <hyperlink r:id="rId451" ref="E315"/>
    <hyperlink r:id="rId452" ref="D316"/>
    <hyperlink r:id="rId453" ref="E316"/>
    <hyperlink r:id="rId454" ref="D317"/>
    <hyperlink r:id="rId455" ref="E317"/>
    <hyperlink r:id="rId456" ref="D318"/>
    <hyperlink r:id="rId457" ref="E318"/>
    <hyperlink r:id="rId458" ref="D320"/>
    <hyperlink r:id="rId459" ref="E320"/>
    <hyperlink r:id="rId460" ref="D321"/>
    <hyperlink r:id="rId461" ref="E321"/>
    <hyperlink r:id="rId462" ref="D322"/>
    <hyperlink r:id="rId463" ref="E322"/>
    <hyperlink r:id="rId464" ref="E323"/>
    <hyperlink r:id="rId465" ref="E324"/>
    <hyperlink r:id="rId466" ref="D328"/>
    <hyperlink r:id="rId467" ref="E328"/>
    <hyperlink r:id="rId468" ref="D329"/>
    <hyperlink r:id="rId469" ref="E329"/>
    <hyperlink r:id="rId470" ref="D330"/>
    <hyperlink r:id="rId471" ref="E330"/>
    <hyperlink r:id="rId472" ref="E331"/>
    <hyperlink r:id="rId473" ref="D332"/>
    <hyperlink r:id="rId474" ref="E332"/>
    <hyperlink r:id="rId475" ref="D334"/>
    <hyperlink r:id="rId476" ref="E334"/>
    <hyperlink r:id="rId477" ref="D335"/>
    <hyperlink r:id="rId478" ref="E335"/>
    <hyperlink r:id="rId479" ref="E336"/>
    <hyperlink r:id="rId480" ref="D338"/>
    <hyperlink r:id="rId481" ref="E338"/>
    <hyperlink r:id="rId482" ref="D339"/>
    <hyperlink r:id="rId483" ref="E339"/>
    <hyperlink r:id="rId484" ref="E340"/>
    <hyperlink r:id="rId485" ref="D341"/>
    <hyperlink r:id="rId486" ref="E341"/>
    <hyperlink r:id="rId487" ref="E342"/>
    <hyperlink r:id="rId488" ref="D343"/>
    <hyperlink r:id="rId489" ref="E343"/>
    <hyperlink r:id="rId490" ref="D344"/>
    <hyperlink r:id="rId491" ref="E344"/>
    <hyperlink r:id="rId492" ref="D347"/>
    <hyperlink r:id="rId493" ref="E347"/>
    <hyperlink r:id="rId494" ref="D348"/>
    <hyperlink r:id="rId495" ref="E348"/>
    <hyperlink r:id="rId496" ref="D349"/>
    <hyperlink r:id="rId497" ref="E349"/>
    <hyperlink r:id="rId498" ref="E350"/>
    <hyperlink r:id="rId499" ref="D352"/>
    <hyperlink r:id="rId500" ref="E352"/>
    <hyperlink r:id="rId501" ref="D353"/>
    <hyperlink r:id="rId502" ref="E353"/>
    <hyperlink r:id="rId503" ref="D359"/>
    <hyperlink r:id="rId504" ref="E359"/>
    <hyperlink r:id="rId505" ref="D362"/>
    <hyperlink r:id="rId506" ref="E362"/>
    <hyperlink r:id="rId507" ref="D363"/>
    <hyperlink r:id="rId508" ref="E363"/>
    <hyperlink r:id="rId509" ref="D364"/>
    <hyperlink r:id="rId510" ref="E364"/>
    <hyperlink r:id="rId511" ref="D365"/>
    <hyperlink r:id="rId512" ref="E365"/>
    <hyperlink r:id="rId513" ref="D366"/>
    <hyperlink r:id="rId514" ref="E366"/>
    <hyperlink r:id="rId515" ref="D367"/>
    <hyperlink r:id="rId516" ref="E367"/>
    <hyperlink r:id="rId517" ref="D369"/>
    <hyperlink r:id="rId518" ref="E369"/>
    <hyperlink r:id="rId519" ref="D370"/>
    <hyperlink r:id="rId520" ref="E370"/>
    <hyperlink r:id="rId521" ref="D371"/>
    <hyperlink r:id="rId522" ref="E371"/>
    <hyperlink r:id="rId523" ref="D372"/>
    <hyperlink r:id="rId524" ref="E372"/>
    <hyperlink r:id="rId525" ref="D373"/>
    <hyperlink r:id="rId526" ref="E373"/>
    <hyperlink r:id="rId527" ref="D375"/>
    <hyperlink r:id="rId528" ref="E375"/>
    <hyperlink r:id="rId529" ref="D376"/>
    <hyperlink r:id="rId530" ref="E376"/>
    <hyperlink r:id="rId531" ref="D377"/>
    <hyperlink r:id="rId532" ref="E377"/>
    <hyperlink r:id="rId533" ref="D378"/>
    <hyperlink r:id="rId534" ref="E378"/>
    <hyperlink r:id="rId535" ref="D379"/>
    <hyperlink r:id="rId536" ref="E379"/>
    <hyperlink r:id="rId537" ref="D380"/>
    <hyperlink r:id="rId538" ref="E380"/>
    <hyperlink r:id="rId539" ref="E381"/>
    <hyperlink r:id="rId540" ref="D382"/>
    <hyperlink r:id="rId541" ref="E382"/>
    <hyperlink r:id="rId542" ref="D383"/>
    <hyperlink r:id="rId543" ref="E383"/>
    <hyperlink r:id="rId544" ref="D384"/>
    <hyperlink r:id="rId545" ref="E384"/>
    <hyperlink r:id="rId546" ref="D385"/>
    <hyperlink r:id="rId547" ref="E385"/>
    <hyperlink r:id="rId548" ref="E386"/>
    <hyperlink r:id="rId549" ref="D387"/>
    <hyperlink r:id="rId550" ref="E387"/>
    <hyperlink r:id="rId551" ref="D388"/>
    <hyperlink r:id="rId552" ref="E388"/>
    <hyperlink r:id="rId553" ref="D389"/>
    <hyperlink r:id="rId554" ref="E389"/>
    <hyperlink r:id="rId555" ref="D391"/>
    <hyperlink r:id="rId556" ref="E391"/>
    <hyperlink r:id="rId557" ref="D393"/>
    <hyperlink r:id="rId558" ref="E393"/>
    <hyperlink r:id="rId559" ref="D394"/>
    <hyperlink r:id="rId560" ref="E394"/>
    <hyperlink r:id="rId561" ref="D395"/>
    <hyperlink r:id="rId562" ref="E395"/>
    <hyperlink r:id="rId563" ref="D396"/>
    <hyperlink r:id="rId564" ref="E396"/>
    <hyperlink r:id="rId565" ref="D399"/>
    <hyperlink r:id="rId566" ref="E399"/>
    <hyperlink r:id="rId567" ref="D400"/>
    <hyperlink r:id="rId568" ref="E400"/>
    <hyperlink r:id="rId569" ref="D401"/>
    <hyperlink r:id="rId570" ref="E401"/>
    <hyperlink r:id="rId571" ref="D402"/>
    <hyperlink r:id="rId572" ref="E402"/>
    <hyperlink r:id="rId573" ref="D403"/>
    <hyperlink r:id="rId574" ref="E403"/>
    <hyperlink r:id="rId575" ref="D404"/>
    <hyperlink r:id="rId576" ref="E404"/>
    <hyperlink r:id="rId577" ref="D405"/>
    <hyperlink r:id="rId578" ref="E405"/>
    <hyperlink r:id="rId579" ref="D406"/>
    <hyperlink r:id="rId580" ref="E406"/>
    <hyperlink r:id="rId581" ref="D407"/>
    <hyperlink r:id="rId582" ref="E407"/>
    <hyperlink r:id="rId583" ref="D408"/>
    <hyperlink r:id="rId584" ref="E408"/>
    <hyperlink r:id="rId585" ref="D409"/>
    <hyperlink r:id="rId586" ref="E409"/>
    <hyperlink r:id="rId587" ref="D410"/>
    <hyperlink r:id="rId588" ref="E410"/>
    <hyperlink r:id="rId589" ref="D411"/>
    <hyperlink r:id="rId590" ref="E411"/>
    <hyperlink r:id="rId591" ref="D412"/>
    <hyperlink r:id="rId592" ref="E412"/>
    <hyperlink r:id="rId593" ref="E415"/>
    <hyperlink r:id="rId594" ref="D418"/>
    <hyperlink r:id="rId595" ref="E418"/>
    <hyperlink r:id="rId596" ref="D420"/>
    <hyperlink r:id="rId597" ref="E420"/>
    <hyperlink r:id="rId598" ref="D421"/>
    <hyperlink r:id="rId599" ref="E421"/>
    <hyperlink r:id="rId600" ref="D422"/>
    <hyperlink r:id="rId601" ref="E422"/>
    <hyperlink r:id="rId602" ref="D423"/>
    <hyperlink r:id="rId603" ref="E423"/>
    <hyperlink r:id="rId604" ref="D424"/>
    <hyperlink r:id="rId605" ref="E424"/>
    <hyperlink r:id="rId606" ref="D425"/>
    <hyperlink r:id="rId607" ref="E425"/>
    <hyperlink r:id="rId608" ref="E427"/>
    <hyperlink r:id="rId609" ref="E428"/>
    <hyperlink r:id="rId610" ref="D429"/>
    <hyperlink r:id="rId611" ref="E429"/>
    <hyperlink r:id="rId612" ref="D430"/>
    <hyperlink r:id="rId613" ref="E430"/>
    <hyperlink r:id="rId614" ref="E432"/>
    <hyperlink r:id="rId615" ref="D433"/>
    <hyperlink r:id="rId616" ref="E433"/>
    <hyperlink r:id="rId617" ref="D434"/>
    <hyperlink r:id="rId618" ref="E434"/>
    <hyperlink r:id="rId619" ref="D435"/>
    <hyperlink r:id="rId620" ref="E435"/>
    <hyperlink r:id="rId621" ref="D436"/>
    <hyperlink r:id="rId622" ref="E436"/>
    <hyperlink r:id="rId623" ref="D437"/>
    <hyperlink r:id="rId624" ref="E437"/>
    <hyperlink r:id="rId625" ref="D439"/>
    <hyperlink r:id="rId626" ref="E439"/>
    <hyperlink r:id="rId627" ref="D440"/>
    <hyperlink r:id="rId628" ref="E440"/>
    <hyperlink r:id="rId629" ref="D441"/>
    <hyperlink r:id="rId630" ref="E441"/>
    <hyperlink r:id="rId631" ref="D442"/>
    <hyperlink r:id="rId632" ref="E442"/>
    <hyperlink r:id="rId633" ref="D443"/>
    <hyperlink r:id="rId634" ref="E443"/>
    <hyperlink r:id="rId635" ref="D444"/>
    <hyperlink r:id="rId636" ref="E444"/>
    <hyperlink r:id="rId637" ref="E445"/>
    <hyperlink r:id="rId638" ref="D446"/>
    <hyperlink r:id="rId639" ref="E446"/>
    <hyperlink r:id="rId640" ref="D448"/>
    <hyperlink r:id="rId641" ref="E448"/>
    <hyperlink r:id="rId642" ref="D449"/>
    <hyperlink r:id="rId643" ref="E449"/>
    <hyperlink r:id="rId644" ref="D450"/>
    <hyperlink r:id="rId645" ref="E450"/>
    <hyperlink r:id="rId646" ref="D451"/>
    <hyperlink r:id="rId647" ref="E451"/>
    <hyperlink r:id="rId648" ref="D452"/>
    <hyperlink r:id="rId649" ref="E452"/>
    <hyperlink r:id="rId650" ref="D453"/>
    <hyperlink r:id="rId651" ref="E453"/>
    <hyperlink r:id="rId652" ref="D454"/>
    <hyperlink r:id="rId653" ref="E454"/>
    <hyperlink r:id="rId654" ref="D455"/>
    <hyperlink r:id="rId655" ref="E455"/>
    <hyperlink r:id="rId656" ref="E456"/>
    <hyperlink r:id="rId657" ref="D458"/>
    <hyperlink r:id="rId658" ref="E458"/>
    <hyperlink r:id="rId659" ref="D459"/>
    <hyperlink r:id="rId660" ref="E459"/>
    <hyperlink r:id="rId661" ref="D460"/>
    <hyperlink r:id="rId662" ref="E460"/>
    <hyperlink r:id="rId663" ref="D463"/>
    <hyperlink r:id="rId664" ref="E463"/>
    <hyperlink r:id="rId665" ref="D464"/>
    <hyperlink r:id="rId666" ref="E464"/>
    <hyperlink r:id="rId667" ref="D465"/>
    <hyperlink r:id="rId668" ref="E465"/>
    <hyperlink r:id="rId669" ref="D466"/>
    <hyperlink r:id="rId670" ref="E466"/>
    <hyperlink r:id="rId671" ref="D467"/>
    <hyperlink r:id="rId672" ref="D469"/>
    <hyperlink r:id="rId673" ref="E469"/>
    <hyperlink r:id="rId674" ref="E470"/>
    <hyperlink r:id="rId675" ref="D471"/>
    <hyperlink r:id="rId676" ref="D472"/>
    <hyperlink r:id="rId677" ref="E472"/>
    <hyperlink r:id="rId678" ref="D473"/>
    <hyperlink r:id="rId679" ref="E473"/>
    <hyperlink r:id="rId680" ref="D474"/>
    <hyperlink r:id="rId681" ref="E474"/>
    <hyperlink r:id="rId682" ref="D476"/>
    <hyperlink r:id="rId683" ref="E476"/>
    <hyperlink r:id="rId684" ref="D477"/>
    <hyperlink r:id="rId685" ref="E477"/>
    <hyperlink r:id="rId686" ref="D478"/>
    <hyperlink r:id="rId687" ref="E478"/>
    <hyperlink r:id="rId688" ref="D479"/>
    <hyperlink r:id="rId689" ref="E479"/>
    <hyperlink r:id="rId690" ref="E480"/>
    <hyperlink r:id="rId691" ref="D481"/>
    <hyperlink r:id="rId692" ref="E481"/>
    <hyperlink r:id="rId693" ref="E482"/>
    <hyperlink r:id="rId694" ref="D483"/>
    <hyperlink r:id="rId695" ref="E483"/>
    <hyperlink r:id="rId696" ref="D484"/>
    <hyperlink r:id="rId697" ref="E484"/>
    <hyperlink r:id="rId698" ref="D486"/>
    <hyperlink r:id="rId699" ref="E486"/>
    <hyperlink r:id="rId700" ref="D487"/>
    <hyperlink r:id="rId701" ref="E487"/>
    <hyperlink r:id="rId702" ref="E488"/>
    <hyperlink r:id="rId703" ref="E489"/>
    <hyperlink r:id="rId704" ref="D490"/>
    <hyperlink r:id="rId705" ref="E490"/>
    <hyperlink r:id="rId706" ref="E491"/>
    <hyperlink r:id="rId707" ref="D492"/>
    <hyperlink r:id="rId708" ref="E492"/>
    <hyperlink r:id="rId709" ref="D493"/>
    <hyperlink r:id="rId710" ref="E493"/>
    <hyperlink r:id="rId711" ref="E494"/>
    <hyperlink r:id="rId712" ref="E496"/>
    <hyperlink r:id="rId713" ref="D497"/>
    <hyperlink r:id="rId714" ref="E497"/>
    <hyperlink r:id="rId715" ref="D498"/>
    <hyperlink r:id="rId716" ref="E498"/>
    <hyperlink r:id="rId717" ref="D499"/>
    <hyperlink r:id="rId718" ref="E499"/>
    <hyperlink r:id="rId719" ref="E500"/>
    <hyperlink r:id="rId720" ref="E501"/>
    <hyperlink r:id="rId721" ref="D502"/>
    <hyperlink r:id="rId722" ref="E502"/>
    <hyperlink r:id="rId723" ref="D503"/>
    <hyperlink r:id="rId724" ref="E503"/>
    <hyperlink r:id="rId725" ref="D504"/>
    <hyperlink r:id="rId726" ref="E504"/>
    <hyperlink r:id="rId727" ref="D505"/>
    <hyperlink r:id="rId728" ref="E505"/>
    <hyperlink r:id="rId729" ref="D507"/>
    <hyperlink r:id="rId730" ref="E507"/>
    <hyperlink r:id="rId731" ref="D509"/>
    <hyperlink r:id="rId732" ref="E509"/>
    <hyperlink r:id="rId733" ref="D510"/>
    <hyperlink r:id="rId734" ref="E510"/>
    <hyperlink r:id="rId735" ref="D511"/>
    <hyperlink r:id="rId736" ref="E511"/>
    <hyperlink r:id="rId737" ref="D512"/>
    <hyperlink r:id="rId738" ref="E512"/>
    <hyperlink r:id="rId739" ref="D514"/>
    <hyperlink r:id="rId740" ref="E514"/>
    <hyperlink r:id="rId741" ref="D515"/>
    <hyperlink r:id="rId742" ref="E515"/>
    <hyperlink r:id="rId743" ref="D516"/>
    <hyperlink r:id="rId744" ref="E516"/>
    <hyperlink r:id="rId745" ref="D517"/>
    <hyperlink r:id="rId746" ref="E517"/>
    <hyperlink r:id="rId747" ref="D518"/>
    <hyperlink r:id="rId748" ref="E518"/>
    <hyperlink r:id="rId749" ref="D519"/>
    <hyperlink r:id="rId750" ref="E519"/>
    <hyperlink r:id="rId751" ref="D520"/>
    <hyperlink r:id="rId752" ref="E520"/>
    <hyperlink r:id="rId753" ref="D521"/>
    <hyperlink r:id="rId754" ref="E521"/>
    <hyperlink r:id="rId755" ref="D522"/>
    <hyperlink r:id="rId756" ref="E522"/>
    <hyperlink r:id="rId757" ref="E523"/>
    <hyperlink r:id="rId758" ref="D524"/>
    <hyperlink r:id="rId759" ref="E524"/>
    <hyperlink r:id="rId760" ref="D525"/>
    <hyperlink r:id="rId761" ref="E525"/>
    <hyperlink r:id="rId762" ref="D526"/>
    <hyperlink r:id="rId763" ref="E526"/>
    <hyperlink r:id="rId764" ref="D527"/>
    <hyperlink r:id="rId765" ref="E527"/>
    <hyperlink r:id="rId766" ref="D529"/>
    <hyperlink r:id="rId767" ref="E529"/>
    <hyperlink r:id="rId768" ref="D530"/>
    <hyperlink r:id="rId769" ref="E530"/>
    <hyperlink r:id="rId770" ref="D531"/>
    <hyperlink r:id="rId771" ref="E531"/>
    <hyperlink r:id="rId772" ref="D532"/>
    <hyperlink r:id="rId773" ref="E532"/>
    <hyperlink r:id="rId774" ref="D533"/>
    <hyperlink r:id="rId775" ref="E533"/>
    <hyperlink r:id="rId776" ref="D534"/>
    <hyperlink r:id="rId777" ref="E534"/>
    <hyperlink r:id="rId778" ref="D535"/>
    <hyperlink r:id="rId779" ref="E535"/>
    <hyperlink r:id="rId780" ref="D537"/>
    <hyperlink r:id="rId781" ref="E537"/>
    <hyperlink r:id="rId782" ref="D538"/>
    <hyperlink r:id="rId783" ref="E538"/>
    <hyperlink r:id="rId784" ref="D539"/>
    <hyperlink r:id="rId785" ref="E539"/>
    <hyperlink r:id="rId786" ref="E541"/>
    <hyperlink r:id="rId787" ref="D542"/>
    <hyperlink r:id="rId788" ref="E542"/>
    <hyperlink r:id="rId789" ref="D543"/>
    <hyperlink r:id="rId790" ref="E543"/>
    <hyperlink r:id="rId791" ref="D544"/>
    <hyperlink r:id="rId792" ref="E544"/>
    <hyperlink r:id="rId793" ref="D545"/>
    <hyperlink r:id="rId794" ref="E545"/>
    <hyperlink r:id="rId795" ref="D546"/>
    <hyperlink r:id="rId796" ref="E546"/>
    <hyperlink r:id="rId797" ref="D547"/>
    <hyperlink r:id="rId798" ref="E547"/>
    <hyperlink r:id="rId799" ref="D548"/>
    <hyperlink r:id="rId800" ref="E549"/>
    <hyperlink r:id="rId801" ref="D550"/>
    <hyperlink r:id="rId802" ref="E550"/>
    <hyperlink r:id="rId803" ref="D551"/>
    <hyperlink r:id="rId804" ref="E551"/>
    <hyperlink r:id="rId805" ref="D553"/>
    <hyperlink r:id="rId806" ref="E553"/>
    <hyperlink r:id="rId807" ref="E555"/>
    <hyperlink r:id="rId808" ref="D556"/>
    <hyperlink r:id="rId809" ref="E556"/>
    <hyperlink r:id="rId810" ref="D557"/>
    <hyperlink r:id="rId811" ref="E557"/>
    <hyperlink r:id="rId812" ref="D558"/>
    <hyperlink r:id="rId813" ref="E558"/>
    <hyperlink r:id="rId814" ref="D559"/>
    <hyperlink r:id="rId815" ref="E559"/>
    <hyperlink r:id="rId816" ref="D560"/>
    <hyperlink r:id="rId817" ref="E560"/>
    <hyperlink r:id="rId818" ref="D561"/>
    <hyperlink r:id="rId819" ref="E561"/>
    <hyperlink r:id="rId820" ref="D562"/>
    <hyperlink r:id="rId821" ref="E562"/>
    <hyperlink r:id="rId822" ref="D563"/>
    <hyperlink r:id="rId823" ref="E563"/>
    <hyperlink r:id="rId824" ref="E564"/>
    <hyperlink r:id="rId825" ref="D565"/>
    <hyperlink r:id="rId826" ref="E565"/>
    <hyperlink r:id="rId827" ref="D566"/>
    <hyperlink r:id="rId828" ref="D567"/>
    <hyperlink r:id="rId829" ref="E567"/>
    <hyperlink r:id="rId830" ref="D568"/>
    <hyperlink r:id="rId831" ref="E568"/>
    <hyperlink r:id="rId832" ref="D569"/>
    <hyperlink r:id="rId833" ref="E569"/>
    <hyperlink r:id="rId834" ref="D570"/>
    <hyperlink r:id="rId835" ref="E570"/>
    <hyperlink r:id="rId836" ref="D571"/>
    <hyperlink r:id="rId837" ref="E571"/>
    <hyperlink r:id="rId838" ref="E572"/>
    <hyperlink r:id="rId839" ref="D573"/>
    <hyperlink r:id="rId840" ref="E573"/>
    <hyperlink r:id="rId841" ref="E574"/>
    <hyperlink r:id="rId842" ref="D575"/>
    <hyperlink r:id="rId843" ref="E575"/>
    <hyperlink r:id="rId844" ref="E578"/>
    <hyperlink r:id="rId845" ref="D580"/>
    <hyperlink r:id="rId846" ref="E580"/>
    <hyperlink r:id="rId847" ref="E582"/>
    <hyperlink r:id="rId848" ref="E584"/>
    <hyperlink r:id="rId849" ref="D586"/>
    <hyperlink r:id="rId850" ref="D587"/>
    <hyperlink r:id="rId851" ref="E587"/>
    <hyperlink r:id="rId852" ref="D589"/>
    <hyperlink r:id="rId853" ref="E589"/>
    <hyperlink r:id="rId854" ref="D591"/>
    <hyperlink r:id="rId855" ref="E591"/>
    <hyperlink r:id="rId856" ref="D592"/>
    <hyperlink r:id="rId857" ref="E592"/>
    <hyperlink r:id="rId858" ref="D593"/>
    <hyperlink r:id="rId859" ref="E593"/>
    <hyperlink r:id="rId860" ref="D595"/>
    <hyperlink r:id="rId861" ref="E595"/>
    <hyperlink r:id="rId862" ref="D596"/>
    <hyperlink r:id="rId863" ref="E596"/>
    <hyperlink r:id="rId864" ref="D601"/>
    <hyperlink r:id="rId865" ref="E601"/>
    <hyperlink r:id="rId866" ref="D602"/>
    <hyperlink r:id="rId867" ref="E602"/>
    <hyperlink r:id="rId868" ref="E603"/>
    <hyperlink r:id="rId869" ref="D605"/>
    <hyperlink r:id="rId870" ref="E605"/>
    <hyperlink r:id="rId871" ref="D606"/>
    <hyperlink r:id="rId872" ref="E606"/>
    <hyperlink r:id="rId873" ref="D607"/>
    <hyperlink r:id="rId874" ref="E607"/>
    <hyperlink r:id="rId875" ref="E608"/>
    <hyperlink r:id="rId876" ref="E609"/>
    <hyperlink r:id="rId877" ref="E610"/>
    <hyperlink r:id="rId878" ref="E611"/>
    <hyperlink r:id="rId879" ref="E612"/>
    <hyperlink r:id="rId880" ref="D613"/>
    <hyperlink r:id="rId881" ref="E613"/>
    <hyperlink r:id="rId882" ref="D618"/>
    <hyperlink r:id="rId883" ref="E618"/>
    <hyperlink r:id="rId884" ref="D620"/>
    <hyperlink r:id="rId885" ref="D623"/>
    <hyperlink r:id="rId886" ref="E628"/>
    <hyperlink r:id="rId887" ref="D629"/>
    <hyperlink r:id="rId888" ref="E629"/>
    <hyperlink r:id="rId889" ref="D630"/>
    <hyperlink r:id="rId890" ref="D631"/>
    <hyperlink r:id="rId891" ref="E631"/>
    <hyperlink r:id="rId892" ref="D632"/>
    <hyperlink r:id="rId893" ref="E632"/>
    <hyperlink r:id="rId894" ref="D641"/>
    <hyperlink r:id="rId895" ref="E641"/>
    <hyperlink r:id="rId896" ref="E644"/>
    <hyperlink r:id="rId897" ref="D645"/>
    <hyperlink r:id="rId898" ref="E645"/>
    <hyperlink r:id="rId899" ref="D647"/>
    <hyperlink r:id="rId900" ref="E647"/>
    <hyperlink r:id="rId901" ref="D649"/>
    <hyperlink r:id="rId902" ref="E649"/>
    <hyperlink r:id="rId903" ref="D650"/>
    <hyperlink r:id="rId904" ref="E650"/>
    <hyperlink r:id="rId905" ref="D651"/>
    <hyperlink r:id="rId906" ref="E651"/>
    <hyperlink r:id="rId907" ref="D652"/>
    <hyperlink r:id="rId908" ref="E652"/>
    <hyperlink r:id="rId909" ref="D658"/>
    <hyperlink r:id="rId910" ref="E658"/>
    <hyperlink r:id="rId911" ref="D659"/>
    <hyperlink r:id="rId912" ref="E659"/>
    <hyperlink r:id="rId913" ref="D663"/>
    <hyperlink r:id="rId914" ref="E663"/>
    <hyperlink r:id="rId915" ref="D666"/>
    <hyperlink r:id="rId916" ref="E666"/>
    <hyperlink r:id="rId917" ref="D667"/>
    <hyperlink r:id="rId918" ref="D669"/>
    <hyperlink r:id="rId919" ref="E669"/>
    <hyperlink r:id="rId920" ref="D670"/>
    <hyperlink r:id="rId921" ref="E670"/>
    <hyperlink r:id="rId922" ref="E671"/>
    <hyperlink r:id="rId923" ref="D672"/>
    <hyperlink r:id="rId924" ref="E672"/>
    <hyperlink r:id="rId925" ref="E675"/>
    <hyperlink r:id="rId926" ref="D684"/>
    <hyperlink r:id="rId927" ref="E684"/>
    <hyperlink r:id="rId928" ref="D685"/>
    <hyperlink r:id="rId929" ref="E685"/>
    <hyperlink r:id="rId930" ref="D687"/>
    <hyperlink r:id="rId931" ref="E687"/>
    <hyperlink r:id="rId932" ref="D689"/>
    <hyperlink r:id="rId933" ref="D693"/>
    <hyperlink r:id="rId934" ref="E693"/>
    <hyperlink r:id="rId935" ref="D695"/>
    <hyperlink r:id="rId936" ref="E695"/>
    <hyperlink r:id="rId937" ref="D699"/>
    <hyperlink r:id="rId938" ref="E699"/>
    <hyperlink r:id="rId939" ref="E701"/>
    <hyperlink r:id="rId940" ref="D702"/>
    <hyperlink r:id="rId941" ref="E702"/>
    <hyperlink r:id="rId942" ref="D709"/>
    <hyperlink r:id="rId943" ref="E709"/>
    <hyperlink r:id="rId944" ref="D716"/>
    <hyperlink r:id="rId945" ref="E716"/>
    <hyperlink r:id="rId946" ref="D718"/>
    <hyperlink r:id="rId947" ref="E718"/>
    <hyperlink r:id="rId948" ref="D721"/>
    <hyperlink r:id="rId949" ref="E721"/>
    <hyperlink r:id="rId950" ref="E725"/>
    <hyperlink r:id="rId951" ref="D726"/>
    <hyperlink r:id="rId952" ref="E726"/>
    <hyperlink r:id="rId953" ref="D727"/>
    <hyperlink r:id="rId954" ref="E727"/>
    <hyperlink r:id="rId955" ref="D732"/>
  </hyperlinks>
  <printOptions/>
  <pageMargins bottom="0.75" footer="0.0" header="0.0" left="0.7" right="0.7" top="0.75"/>
  <pageSetup orientation="landscape"/>
  <drawing r:id="rId956"/>
</worksheet>
</file>